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통계업무\22년 경영혁신처\01. 전력통계월보\12월\04. 최종\"/>
    </mc:Choice>
  </mc:AlternateContent>
  <bookViews>
    <workbookView xWindow="0" yWindow="0" windowWidth="24000" windowHeight="9555"/>
  </bookViews>
  <sheets>
    <sheet name="Ⅰ.통계도표(1P)" sheetId="2" r:id="rId1"/>
    <sheet name="공란 2페이지" sheetId="3" r:id="rId2"/>
    <sheet name="1-1 발전설비추이(발전원별)_3P" sheetId="4" r:id="rId3"/>
    <sheet name="1-2 발전설비추이(에너지원별)" sheetId="5" r:id="rId4"/>
    <sheet name="1-3 발전전력량 추이(발전원별)" sheetId="6" r:id="rId5"/>
    <sheet name="1-4 발전전력량 추이(에너지원별)" sheetId="7" r:id="rId6"/>
    <sheet name="1-5 판매전력량 추이(계약종별)" sheetId="8" r:id="rId7"/>
    <sheet name="1-6 판매전력량 추이(용도별)" sheetId="9" r:id="rId8"/>
    <sheet name="1-7 전력수급추이" sheetId="10" r:id="rId9"/>
    <sheet name="1-8 월간실적요약" sheetId="11" r:id="rId10"/>
    <sheet name="Ⅱ.발전설비 용량(11p)" sheetId="12" r:id="rId11"/>
    <sheet name="2. 발전설비용량(발전원별) " sheetId="13" r:id="rId12"/>
    <sheet name="2-1. 발전설비용량(발전원별에너지원별)" sheetId="14" r:id="rId13"/>
    <sheet name="2-2. 발전설비용량(발전소별)" sheetId="15" r:id="rId14"/>
    <sheet name="3. 발전설비용량(발전회사별발전원별)" sheetId="16" r:id="rId15"/>
    <sheet name="3-1. 발전설비용량(한전 및 발전자회사 상세) " sheetId="17" r:id="rId16"/>
    <sheet name="4. 발전설비용량(에너지원별) " sheetId="18" r:id="rId17"/>
    <sheet name="5. 발전설비현황(행정구역별) " sheetId="19" r:id="rId18"/>
    <sheet name="6. 발전소 건설현황" sheetId="20" r:id="rId19"/>
    <sheet name="Ⅲ.발전전력량(27p)" sheetId="21" r:id="rId20"/>
    <sheet name="7. 발전전력량(발전원별)" sheetId="22" r:id="rId21"/>
    <sheet name="7-1. 발전전력량(발전원별에너지원별)" sheetId="23" r:id="rId22"/>
    <sheet name="7-2. 발전전력량(발전소별)" sheetId="24" r:id="rId23"/>
    <sheet name="8. 발전전력량(발전회사별발전원별)" sheetId="25" r:id="rId24"/>
    <sheet name="9. 발전전력량(에너지원별)" sheetId="26" r:id="rId25"/>
    <sheet name="9-1. 신재생발전설비발전량(행정구역)" sheetId="27" r:id="rId26"/>
    <sheet name="10. 발전전력량(행정구역)" sheetId="28" r:id="rId27"/>
    <sheet name="10-1. 발전전력량(행정구역_누계)" sheetId="29" r:id="rId28"/>
    <sheet name="11. 연료사용량(발전원(소)별에너지원별)" sheetId="30" r:id="rId29"/>
    <sheet name="11-1. 연료사용량(에너지원별)" sheetId="31" r:id="rId30"/>
    <sheet name="Ⅳ.전력구입량(47p)" sheetId="32" r:id="rId31"/>
    <sheet name="12.전력거래실적 종합" sheetId="33" r:id="rId32"/>
    <sheet name="13.전력거래실적(발전원별)  " sheetId="34" r:id="rId33"/>
    <sheet name="14. 전력거래실적(발전회사별)" sheetId="35" r:id="rId34"/>
    <sheet name="15.전력거래실적 (가격&amp;단가)" sheetId="36" r:id="rId35"/>
    <sheet name="16.전력거래실적(PPA)" sheetId="37" r:id="rId36"/>
    <sheet name="16-1.태양광 발전량 추계정보" sheetId="38" r:id="rId37"/>
    <sheet name="공란 페이지(58p)" sheetId="39" r:id="rId38"/>
    <sheet name="Ⅳ.전력판매량(59p)" sheetId="40" r:id="rId39"/>
    <sheet name="17.전력판매실적 종합" sheetId="41" r:id="rId40"/>
    <sheet name="18.계약종별 판매전력량" sheetId="42" r:id="rId41"/>
    <sheet name="18-1.계약종별 수용호수" sheetId="43" r:id="rId42"/>
    <sheet name="18-2.계약종별 판매수입" sheetId="44" r:id="rId43"/>
    <sheet name="19.용도별 판매전력량" sheetId="45" r:id="rId44"/>
    <sheet name="19-1.용도별 수용호수" sheetId="46" r:id="rId45"/>
    <sheet name="19-2.용도별 판매수입" sheetId="47" r:id="rId46"/>
    <sheet name="20.행정구역별 판매전력량" sheetId="48" r:id="rId47"/>
    <sheet name="20-1.행정구역별 수용호수" sheetId="49" r:id="rId48"/>
    <sheet name="20-2.행정구역별 판매수입" sheetId="50" r:id="rId49"/>
    <sheet name="20-3.행정구역별 계약종별 판매전력량" sheetId="51" r:id="rId50"/>
    <sheet name="21.산업분류별 판매전력량" sheetId="52" r:id="rId51"/>
    <sheet name="21-1.산업분류별 행정구역별 판매전력량" sheetId="53" r:id="rId52"/>
    <sheet name="21-2.산업분류별 행정구역별 판매전력량(누계)" sheetId="54" r:id="rId53"/>
    <sheet name="공란 페이지(88p)" sheetId="55" r:id="rId54"/>
    <sheet name="Ⅵ.기타(89p)" sheetId="56" r:id="rId55"/>
    <sheet name="22.전력수급실적(월별)" sheetId="57" r:id="rId56"/>
    <sheet name="22-1.전력수급실적(일별)" sheetId="58" r:id="rId57"/>
    <sheet name="23.인원(회사별)  " sheetId="59" r:id="rId58"/>
    <sheet name="공란 페이지(94p)" sheetId="60" r:id="rId59"/>
  </sheets>
  <definedNames>
    <definedName name="_xlnm._FilterDatabase" localSheetId="25" hidden="1">'9-1. 신재생발전설비발전량(행정구역)'!$C$5:$R$42</definedName>
    <definedName name="_xlnm.Print_Area" localSheetId="26">'10. 발전전력량(행정구역)'!$A$1:$M$26</definedName>
    <definedName name="_xlnm.Print_Area" localSheetId="27">'10-1. 발전전력량(행정구역_누계)'!$A$1:$M$26</definedName>
    <definedName name="_xlnm.Print_Area" localSheetId="2">'1-1 발전설비추이(발전원별)_3P'!$A$1:$N$42</definedName>
    <definedName name="_xlnm.Print_Area" localSheetId="28">'11. 연료사용량(발전원(소)별에너지원별)'!$A$1:$S$37</definedName>
    <definedName name="_xlnm.Print_Area" localSheetId="29">'11-1. 연료사용량(에너지원별)'!$A$1:$G$39</definedName>
    <definedName name="_xlnm.Print_Area" localSheetId="3">'1-2 발전설비추이(에너지원별)'!$A$1:$N$40</definedName>
    <definedName name="_xlnm.Print_Area" localSheetId="31">'12.전력거래실적 종합'!$A$1:$L$33</definedName>
    <definedName name="_xlnm.Print_Area" localSheetId="4">'1-3 발전전력량 추이(발전원별)'!$A$1:$N$38</definedName>
    <definedName name="_xlnm.Print_Area" localSheetId="32">'13.전력거래실적(발전원별)  '!$A$1:$AG$30</definedName>
    <definedName name="_xlnm.Print_Area" localSheetId="5">'1-4 발전전력량 추이(에너지원별)'!$A$1:$N$40</definedName>
    <definedName name="_xlnm.Print_Area" localSheetId="33">'14. 전력거래실적(발전회사별)'!$A$1:$AA$29</definedName>
    <definedName name="_xlnm.Print_Area" localSheetId="6">'1-5 판매전력량 추이(계약종별)'!$A$1:$N$31</definedName>
    <definedName name="_xlnm.Print_Area" localSheetId="34">'15.전력거래실적 (가격&amp;단가)'!$A$1:$F$32</definedName>
    <definedName name="_xlnm.Print_Area" localSheetId="7">'1-6 판매전력량 추이(용도별)'!$A$1:$N$31</definedName>
    <definedName name="_xlnm.Print_Area" localSheetId="35">'16.전력거래실적(PPA)'!$A$1:$K$65</definedName>
    <definedName name="_xlnm.Print_Area" localSheetId="36">'16-1.태양광 발전량 추계정보'!$A$1:$D$38</definedName>
    <definedName name="_xlnm.Print_Area" localSheetId="8">'1-7 전력수급추이'!$A$1:$N$28</definedName>
    <definedName name="_xlnm.Print_Area" localSheetId="39">'17.전력판매실적 종합'!$A$1:$P$33</definedName>
    <definedName name="_xlnm.Print_Area" localSheetId="9">'1-8 월간실적요약'!$A$1:$K$27</definedName>
    <definedName name="_xlnm.Print_Area" localSheetId="40">'18.계약종별 판매전력량'!$A$1:$Q$32</definedName>
    <definedName name="_xlnm.Print_Area" localSheetId="41">'18-1.계약종별 수용호수'!$A$1:$Q$30</definedName>
    <definedName name="_xlnm.Print_Area" localSheetId="43">'19.용도별 판매전력량'!$A$1:$S$33</definedName>
    <definedName name="_xlnm.Print_Area" localSheetId="44">'19-1.용도별 수용호수'!$A$1:$S$31</definedName>
    <definedName name="_xlnm.Print_Area" localSheetId="45">'19-2.용도별 판매수입'!$A$1:$S$33</definedName>
    <definedName name="_xlnm.Print_Area" localSheetId="11">'2. 발전설비용량(발전원별) '!$A$1:$AG$32</definedName>
    <definedName name="_xlnm.Print_Area" localSheetId="46">'20.행정구역별 판매전력량'!$A$1:$T$32</definedName>
    <definedName name="_xlnm.Print_Area" localSheetId="47">'20-1.행정구역별 수용호수'!$A$1:$T$30</definedName>
    <definedName name="_xlnm.Print_Area" localSheetId="48">'20-2.행정구역별 판매수입'!$A$1:$T$32</definedName>
    <definedName name="_xlnm.Print_Area" localSheetId="49">'20-3.행정구역별 계약종별 판매전력량'!$A$1:$U$38</definedName>
    <definedName name="_xlnm.Print_Area" localSheetId="12">'2-1. 발전설비용량(발전원별에너지원별)'!$A$1:$T$39</definedName>
    <definedName name="_xlnm.Print_Area" localSheetId="50">'21.산업분류별 판매전력량'!$A$1:$O$38</definedName>
    <definedName name="_xlnm.Print_Area" localSheetId="51">'21-1.산업분류별 행정구역별 판매전력량'!$A$1:$U$38</definedName>
    <definedName name="_xlnm.Print_Area" localSheetId="52">'21-2.산업분류별 행정구역별 판매전력량(누계)'!$A$1:$U$38</definedName>
    <definedName name="_xlnm.Print_Area" localSheetId="13">'2-2. 발전설비용량(발전소별)'!$A$1:$V$40</definedName>
    <definedName name="_xlnm.Print_Area" localSheetId="55">'22.전력수급실적(월별)'!$A$1:$M$38</definedName>
    <definedName name="_xlnm.Print_Area" localSheetId="56">'22-1.전력수급실적(일별)'!$A$1:$J$39</definedName>
    <definedName name="_xlnm.Print_Area" localSheetId="57">'23.인원(회사별)  '!$A$1:$Y$39</definedName>
    <definedName name="_xlnm.Print_Area" localSheetId="14">'3. 발전설비용량(발전회사별발전원별)'!$A$1:$AV$33</definedName>
    <definedName name="_xlnm.Print_Area" localSheetId="15">'3-1. 발전설비용량(한전 및 발전자회사 상세) '!$A$1:$AB$71</definedName>
    <definedName name="_xlnm.Print_Area" localSheetId="17">'5. 발전설비현황(행정구역별) '!$A$1:$M$26</definedName>
    <definedName name="_xlnm.Print_Area" localSheetId="18">'6. 발전소 건설현황'!$A$1:$F$14</definedName>
    <definedName name="_xlnm.Print_Area" localSheetId="20">'7. 발전전력량(발전원별)'!$A$1:$AG$35</definedName>
    <definedName name="_xlnm.Print_Area" localSheetId="21">'7-1. 발전전력량(발전원별에너지원별)'!$A$1:$V$39</definedName>
    <definedName name="_xlnm.Print_Area" localSheetId="22">'7-2. 발전전력량(발전소별)'!$A$1:$V$40</definedName>
    <definedName name="_xlnm.Print_Area" localSheetId="23">'8. 발전전력량(발전회사별발전원별)'!$A$1:$AW$34</definedName>
    <definedName name="_xlnm.Print_Area" localSheetId="24">'9. 발전전력량(에너지원별)'!$A$1:$I$36</definedName>
    <definedName name="_xlnm.Print_Area" localSheetId="25">'9-1. 신재생발전설비발전량(행정구역)'!$A$1:$R$42</definedName>
    <definedName name="_xlnm.Print_Area" localSheetId="0">'Ⅰ.통계도표(1P)'!$A$1:$F$30</definedName>
    <definedName name="_xlnm.Print_Area" localSheetId="30">'Ⅳ.전력구입량(47p)'!$A$1:$F$25</definedName>
    <definedName name="_xlnm.Print_Area" localSheetId="1">'공란 2페이지'!$A$1:$F$30</definedName>
    <definedName name="TABLE" localSheetId="39">'17.전력판매실적 종합'!#REF!</definedName>
    <definedName name="TABLE_2" localSheetId="39">'17.전력판매실적 종합'!#REF!</definedName>
    <definedName name="TABLE_3" localSheetId="39">'17.전력판매실적 종합'!#REF!</definedName>
    <definedName name="TABLE_4" localSheetId="39">'17.전력판매실적 종합'!#REF!</definedName>
    <definedName name="TABLE_5" localSheetId="39">'17.전력판매실적 종합'!#REF!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2" i="59" l="1"/>
  <c r="Y332" i="59" s="1"/>
  <c r="W331" i="59"/>
  <c r="Y331" i="59" s="1"/>
  <c r="W330" i="59"/>
  <c r="Y330" i="59" s="1"/>
  <c r="W329" i="59"/>
  <c r="Y329" i="59" s="1"/>
  <c r="W328" i="59"/>
  <c r="Y328" i="59" s="1"/>
  <c r="Y327" i="59"/>
  <c r="W327" i="59"/>
  <c r="W326" i="59"/>
  <c r="Y326" i="59" s="1"/>
  <c r="W325" i="59"/>
  <c r="Y325" i="59" s="1"/>
  <c r="W324" i="59"/>
  <c r="Y324" i="59" s="1"/>
  <c r="W323" i="59"/>
  <c r="Y323" i="59" s="1"/>
  <c r="W322" i="59"/>
  <c r="Y322" i="59" s="1"/>
  <c r="W321" i="59"/>
  <c r="Y321" i="59" s="1"/>
  <c r="B321" i="59"/>
  <c r="U318" i="59"/>
  <c r="S318" i="59"/>
  <c r="R318" i="59"/>
  <c r="Q318" i="59"/>
  <c r="P318" i="59"/>
  <c r="O318" i="59"/>
  <c r="N318" i="59"/>
  <c r="M318" i="59"/>
  <c r="W318" i="59" s="1"/>
  <c r="Y318" i="59" s="1"/>
  <c r="U317" i="59"/>
  <c r="S317" i="59"/>
  <c r="R317" i="59"/>
  <c r="Q317" i="59"/>
  <c r="P317" i="59"/>
  <c r="O317" i="59"/>
  <c r="N317" i="59"/>
  <c r="M317" i="59"/>
  <c r="U316" i="59"/>
  <c r="S316" i="59"/>
  <c r="R316" i="59"/>
  <c r="Q316" i="59"/>
  <c r="P316" i="59"/>
  <c r="O316" i="59"/>
  <c r="N316" i="59"/>
  <c r="M316" i="59"/>
  <c r="W316" i="59" s="1"/>
  <c r="Y316" i="59" s="1"/>
  <c r="U315" i="59"/>
  <c r="S315" i="59"/>
  <c r="R315" i="59"/>
  <c r="Q315" i="59"/>
  <c r="P315" i="59"/>
  <c r="O315" i="59"/>
  <c r="N315" i="59"/>
  <c r="M315" i="59"/>
  <c r="U314" i="59"/>
  <c r="S314" i="59"/>
  <c r="R314" i="59"/>
  <c r="Q314" i="59"/>
  <c r="P314" i="59"/>
  <c r="O314" i="59"/>
  <c r="N314" i="59"/>
  <c r="M314" i="59"/>
  <c r="W314" i="59" s="1"/>
  <c r="Y314" i="59" s="1"/>
  <c r="U313" i="59"/>
  <c r="S313" i="59"/>
  <c r="R313" i="59"/>
  <c r="Q313" i="59"/>
  <c r="P313" i="59"/>
  <c r="O313" i="59"/>
  <c r="N313" i="59"/>
  <c r="M313" i="59"/>
  <c r="U312" i="59"/>
  <c r="S312" i="59"/>
  <c r="R312" i="59"/>
  <c r="Q312" i="59"/>
  <c r="P312" i="59"/>
  <c r="O312" i="59"/>
  <c r="N312" i="59"/>
  <c r="M312" i="59"/>
  <c r="W312" i="59" s="1"/>
  <c r="Y312" i="59" s="1"/>
  <c r="U311" i="59"/>
  <c r="S311" i="59"/>
  <c r="R311" i="59"/>
  <c r="Q311" i="59"/>
  <c r="P311" i="59"/>
  <c r="O311" i="59"/>
  <c r="N311" i="59"/>
  <c r="M311" i="59"/>
  <c r="U310" i="59"/>
  <c r="S310" i="59"/>
  <c r="R310" i="59"/>
  <c r="Q310" i="59"/>
  <c r="P310" i="59"/>
  <c r="O310" i="59"/>
  <c r="N310" i="59"/>
  <c r="M310" i="59"/>
  <c r="W310" i="59" s="1"/>
  <c r="Y310" i="59" s="1"/>
  <c r="Y309" i="59"/>
  <c r="W309" i="59"/>
  <c r="K308" i="59"/>
  <c r="W308" i="59" s="1"/>
  <c r="Y308" i="59" s="1"/>
  <c r="K307" i="59"/>
  <c r="W307" i="59" s="1"/>
  <c r="Y307" i="59" s="1"/>
  <c r="U304" i="59"/>
  <c r="S304" i="59"/>
  <c r="R304" i="59"/>
  <c r="Q304" i="59"/>
  <c r="P304" i="59"/>
  <c r="O304" i="59"/>
  <c r="N304" i="59"/>
  <c r="M304" i="59"/>
  <c r="X303" i="59"/>
  <c r="U303" i="59"/>
  <c r="M303" i="59"/>
  <c r="W303" i="59" s="1"/>
  <c r="Y303" i="59" s="1"/>
  <c r="U302" i="59"/>
  <c r="M302" i="59"/>
  <c r="U301" i="59"/>
  <c r="S301" i="59"/>
  <c r="R301" i="59"/>
  <c r="Q301" i="59"/>
  <c r="P301" i="59"/>
  <c r="O301" i="59"/>
  <c r="N301" i="59"/>
  <c r="M301" i="59"/>
  <c r="U300" i="59"/>
  <c r="S300" i="59"/>
  <c r="R300" i="59"/>
  <c r="Q300" i="59"/>
  <c r="P300" i="59"/>
  <c r="O300" i="59"/>
  <c r="N300" i="59"/>
  <c r="M300" i="59"/>
  <c r="X299" i="59"/>
  <c r="U299" i="59"/>
  <c r="S299" i="59"/>
  <c r="R299" i="59"/>
  <c r="Q299" i="59"/>
  <c r="P299" i="59"/>
  <c r="O299" i="59"/>
  <c r="N299" i="59"/>
  <c r="M299" i="59"/>
  <c r="U298" i="59"/>
  <c r="S298" i="59"/>
  <c r="R298" i="59"/>
  <c r="Q298" i="59"/>
  <c r="P298" i="59"/>
  <c r="O298" i="59"/>
  <c r="N298" i="59"/>
  <c r="M298" i="59"/>
  <c r="X298" i="59" s="1"/>
  <c r="U297" i="59"/>
  <c r="S297" i="59"/>
  <c r="R297" i="59"/>
  <c r="Q297" i="59"/>
  <c r="P297" i="59"/>
  <c r="O297" i="59"/>
  <c r="N297" i="59"/>
  <c r="M297" i="59"/>
  <c r="X297" i="59" s="1"/>
  <c r="U296" i="59"/>
  <c r="S296" i="59"/>
  <c r="R296" i="59"/>
  <c r="Q296" i="59"/>
  <c r="P296" i="59"/>
  <c r="O296" i="59"/>
  <c r="N296" i="59"/>
  <c r="M296" i="59"/>
  <c r="U295" i="59"/>
  <c r="S295" i="59"/>
  <c r="R295" i="59"/>
  <c r="Q295" i="59"/>
  <c r="P295" i="59"/>
  <c r="O295" i="59"/>
  <c r="N295" i="59"/>
  <c r="M295" i="59"/>
  <c r="W295" i="59" s="1"/>
  <c r="Y295" i="59" s="1"/>
  <c r="U294" i="59"/>
  <c r="S294" i="59"/>
  <c r="R294" i="59"/>
  <c r="Q294" i="59"/>
  <c r="P294" i="59"/>
  <c r="O294" i="59"/>
  <c r="N294" i="59"/>
  <c r="M294" i="59"/>
  <c r="U293" i="59"/>
  <c r="S293" i="59"/>
  <c r="R293" i="59"/>
  <c r="Q293" i="59"/>
  <c r="P293" i="59"/>
  <c r="O293" i="59"/>
  <c r="N293" i="59"/>
  <c r="M293" i="59"/>
  <c r="M292" i="59"/>
  <c r="X292" i="59" s="1"/>
  <c r="W291" i="59"/>
  <c r="Y291" i="59" s="1"/>
  <c r="M291" i="59"/>
  <c r="X291" i="59" s="1"/>
  <c r="AA290" i="59"/>
  <c r="X290" i="59"/>
  <c r="W290" i="59"/>
  <c r="M290" i="59"/>
  <c r="X289" i="59"/>
  <c r="W289" i="59"/>
  <c r="M289" i="59"/>
  <c r="X288" i="59"/>
  <c r="S288" i="59"/>
  <c r="Q288" i="59"/>
  <c r="P288" i="59"/>
  <c r="O288" i="59"/>
  <c r="W288" i="59" s="1"/>
  <c r="N288" i="59"/>
  <c r="M288" i="59"/>
  <c r="X287" i="59"/>
  <c r="Q287" i="59"/>
  <c r="P287" i="59"/>
  <c r="O287" i="59"/>
  <c r="M287" i="59"/>
  <c r="X286" i="59"/>
  <c r="S286" i="59"/>
  <c r="Q286" i="59"/>
  <c r="P286" i="59"/>
  <c r="O286" i="59"/>
  <c r="Z284" i="59" s="1"/>
  <c r="N286" i="59"/>
  <c r="M286" i="59"/>
  <c r="X285" i="59"/>
  <c r="S285" i="59"/>
  <c r="R285" i="59"/>
  <c r="Q285" i="59"/>
  <c r="P285" i="59"/>
  <c r="O285" i="59"/>
  <c r="N285" i="59"/>
  <c r="M285" i="59"/>
  <c r="W285" i="59" s="1"/>
  <c r="S284" i="59"/>
  <c r="R284" i="59"/>
  <c r="Q284" i="59"/>
  <c r="P284" i="59"/>
  <c r="O284" i="59"/>
  <c r="N284" i="59"/>
  <c r="M284" i="59"/>
  <c r="S283" i="59"/>
  <c r="R283" i="59"/>
  <c r="Q283" i="59"/>
  <c r="P283" i="59"/>
  <c r="O283" i="59"/>
  <c r="N283" i="59"/>
  <c r="M283" i="59"/>
  <c r="X283" i="59" s="1"/>
  <c r="S282" i="59"/>
  <c r="R282" i="59"/>
  <c r="Q282" i="59"/>
  <c r="P282" i="59"/>
  <c r="O282" i="59"/>
  <c r="N282" i="59"/>
  <c r="M282" i="59"/>
  <c r="X282" i="59" s="1"/>
  <c r="U281" i="59"/>
  <c r="S281" i="59"/>
  <c r="R281" i="59"/>
  <c r="Q281" i="59"/>
  <c r="P281" i="59"/>
  <c r="O281" i="59"/>
  <c r="N281" i="59"/>
  <c r="M281" i="59"/>
  <c r="X281" i="59" s="1"/>
  <c r="X280" i="59"/>
  <c r="M280" i="59"/>
  <c r="W280" i="59" s="1"/>
  <c r="X279" i="59"/>
  <c r="M279" i="59"/>
  <c r="W279" i="59" s="1"/>
  <c r="AA278" i="59"/>
  <c r="Z278" i="59"/>
  <c r="M278" i="59"/>
  <c r="Z277" i="59"/>
  <c r="X277" i="59"/>
  <c r="W277" i="59"/>
  <c r="Y277" i="59" s="1"/>
  <c r="M277" i="59"/>
  <c r="Z276" i="59"/>
  <c r="X276" i="59"/>
  <c r="M276" i="59"/>
  <c r="W276" i="59" s="1"/>
  <c r="Z275" i="59"/>
  <c r="M275" i="59"/>
  <c r="Z274" i="59"/>
  <c r="M274" i="59"/>
  <c r="X274" i="59" s="1"/>
  <c r="Z273" i="59"/>
  <c r="X273" i="59"/>
  <c r="W273" i="59"/>
  <c r="Y273" i="59" s="1"/>
  <c r="M273" i="59"/>
  <c r="Z272" i="59"/>
  <c r="M272" i="59"/>
  <c r="W272" i="59" s="1"/>
  <c r="Z271" i="59"/>
  <c r="M271" i="59"/>
  <c r="AA270" i="59"/>
  <c r="Z270" i="59"/>
  <c r="X270" i="59"/>
  <c r="W270" i="59"/>
  <c r="M270" i="59"/>
  <c r="AA269" i="59"/>
  <c r="Z269" i="59"/>
  <c r="M269" i="59"/>
  <c r="AA268" i="59"/>
  <c r="Z268" i="59"/>
  <c r="X268" i="59"/>
  <c r="W268" i="59"/>
  <c r="Y268" i="59" s="1"/>
  <c r="M268" i="59"/>
  <c r="AA267" i="59"/>
  <c r="Z267" i="59"/>
  <c r="M267" i="59"/>
  <c r="AA266" i="59"/>
  <c r="W266" i="59"/>
  <c r="M266" i="59"/>
  <c r="AA265" i="59"/>
  <c r="X265" i="59"/>
  <c r="W265" i="59"/>
  <c r="Y265" i="59" s="1"/>
  <c r="M265" i="59"/>
  <c r="AA264" i="59"/>
  <c r="Z264" i="59"/>
  <c r="V264" i="59"/>
  <c r="T264" i="59"/>
  <c r="W264" i="59" s="1"/>
  <c r="M264" i="59"/>
  <c r="X264" i="59" s="1"/>
  <c r="AA263" i="59"/>
  <c r="T263" i="59"/>
  <c r="M263" i="59"/>
  <c r="X263" i="59" s="1"/>
  <c r="AA262" i="59"/>
  <c r="W262" i="59"/>
  <c r="T262" i="59"/>
  <c r="V262" i="59" s="1"/>
  <c r="M262" i="59"/>
  <c r="X262" i="59" s="1"/>
  <c r="AA261" i="59"/>
  <c r="W261" i="59"/>
  <c r="Y261" i="59" s="1"/>
  <c r="V261" i="59"/>
  <c r="T261" i="59"/>
  <c r="M261" i="59"/>
  <c r="X261" i="59" s="1"/>
  <c r="AA260" i="59"/>
  <c r="Z260" i="59"/>
  <c r="W260" i="59"/>
  <c r="Y260" i="59" s="1"/>
  <c r="V260" i="59"/>
  <c r="T260" i="59"/>
  <c r="M260" i="59"/>
  <c r="X260" i="59" s="1"/>
  <c r="AA259" i="59"/>
  <c r="V259" i="59"/>
  <c r="T259" i="59"/>
  <c r="M259" i="59"/>
  <c r="X259" i="59" s="1"/>
  <c r="AA258" i="59"/>
  <c r="X258" i="59"/>
  <c r="T258" i="59"/>
  <c r="M258" i="59"/>
  <c r="AA257" i="59"/>
  <c r="T257" i="59"/>
  <c r="V257" i="59" s="1"/>
  <c r="M257" i="59"/>
  <c r="AA256" i="59"/>
  <c r="W256" i="59"/>
  <c r="Y256" i="59" s="1"/>
  <c r="V256" i="59"/>
  <c r="T256" i="59"/>
  <c r="M256" i="59"/>
  <c r="X256" i="59" s="1"/>
  <c r="AA255" i="59"/>
  <c r="V255" i="59"/>
  <c r="T255" i="59"/>
  <c r="W255" i="59" s="1"/>
  <c r="M255" i="59"/>
  <c r="X255" i="59" s="1"/>
  <c r="AA254" i="59"/>
  <c r="X254" i="59"/>
  <c r="T254" i="59"/>
  <c r="M254" i="59"/>
  <c r="AA253" i="59"/>
  <c r="T253" i="59"/>
  <c r="V253" i="59" s="1"/>
  <c r="M253" i="59"/>
  <c r="AA252" i="59"/>
  <c r="V252" i="59"/>
  <c r="T252" i="59"/>
  <c r="M252" i="59"/>
  <c r="X252" i="59" s="1"/>
  <c r="AA251" i="59"/>
  <c r="W251" i="59"/>
  <c r="V251" i="59"/>
  <c r="T251" i="59"/>
  <c r="M251" i="59"/>
  <c r="X251" i="59" s="1"/>
  <c r="AA250" i="59"/>
  <c r="V250" i="59"/>
  <c r="T250" i="59"/>
  <c r="W250" i="59" s="1"/>
  <c r="M250" i="59"/>
  <c r="X250" i="59" s="1"/>
  <c r="T249" i="59"/>
  <c r="M249" i="59"/>
  <c r="X249" i="59" s="1"/>
  <c r="Z248" i="59"/>
  <c r="T248" i="59"/>
  <c r="M248" i="59"/>
  <c r="X248" i="59" s="1"/>
  <c r="AA247" i="59"/>
  <c r="W247" i="59"/>
  <c r="V247" i="59"/>
  <c r="T247" i="59"/>
  <c r="M247" i="59"/>
  <c r="X247" i="59" s="1"/>
  <c r="AA246" i="59"/>
  <c r="W246" i="59"/>
  <c r="V246" i="59"/>
  <c r="T246" i="59"/>
  <c r="M246" i="59"/>
  <c r="X246" i="59" s="1"/>
  <c r="AA245" i="59"/>
  <c r="T245" i="59"/>
  <c r="M245" i="59"/>
  <c r="AA244" i="59"/>
  <c r="X244" i="59"/>
  <c r="T244" i="59"/>
  <c r="M244" i="59"/>
  <c r="AA243" i="59"/>
  <c r="X243" i="59"/>
  <c r="W243" i="59"/>
  <c r="Y243" i="59" s="1"/>
  <c r="T243" i="59"/>
  <c r="V243" i="59" s="1"/>
  <c r="M243" i="59"/>
  <c r="AA242" i="59"/>
  <c r="W242" i="59"/>
  <c r="V242" i="59"/>
  <c r="T242" i="59"/>
  <c r="M242" i="59"/>
  <c r="X242" i="59" s="1"/>
  <c r="AA241" i="59"/>
  <c r="T241" i="59"/>
  <c r="M241" i="59"/>
  <c r="AA240" i="59"/>
  <c r="Z240" i="59"/>
  <c r="V240" i="59"/>
  <c r="T240" i="59"/>
  <c r="W240" i="59" s="1"/>
  <c r="M240" i="59"/>
  <c r="X240" i="59" s="1"/>
  <c r="AA239" i="59"/>
  <c r="T239" i="59"/>
  <c r="M239" i="59"/>
  <c r="X239" i="59" s="1"/>
  <c r="V238" i="59"/>
  <c r="T238" i="59"/>
  <c r="M238" i="59"/>
  <c r="X238" i="59" s="1"/>
  <c r="AA237" i="59"/>
  <c r="W237" i="59"/>
  <c r="V237" i="59"/>
  <c r="T237" i="59"/>
  <c r="M237" i="59"/>
  <c r="AA236" i="59"/>
  <c r="Z236" i="59"/>
  <c r="W236" i="59"/>
  <c r="V236" i="59"/>
  <c r="T236" i="59"/>
  <c r="M236" i="59"/>
  <c r="X236" i="59" s="1"/>
  <c r="T235" i="59"/>
  <c r="M235" i="59"/>
  <c r="X235" i="59" s="1"/>
  <c r="AA234" i="59"/>
  <c r="X234" i="59"/>
  <c r="T234" i="59"/>
  <c r="M234" i="59"/>
  <c r="AA233" i="59"/>
  <c r="X233" i="59"/>
  <c r="W233" i="59"/>
  <c r="T233" i="59"/>
  <c r="V233" i="59" s="1"/>
  <c r="M233" i="59"/>
  <c r="AA232" i="59"/>
  <c r="W232" i="59"/>
  <c r="V232" i="59"/>
  <c r="T232" i="59"/>
  <c r="M232" i="59"/>
  <c r="X232" i="59" s="1"/>
  <c r="AA231" i="59"/>
  <c r="T231" i="59"/>
  <c r="M231" i="59"/>
  <c r="X231" i="59" s="1"/>
  <c r="AA230" i="59"/>
  <c r="X230" i="59"/>
  <c r="T230" i="59"/>
  <c r="M230" i="59"/>
  <c r="AA229" i="59"/>
  <c r="X229" i="59"/>
  <c r="W229" i="59"/>
  <c r="T229" i="59"/>
  <c r="V229" i="59" s="1"/>
  <c r="M229" i="59"/>
  <c r="AA228" i="59"/>
  <c r="T228" i="59"/>
  <c r="V228" i="59" s="1"/>
  <c r="M228" i="59"/>
  <c r="AA227" i="59"/>
  <c r="W227" i="59"/>
  <c r="V227" i="59"/>
  <c r="T227" i="59"/>
  <c r="M227" i="59"/>
  <c r="AA226" i="59"/>
  <c r="V226" i="59"/>
  <c r="T226" i="59"/>
  <c r="W226" i="59" s="1"/>
  <c r="M226" i="59"/>
  <c r="X226" i="59" s="1"/>
  <c r="X225" i="59"/>
  <c r="T225" i="59"/>
  <c r="M225" i="59"/>
  <c r="Z224" i="59"/>
  <c r="X224" i="59"/>
  <c r="T224" i="59"/>
  <c r="M224" i="59"/>
  <c r="AA223" i="59"/>
  <c r="T223" i="59"/>
  <c r="V223" i="59" s="1"/>
  <c r="M223" i="59"/>
  <c r="AA222" i="59"/>
  <c r="W222" i="59"/>
  <c r="V222" i="59"/>
  <c r="T222" i="59"/>
  <c r="M222" i="59"/>
  <c r="X222" i="59" s="1"/>
  <c r="AA221" i="59"/>
  <c r="V221" i="59"/>
  <c r="T221" i="59"/>
  <c r="W221" i="59" s="1"/>
  <c r="Y221" i="59" s="1"/>
  <c r="M221" i="59"/>
  <c r="X221" i="59" s="1"/>
  <c r="AA220" i="59"/>
  <c r="V220" i="59"/>
  <c r="T220" i="59"/>
  <c r="M220" i="59"/>
  <c r="X220" i="59" s="1"/>
  <c r="AA219" i="59"/>
  <c r="W219" i="59"/>
  <c r="V219" i="59"/>
  <c r="T219" i="59"/>
  <c r="M219" i="59"/>
  <c r="X219" i="59" s="1"/>
  <c r="AA218" i="59"/>
  <c r="V218" i="59"/>
  <c r="T218" i="59"/>
  <c r="W218" i="59" s="1"/>
  <c r="M218" i="59"/>
  <c r="X218" i="59" s="1"/>
  <c r="AA217" i="59"/>
  <c r="T217" i="59"/>
  <c r="M217" i="59"/>
  <c r="X217" i="59" s="1"/>
  <c r="AA216" i="59"/>
  <c r="T216" i="59"/>
  <c r="M216" i="59"/>
  <c r="AA215" i="59"/>
  <c r="X215" i="59"/>
  <c r="V215" i="59"/>
  <c r="T215" i="59"/>
  <c r="M215" i="59"/>
  <c r="W215" i="59" s="1"/>
  <c r="Y215" i="59" s="1"/>
  <c r="AA214" i="59"/>
  <c r="W214" i="59"/>
  <c r="Y214" i="59" s="1"/>
  <c r="V214" i="59"/>
  <c r="T214" i="59"/>
  <c r="M214" i="59"/>
  <c r="X214" i="59" s="1"/>
  <c r="AA213" i="59"/>
  <c r="V213" i="59"/>
  <c r="T213" i="59"/>
  <c r="W213" i="59" s="1"/>
  <c r="M213" i="59"/>
  <c r="X213" i="59" s="1"/>
  <c r="AA212" i="59"/>
  <c r="Z212" i="59"/>
  <c r="V212" i="59"/>
  <c r="T212" i="59"/>
  <c r="W212" i="59" s="1"/>
  <c r="M212" i="59"/>
  <c r="X212" i="59" s="1"/>
  <c r="T211" i="59"/>
  <c r="M211" i="59"/>
  <c r="X211" i="59" s="1"/>
  <c r="AA210" i="59"/>
  <c r="V210" i="59"/>
  <c r="T210" i="59"/>
  <c r="M210" i="59"/>
  <c r="W210" i="59" s="1"/>
  <c r="Y210" i="59" s="1"/>
  <c r="AA209" i="59"/>
  <c r="W209" i="59"/>
  <c r="Y209" i="59" s="1"/>
  <c r="V209" i="59"/>
  <c r="T209" i="59"/>
  <c r="M209" i="59"/>
  <c r="X209" i="59" s="1"/>
  <c r="AA208" i="59"/>
  <c r="V208" i="59"/>
  <c r="T208" i="59"/>
  <c r="W208" i="59" s="1"/>
  <c r="M208" i="59"/>
  <c r="AA207" i="59"/>
  <c r="T207" i="59"/>
  <c r="M207" i="59"/>
  <c r="X207" i="59" s="1"/>
  <c r="AA206" i="59"/>
  <c r="X206" i="59"/>
  <c r="V206" i="59"/>
  <c r="T206" i="59"/>
  <c r="M206" i="59"/>
  <c r="W206" i="59" s="1"/>
  <c r="Y206" i="59" s="1"/>
  <c r="AA205" i="59"/>
  <c r="W205" i="59"/>
  <c r="V205" i="59"/>
  <c r="T205" i="59"/>
  <c r="M205" i="59"/>
  <c r="X205" i="59" s="1"/>
  <c r="AA204" i="59"/>
  <c r="Z204" i="59"/>
  <c r="W204" i="59"/>
  <c r="V204" i="59"/>
  <c r="T204" i="59"/>
  <c r="M204" i="59"/>
  <c r="X204" i="59" s="1"/>
  <c r="AA203" i="59"/>
  <c r="V203" i="59"/>
  <c r="T203" i="59"/>
  <c r="W203" i="59" s="1"/>
  <c r="M203" i="59"/>
  <c r="AA202" i="59"/>
  <c r="T202" i="59"/>
  <c r="M202" i="59"/>
  <c r="X202" i="59" s="1"/>
  <c r="X201" i="59"/>
  <c r="V201" i="59"/>
  <c r="T201" i="59"/>
  <c r="M201" i="59"/>
  <c r="W201" i="59" s="1"/>
  <c r="AA200" i="59"/>
  <c r="Z200" i="59"/>
  <c r="V200" i="59"/>
  <c r="T200" i="59"/>
  <c r="M200" i="59"/>
  <c r="W200" i="59" s="1"/>
  <c r="Y200" i="59" s="1"/>
  <c r="AA199" i="59"/>
  <c r="W199" i="59"/>
  <c r="V199" i="59"/>
  <c r="T199" i="59"/>
  <c r="M199" i="59"/>
  <c r="X199" i="59" s="1"/>
  <c r="AA198" i="59"/>
  <c r="V198" i="59"/>
  <c r="T198" i="59"/>
  <c r="W198" i="59" s="1"/>
  <c r="Y198" i="59" s="1"/>
  <c r="M198" i="59"/>
  <c r="X198" i="59" s="1"/>
  <c r="AA197" i="59"/>
  <c r="T197" i="59"/>
  <c r="M197" i="59"/>
  <c r="X197" i="59" s="1"/>
  <c r="AA196" i="59"/>
  <c r="X196" i="59"/>
  <c r="V196" i="59"/>
  <c r="T196" i="59"/>
  <c r="M196" i="59"/>
  <c r="W196" i="59" s="1"/>
  <c r="AA195" i="59"/>
  <c r="W195" i="59"/>
  <c r="V195" i="59"/>
  <c r="T195" i="59"/>
  <c r="M195" i="59"/>
  <c r="X195" i="59" s="1"/>
  <c r="AA194" i="59"/>
  <c r="V194" i="59"/>
  <c r="T194" i="59"/>
  <c r="W194" i="59" s="1"/>
  <c r="M194" i="59"/>
  <c r="X194" i="59" s="1"/>
  <c r="AA193" i="59"/>
  <c r="T193" i="59"/>
  <c r="M193" i="59"/>
  <c r="X193" i="59" s="1"/>
  <c r="AA192" i="59"/>
  <c r="T192" i="59"/>
  <c r="V192" i="59" s="1"/>
  <c r="M192" i="59"/>
  <c r="W192" i="59" s="1"/>
  <c r="Y192" i="59" s="1"/>
  <c r="AA191" i="59"/>
  <c r="W191" i="59"/>
  <c r="Y191" i="59" s="1"/>
  <c r="V191" i="59"/>
  <c r="T191" i="59"/>
  <c r="M191" i="59"/>
  <c r="X191" i="59" s="1"/>
  <c r="AA190" i="59"/>
  <c r="V190" i="59"/>
  <c r="T190" i="59"/>
  <c r="W190" i="59" s="1"/>
  <c r="M190" i="59"/>
  <c r="X190" i="59" s="1"/>
  <c r="AA189" i="59"/>
  <c r="T189" i="59"/>
  <c r="M189" i="59"/>
  <c r="X189" i="59" s="1"/>
  <c r="W188" i="59"/>
  <c r="V188" i="59"/>
  <c r="T188" i="59"/>
  <c r="M188" i="59"/>
  <c r="X188" i="59" s="1"/>
  <c r="T187" i="59"/>
  <c r="M187" i="59"/>
  <c r="X187" i="59" s="1"/>
  <c r="W186" i="59"/>
  <c r="Y186" i="59" s="1"/>
  <c r="V186" i="59"/>
  <c r="T186" i="59"/>
  <c r="M186" i="59"/>
  <c r="X186" i="59" s="1"/>
  <c r="T185" i="59"/>
  <c r="M185" i="59"/>
  <c r="X185" i="59" s="1"/>
  <c r="W184" i="59"/>
  <c r="Y184" i="59" s="1"/>
  <c r="V184" i="59"/>
  <c r="T184" i="59"/>
  <c r="M184" i="59"/>
  <c r="X184" i="59" s="1"/>
  <c r="T183" i="59"/>
  <c r="M183" i="59"/>
  <c r="X183" i="59" s="1"/>
  <c r="W182" i="59"/>
  <c r="Y182" i="59" s="1"/>
  <c r="V182" i="59"/>
  <c r="T182" i="59"/>
  <c r="M182" i="59"/>
  <c r="X182" i="59" s="1"/>
  <c r="T181" i="59"/>
  <c r="M181" i="59"/>
  <c r="X181" i="59" s="1"/>
  <c r="W180" i="59"/>
  <c r="V180" i="59"/>
  <c r="T180" i="59"/>
  <c r="M180" i="59"/>
  <c r="X180" i="59" s="1"/>
  <c r="T179" i="59"/>
  <c r="M179" i="59"/>
  <c r="X179" i="59" s="1"/>
  <c r="W178" i="59"/>
  <c r="Y178" i="59" s="1"/>
  <c r="V178" i="59"/>
  <c r="T178" i="59"/>
  <c r="M178" i="59"/>
  <c r="X178" i="59" s="1"/>
  <c r="T177" i="59"/>
  <c r="M177" i="59"/>
  <c r="X177" i="59" s="1"/>
  <c r="W176" i="59"/>
  <c r="Y176" i="59" s="1"/>
  <c r="V176" i="59"/>
  <c r="T176" i="59"/>
  <c r="M176" i="59"/>
  <c r="X176" i="59" s="1"/>
  <c r="T175" i="59"/>
  <c r="M175" i="59"/>
  <c r="X175" i="59" s="1"/>
  <c r="V174" i="59"/>
  <c r="T174" i="59"/>
  <c r="M174" i="59"/>
  <c r="X174" i="59" s="1"/>
  <c r="X173" i="59"/>
  <c r="V173" i="59"/>
  <c r="T173" i="59"/>
  <c r="W173" i="59" s="1"/>
  <c r="M173" i="59"/>
  <c r="W172" i="59"/>
  <c r="Y172" i="59" s="1"/>
  <c r="V172" i="59"/>
  <c r="T172" i="59"/>
  <c r="M172" i="59"/>
  <c r="X172" i="59" s="1"/>
  <c r="T171" i="59"/>
  <c r="V171" i="59" s="1"/>
  <c r="W171" i="59" s="1"/>
  <c r="M171" i="59"/>
  <c r="X171" i="59" s="1"/>
  <c r="W170" i="59"/>
  <c r="Y170" i="59" s="1"/>
  <c r="V170" i="59"/>
  <c r="T170" i="59"/>
  <c r="M170" i="59"/>
  <c r="X170" i="59" s="1"/>
  <c r="T169" i="59"/>
  <c r="V169" i="59" s="1"/>
  <c r="W169" i="59" s="1"/>
  <c r="M169" i="59"/>
  <c r="X169" i="59" s="1"/>
  <c r="W168" i="59"/>
  <c r="Y168" i="59" s="1"/>
  <c r="V168" i="59"/>
  <c r="T168" i="59"/>
  <c r="M168" i="59"/>
  <c r="X168" i="59" s="1"/>
  <c r="T167" i="59"/>
  <c r="V167" i="59" s="1"/>
  <c r="W167" i="59" s="1"/>
  <c r="M167" i="59"/>
  <c r="X167" i="59" s="1"/>
  <c r="W166" i="59"/>
  <c r="Y166" i="59" s="1"/>
  <c r="V166" i="59"/>
  <c r="T166" i="59"/>
  <c r="M166" i="59"/>
  <c r="X166" i="59" s="1"/>
  <c r="T165" i="59"/>
  <c r="V165" i="59" s="1"/>
  <c r="W165" i="59" s="1"/>
  <c r="M165" i="59"/>
  <c r="X165" i="59" s="1"/>
  <c r="W164" i="59"/>
  <c r="Y164" i="59" s="1"/>
  <c r="V164" i="59"/>
  <c r="T164" i="59"/>
  <c r="M164" i="59"/>
  <c r="X164" i="59" s="1"/>
  <c r="T163" i="59"/>
  <c r="V163" i="59" s="1"/>
  <c r="W163" i="59" s="1"/>
  <c r="M163" i="59"/>
  <c r="X163" i="59" s="1"/>
  <c r="W162" i="59"/>
  <c r="V162" i="59"/>
  <c r="T162" i="59"/>
  <c r="M162" i="59"/>
  <c r="X162" i="59" s="1"/>
  <c r="T161" i="59"/>
  <c r="W161" i="59" s="1"/>
  <c r="Y161" i="59" s="1"/>
  <c r="M161" i="59"/>
  <c r="X161" i="59" s="1"/>
  <c r="W160" i="59"/>
  <c r="Y160" i="59" s="1"/>
  <c r="V160" i="59"/>
  <c r="T160" i="59"/>
  <c r="M160" i="59"/>
  <c r="X160" i="59" s="1"/>
  <c r="T159" i="59"/>
  <c r="L159" i="59"/>
  <c r="I159" i="59"/>
  <c r="H159" i="59"/>
  <c r="F159" i="59"/>
  <c r="E159" i="59"/>
  <c r="D159" i="59"/>
  <c r="C159" i="59"/>
  <c r="M159" i="59" s="1"/>
  <c r="X159" i="59" s="1"/>
  <c r="V158" i="59"/>
  <c r="T158" i="59"/>
  <c r="L158" i="59"/>
  <c r="K158" i="59"/>
  <c r="J158" i="59"/>
  <c r="I158" i="59"/>
  <c r="H158" i="59"/>
  <c r="G158" i="59"/>
  <c r="F158" i="59"/>
  <c r="D158" i="59"/>
  <c r="C158" i="59"/>
  <c r="M158" i="59" s="1"/>
  <c r="T157" i="59"/>
  <c r="W157" i="59" s="1"/>
  <c r="Y157" i="59" s="1"/>
  <c r="M157" i="59"/>
  <c r="X157" i="59" s="1"/>
  <c r="V156" i="59"/>
  <c r="T156" i="59"/>
  <c r="L156" i="59"/>
  <c r="K156" i="59"/>
  <c r="J156" i="59"/>
  <c r="I156" i="59"/>
  <c r="H156" i="59"/>
  <c r="G156" i="59"/>
  <c r="F156" i="59"/>
  <c r="D156" i="59"/>
  <c r="C156" i="59"/>
  <c r="M156" i="59" s="1"/>
  <c r="W155" i="59"/>
  <c r="Y155" i="59" s="1"/>
  <c r="V155" i="59"/>
  <c r="T155" i="59"/>
  <c r="M155" i="59"/>
  <c r="X155" i="59" s="1"/>
  <c r="T154" i="59"/>
  <c r="W154" i="59" s="1"/>
  <c r="Y154" i="59" s="1"/>
  <c r="M154" i="59"/>
  <c r="X154" i="59" s="1"/>
  <c r="W153" i="59"/>
  <c r="Y153" i="59" s="1"/>
  <c r="V153" i="59"/>
  <c r="T153" i="59"/>
  <c r="M153" i="59"/>
  <c r="X153" i="59" s="1"/>
  <c r="T152" i="59"/>
  <c r="W152" i="59" s="1"/>
  <c r="Y152" i="59" s="1"/>
  <c r="M152" i="59"/>
  <c r="X152" i="59" s="1"/>
  <c r="V151" i="59"/>
  <c r="T151" i="59"/>
  <c r="L151" i="59"/>
  <c r="K151" i="59"/>
  <c r="J151" i="59"/>
  <c r="I151" i="59"/>
  <c r="G151" i="59"/>
  <c r="F151" i="59"/>
  <c r="C151" i="59"/>
  <c r="M151" i="59" s="1"/>
  <c r="V150" i="59"/>
  <c r="T150" i="59"/>
  <c r="L150" i="59"/>
  <c r="K150" i="59"/>
  <c r="J150" i="59"/>
  <c r="I150" i="59"/>
  <c r="H150" i="59"/>
  <c r="G150" i="59"/>
  <c r="F150" i="59"/>
  <c r="D150" i="59"/>
  <c r="C150" i="59"/>
  <c r="M150" i="59" s="1"/>
  <c r="V149" i="59"/>
  <c r="T149" i="59"/>
  <c r="L149" i="59"/>
  <c r="K149" i="59"/>
  <c r="J149" i="59"/>
  <c r="I149" i="59"/>
  <c r="H149" i="59"/>
  <c r="G149" i="59"/>
  <c r="F149" i="59"/>
  <c r="D149" i="59"/>
  <c r="C149" i="59"/>
  <c r="M149" i="59" s="1"/>
  <c r="T148" i="59"/>
  <c r="L148" i="59"/>
  <c r="K148" i="59"/>
  <c r="J148" i="59"/>
  <c r="I148" i="59"/>
  <c r="H148" i="59"/>
  <c r="G148" i="59"/>
  <c r="F148" i="59"/>
  <c r="E148" i="59"/>
  <c r="D148" i="59"/>
  <c r="C148" i="59"/>
  <c r="M148" i="59" s="1"/>
  <c r="X148" i="59" s="1"/>
  <c r="X10" i="59" s="1"/>
  <c r="T147" i="59"/>
  <c r="L147" i="59"/>
  <c r="K147" i="59"/>
  <c r="J147" i="59"/>
  <c r="I147" i="59"/>
  <c r="H147" i="59"/>
  <c r="G147" i="59"/>
  <c r="F147" i="59"/>
  <c r="E147" i="59"/>
  <c r="D147" i="59"/>
  <c r="C147" i="59"/>
  <c r="M147" i="59" s="1"/>
  <c r="X147" i="59" s="1"/>
  <c r="T146" i="59"/>
  <c r="L146" i="59"/>
  <c r="K146" i="59"/>
  <c r="J146" i="59"/>
  <c r="I146" i="59"/>
  <c r="H146" i="59"/>
  <c r="G146" i="59"/>
  <c r="E146" i="59"/>
  <c r="D146" i="59"/>
  <c r="C146" i="59"/>
  <c r="T145" i="59"/>
  <c r="L145" i="59"/>
  <c r="K145" i="59"/>
  <c r="J145" i="59"/>
  <c r="I145" i="59"/>
  <c r="H145" i="59"/>
  <c r="G145" i="59"/>
  <c r="F145" i="59"/>
  <c r="E145" i="59"/>
  <c r="M145" i="59" s="1"/>
  <c r="X145" i="59" s="1"/>
  <c r="D145" i="59"/>
  <c r="C145" i="59"/>
  <c r="T144" i="59"/>
  <c r="L144" i="59"/>
  <c r="K144" i="59"/>
  <c r="J144" i="59"/>
  <c r="I144" i="59"/>
  <c r="H144" i="59"/>
  <c r="G144" i="59"/>
  <c r="F144" i="59"/>
  <c r="E144" i="59"/>
  <c r="M144" i="59" s="1"/>
  <c r="X144" i="59" s="1"/>
  <c r="D144" i="59"/>
  <c r="C144" i="59"/>
  <c r="T143" i="59"/>
  <c r="L143" i="59"/>
  <c r="K143" i="59"/>
  <c r="J143" i="59"/>
  <c r="I143" i="59"/>
  <c r="H143" i="59"/>
  <c r="G143" i="59"/>
  <c r="E143" i="59"/>
  <c r="D143" i="59"/>
  <c r="M143" i="59" s="1"/>
  <c r="X143" i="59" s="1"/>
  <c r="C143" i="59"/>
  <c r="V142" i="59"/>
  <c r="T142" i="59"/>
  <c r="L142" i="59"/>
  <c r="K142" i="59"/>
  <c r="J142" i="59"/>
  <c r="I142" i="59"/>
  <c r="H142" i="59"/>
  <c r="G142" i="59"/>
  <c r="F142" i="59"/>
  <c r="E142" i="59"/>
  <c r="D142" i="59"/>
  <c r="M142" i="59" s="1"/>
  <c r="X142" i="59" s="1"/>
  <c r="C142" i="59"/>
  <c r="V141" i="59"/>
  <c r="T141" i="59"/>
  <c r="L141" i="59"/>
  <c r="K141" i="59"/>
  <c r="J141" i="59"/>
  <c r="I141" i="59"/>
  <c r="H141" i="59"/>
  <c r="G141" i="59"/>
  <c r="F141" i="59"/>
  <c r="E141" i="59"/>
  <c r="D141" i="59"/>
  <c r="M141" i="59" s="1"/>
  <c r="X141" i="59" s="1"/>
  <c r="C141" i="59"/>
  <c r="W140" i="59"/>
  <c r="Y140" i="59" s="1"/>
  <c r="V140" i="59"/>
  <c r="T140" i="59"/>
  <c r="L140" i="59"/>
  <c r="K140" i="59"/>
  <c r="J140" i="59"/>
  <c r="I140" i="59"/>
  <c r="H140" i="59"/>
  <c r="G140" i="59"/>
  <c r="F140" i="59"/>
  <c r="E140" i="59"/>
  <c r="D140" i="59"/>
  <c r="M140" i="59" s="1"/>
  <c r="X140" i="59" s="1"/>
  <c r="C140" i="59"/>
  <c r="V139" i="59"/>
  <c r="T139" i="59"/>
  <c r="L139" i="59"/>
  <c r="K139" i="59"/>
  <c r="J139" i="59"/>
  <c r="I139" i="59"/>
  <c r="H139" i="59"/>
  <c r="G139" i="59"/>
  <c r="F139" i="59"/>
  <c r="E139" i="59"/>
  <c r="D139" i="59"/>
  <c r="M139" i="59" s="1"/>
  <c r="C139" i="59"/>
  <c r="V138" i="59"/>
  <c r="T138" i="59"/>
  <c r="L138" i="59"/>
  <c r="K138" i="59"/>
  <c r="J138" i="59"/>
  <c r="I138" i="59"/>
  <c r="H138" i="59"/>
  <c r="G138" i="59"/>
  <c r="F138" i="59"/>
  <c r="E138" i="59"/>
  <c r="D138" i="59"/>
  <c r="M138" i="59" s="1"/>
  <c r="X138" i="59" s="1"/>
  <c r="C138" i="59"/>
  <c r="W137" i="59"/>
  <c r="V137" i="59"/>
  <c r="T137" i="59"/>
  <c r="M137" i="59"/>
  <c r="X137" i="59" s="1"/>
  <c r="T136" i="59"/>
  <c r="L136" i="59"/>
  <c r="K136" i="59"/>
  <c r="J136" i="59"/>
  <c r="I136" i="59"/>
  <c r="H136" i="59"/>
  <c r="G136" i="59"/>
  <c r="F136" i="59"/>
  <c r="E136" i="59"/>
  <c r="D136" i="59"/>
  <c r="C136" i="59"/>
  <c r="M136" i="59" s="1"/>
  <c r="T135" i="59"/>
  <c r="L135" i="59"/>
  <c r="K135" i="59"/>
  <c r="J135" i="59"/>
  <c r="I135" i="59"/>
  <c r="H135" i="59"/>
  <c r="G135" i="59"/>
  <c r="F135" i="59"/>
  <c r="E135" i="59"/>
  <c r="D135" i="59"/>
  <c r="C135" i="59"/>
  <c r="M135" i="59" s="1"/>
  <c r="T134" i="59"/>
  <c r="L134" i="59"/>
  <c r="K134" i="59"/>
  <c r="J134" i="59"/>
  <c r="I134" i="59"/>
  <c r="H134" i="59"/>
  <c r="G134" i="59"/>
  <c r="F134" i="59"/>
  <c r="E134" i="59"/>
  <c r="D134" i="59"/>
  <c r="C134" i="59"/>
  <c r="M134" i="59" s="1"/>
  <c r="T133" i="59"/>
  <c r="L133" i="59"/>
  <c r="K133" i="59"/>
  <c r="J133" i="59"/>
  <c r="I133" i="59"/>
  <c r="H133" i="59"/>
  <c r="G133" i="59"/>
  <c r="F133" i="59"/>
  <c r="E133" i="59"/>
  <c r="D133" i="59"/>
  <c r="C133" i="59"/>
  <c r="M133" i="59" s="1"/>
  <c r="T132" i="59"/>
  <c r="L132" i="59"/>
  <c r="K132" i="59"/>
  <c r="J132" i="59"/>
  <c r="I132" i="59"/>
  <c r="H132" i="59"/>
  <c r="G132" i="59"/>
  <c r="F132" i="59"/>
  <c r="E132" i="59"/>
  <c r="D132" i="59"/>
  <c r="C132" i="59"/>
  <c r="M132" i="59" s="1"/>
  <c r="T131" i="59"/>
  <c r="L131" i="59"/>
  <c r="K131" i="59"/>
  <c r="J131" i="59"/>
  <c r="I131" i="59"/>
  <c r="H131" i="59"/>
  <c r="G131" i="59"/>
  <c r="F131" i="59"/>
  <c r="E131" i="59"/>
  <c r="D131" i="59"/>
  <c r="C131" i="59"/>
  <c r="M131" i="59" s="1"/>
  <c r="V130" i="59"/>
  <c r="T130" i="59"/>
  <c r="L130" i="59"/>
  <c r="K130" i="59"/>
  <c r="J130" i="59"/>
  <c r="I130" i="59"/>
  <c r="H130" i="59"/>
  <c r="G130" i="59"/>
  <c r="F130" i="59"/>
  <c r="E130" i="59"/>
  <c r="D130" i="59"/>
  <c r="C130" i="59"/>
  <c r="T129" i="59"/>
  <c r="L129" i="59"/>
  <c r="K129" i="59"/>
  <c r="J129" i="59"/>
  <c r="I129" i="59"/>
  <c r="H129" i="59"/>
  <c r="G129" i="59"/>
  <c r="F129" i="59"/>
  <c r="E129" i="59"/>
  <c r="D129" i="59"/>
  <c r="C129" i="59"/>
  <c r="M129" i="59" s="1"/>
  <c r="X129" i="59" s="1"/>
  <c r="V128" i="59"/>
  <c r="T128" i="59"/>
  <c r="L128" i="59"/>
  <c r="K128" i="59"/>
  <c r="J128" i="59"/>
  <c r="I128" i="59"/>
  <c r="H128" i="59"/>
  <c r="G128" i="59"/>
  <c r="F128" i="59"/>
  <c r="E128" i="59"/>
  <c r="D128" i="59"/>
  <c r="C128" i="59"/>
  <c r="T127" i="59"/>
  <c r="L127" i="59"/>
  <c r="K127" i="59"/>
  <c r="J127" i="59"/>
  <c r="I127" i="59"/>
  <c r="H127" i="59"/>
  <c r="G127" i="59"/>
  <c r="F127" i="59"/>
  <c r="E127" i="59"/>
  <c r="D127" i="59"/>
  <c r="C127" i="59"/>
  <c r="M127" i="59" s="1"/>
  <c r="V126" i="59"/>
  <c r="T126" i="59"/>
  <c r="L126" i="59"/>
  <c r="K126" i="59"/>
  <c r="J126" i="59"/>
  <c r="I126" i="59"/>
  <c r="H126" i="59"/>
  <c r="G126" i="59"/>
  <c r="E126" i="59"/>
  <c r="D126" i="59"/>
  <c r="C126" i="59"/>
  <c r="T125" i="59"/>
  <c r="L125" i="59"/>
  <c r="K125" i="59"/>
  <c r="J125" i="59"/>
  <c r="I125" i="59"/>
  <c r="H125" i="59"/>
  <c r="G125" i="59"/>
  <c r="F125" i="59"/>
  <c r="E125" i="59"/>
  <c r="M125" i="59" s="1"/>
  <c r="X125" i="59" s="1"/>
  <c r="D125" i="59"/>
  <c r="C125" i="59"/>
  <c r="T124" i="59"/>
  <c r="M124" i="59"/>
  <c r="X124" i="59" s="1"/>
  <c r="W123" i="59"/>
  <c r="V123" i="59"/>
  <c r="T123" i="59"/>
  <c r="M123" i="59"/>
  <c r="X123" i="59" s="1"/>
  <c r="T122" i="59"/>
  <c r="M122" i="59"/>
  <c r="X122" i="59" s="1"/>
  <c r="V121" i="59"/>
  <c r="T121" i="59"/>
  <c r="L121" i="59"/>
  <c r="K121" i="59"/>
  <c r="J121" i="59"/>
  <c r="I121" i="59"/>
  <c r="H121" i="59"/>
  <c r="G121" i="59"/>
  <c r="F121" i="59"/>
  <c r="E121" i="59"/>
  <c r="D121" i="59"/>
  <c r="C121" i="59"/>
  <c r="V120" i="59"/>
  <c r="T120" i="59"/>
  <c r="L120" i="59"/>
  <c r="K120" i="59"/>
  <c r="J120" i="59"/>
  <c r="I120" i="59"/>
  <c r="H120" i="59"/>
  <c r="G120" i="59"/>
  <c r="F120" i="59"/>
  <c r="E120" i="59"/>
  <c r="D120" i="59"/>
  <c r="C120" i="59"/>
  <c r="V119" i="59"/>
  <c r="T119" i="59"/>
  <c r="L119" i="59"/>
  <c r="K119" i="59"/>
  <c r="J119" i="59"/>
  <c r="I119" i="59"/>
  <c r="H119" i="59"/>
  <c r="G119" i="59"/>
  <c r="F119" i="59"/>
  <c r="E119" i="59"/>
  <c r="D119" i="59"/>
  <c r="C119" i="59"/>
  <c r="V118" i="59"/>
  <c r="T118" i="59"/>
  <c r="L118" i="59"/>
  <c r="K118" i="59"/>
  <c r="J118" i="59"/>
  <c r="I118" i="59"/>
  <c r="H118" i="59"/>
  <c r="G118" i="59"/>
  <c r="F118" i="59"/>
  <c r="E118" i="59"/>
  <c r="D118" i="59"/>
  <c r="C118" i="59"/>
  <c r="M118" i="59" s="1"/>
  <c r="V117" i="59"/>
  <c r="T117" i="59"/>
  <c r="L117" i="59"/>
  <c r="K117" i="59"/>
  <c r="J117" i="59"/>
  <c r="I117" i="59"/>
  <c r="H117" i="59"/>
  <c r="G117" i="59"/>
  <c r="F117" i="59"/>
  <c r="E117" i="59"/>
  <c r="D117" i="59"/>
  <c r="C117" i="59"/>
  <c r="V116" i="59"/>
  <c r="T116" i="59"/>
  <c r="L116" i="59"/>
  <c r="K116" i="59"/>
  <c r="J116" i="59"/>
  <c r="I116" i="59"/>
  <c r="H116" i="59"/>
  <c r="G116" i="59"/>
  <c r="F116" i="59"/>
  <c r="E116" i="59"/>
  <c r="D116" i="59"/>
  <c r="C116" i="59"/>
  <c r="M116" i="59" s="1"/>
  <c r="V115" i="59"/>
  <c r="T115" i="59"/>
  <c r="W115" i="59" s="1"/>
  <c r="L115" i="59"/>
  <c r="K115" i="59"/>
  <c r="J115" i="59"/>
  <c r="I115" i="59"/>
  <c r="H115" i="59"/>
  <c r="G115" i="59"/>
  <c r="F115" i="59"/>
  <c r="E115" i="59"/>
  <c r="D115" i="59"/>
  <c r="C115" i="59"/>
  <c r="M115" i="59" s="1"/>
  <c r="X115" i="59" s="1"/>
  <c r="V114" i="59"/>
  <c r="T114" i="59"/>
  <c r="L114" i="59"/>
  <c r="K114" i="59"/>
  <c r="J114" i="59"/>
  <c r="I114" i="59"/>
  <c r="H114" i="59"/>
  <c r="G114" i="59"/>
  <c r="F114" i="59"/>
  <c r="E114" i="59"/>
  <c r="D114" i="59"/>
  <c r="C114" i="59"/>
  <c r="M114" i="59" s="1"/>
  <c r="V113" i="59"/>
  <c r="T113" i="59"/>
  <c r="L113" i="59"/>
  <c r="K113" i="59"/>
  <c r="J113" i="59"/>
  <c r="I113" i="59"/>
  <c r="H113" i="59"/>
  <c r="G113" i="59"/>
  <c r="F113" i="59"/>
  <c r="E113" i="59"/>
  <c r="D113" i="59"/>
  <c r="C113" i="59"/>
  <c r="M113" i="59" s="1"/>
  <c r="X113" i="59" s="1"/>
  <c r="V112" i="59"/>
  <c r="T112" i="59"/>
  <c r="W112" i="59" s="1"/>
  <c r="M112" i="59"/>
  <c r="X112" i="59" s="1"/>
  <c r="X13" i="59" s="1"/>
  <c r="L112" i="59"/>
  <c r="T111" i="59"/>
  <c r="M111" i="59"/>
  <c r="X111" i="59" s="1"/>
  <c r="W110" i="59"/>
  <c r="T110" i="59"/>
  <c r="V110" i="59" s="1"/>
  <c r="M110" i="59"/>
  <c r="T109" i="59"/>
  <c r="M109" i="59"/>
  <c r="W108" i="59"/>
  <c r="T108" i="59"/>
  <c r="V108" i="59" s="1"/>
  <c r="M108" i="59"/>
  <c r="T107" i="59"/>
  <c r="M107" i="59"/>
  <c r="T106" i="59"/>
  <c r="V106" i="59" s="1"/>
  <c r="L106" i="59"/>
  <c r="K106" i="59"/>
  <c r="J106" i="59"/>
  <c r="I106" i="59"/>
  <c r="H106" i="59"/>
  <c r="G106" i="59"/>
  <c r="F106" i="59"/>
  <c r="E106" i="59"/>
  <c r="D106" i="59"/>
  <c r="M106" i="59" s="1"/>
  <c r="X106" i="59" s="1"/>
  <c r="V105" i="59"/>
  <c r="T105" i="59"/>
  <c r="L105" i="59"/>
  <c r="K105" i="59"/>
  <c r="J105" i="59"/>
  <c r="I105" i="59"/>
  <c r="H105" i="59"/>
  <c r="G105" i="59"/>
  <c r="F105" i="59"/>
  <c r="E105" i="59"/>
  <c r="D105" i="59"/>
  <c r="C105" i="59"/>
  <c r="M105" i="59" s="1"/>
  <c r="V104" i="59"/>
  <c r="T104" i="59"/>
  <c r="L104" i="59"/>
  <c r="K104" i="59"/>
  <c r="J104" i="59"/>
  <c r="I104" i="59"/>
  <c r="H104" i="59"/>
  <c r="G104" i="59"/>
  <c r="F104" i="59"/>
  <c r="E104" i="59"/>
  <c r="D104" i="59"/>
  <c r="C104" i="59"/>
  <c r="M104" i="59" s="1"/>
  <c r="X104" i="59" s="1"/>
  <c r="V103" i="59"/>
  <c r="T103" i="59"/>
  <c r="L103" i="59"/>
  <c r="K103" i="59"/>
  <c r="J103" i="59"/>
  <c r="I103" i="59"/>
  <c r="H103" i="59"/>
  <c r="G103" i="59"/>
  <c r="F103" i="59"/>
  <c r="E103" i="59"/>
  <c r="D103" i="59"/>
  <c r="C103" i="59"/>
  <c r="M103" i="59" s="1"/>
  <c r="X103" i="59" s="1"/>
  <c r="V102" i="59"/>
  <c r="T102" i="59"/>
  <c r="L102" i="59"/>
  <c r="K102" i="59"/>
  <c r="J102" i="59"/>
  <c r="I102" i="59"/>
  <c r="H102" i="59"/>
  <c r="G102" i="59"/>
  <c r="F102" i="59"/>
  <c r="E102" i="59"/>
  <c r="D102" i="59"/>
  <c r="C102" i="59"/>
  <c r="M102" i="59" s="1"/>
  <c r="X102" i="59" s="1"/>
  <c r="V101" i="59"/>
  <c r="T101" i="59"/>
  <c r="L101" i="59"/>
  <c r="K101" i="59"/>
  <c r="J101" i="59"/>
  <c r="I101" i="59"/>
  <c r="H101" i="59"/>
  <c r="G101" i="59"/>
  <c r="F101" i="59"/>
  <c r="E101" i="59"/>
  <c r="D101" i="59"/>
  <c r="C101" i="59"/>
  <c r="M101" i="59" s="1"/>
  <c r="X101" i="59" s="1"/>
  <c r="V100" i="59"/>
  <c r="T100" i="59"/>
  <c r="M100" i="59"/>
  <c r="X100" i="59" s="1"/>
  <c r="X99" i="59"/>
  <c r="V99" i="59"/>
  <c r="T99" i="59"/>
  <c r="M99" i="59"/>
  <c r="W99" i="59" s="1"/>
  <c r="V98" i="59"/>
  <c r="T98" i="59"/>
  <c r="M98" i="59"/>
  <c r="X98" i="59" s="1"/>
  <c r="V97" i="59"/>
  <c r="T97" i="59"/>
  <c r="M97" i="59"/>
  <c r="W97" i="59" s="1"/>
  <c r="V96" i="59"/>
  <c r="T96" i="59"/>
  <c r="M96" i="59"/>
  <c r="X96" i="59" s="1"/>
  <c r="V95" i="59"/>
  <c r="T95" i="59"/>
  <c r="M95" i="59"/>
  <c r="W95" i="59" s="1"/>
  <c r="V94" i="59"/>
  <c r="T94" i="59"/>
  <c r="M94" i="59"/>
  <c r="X94" i="59" s="1"/>
  <c r="X93" i="59"/>
  <c r="V93" i="59"/>
  <c r="T93" i="59"/>
  <c r="M93" i="59"/>
  <c r="W93" i="59" s="1"/>
  <c r="V92" i="59"/>
  <c r="T92" i="59"/>
  <c r="M92" i="59"/>
  <c r="X91" i="59"/>
  <c r="V91" i="59"/>
  <c r="T91" i="59"/>
  <c r="M91" i="59"/>
  <c r="W91" i="59" s="1"/>
  <c r="V90" i="59"/>
  <c r="T90" i="59"/>
  <c r="M90" i="59"/>
  <c r="V89" i="59"/>
  <c r="T89" i="59"/>
  <c r="M89" i="59"/>
  <c r="W89" i="59" s="1"/>
  <c r="V88" i="59"/>
  <c r="T88" i="59"/>
  <c r="M88" i="59"/>
  <c r="X88" i="59" s="1"/>
  <c r="X17" i="59" s="1"/>
  <c r="V87" i="59"/>
  <c r="T87" i="59"/>
  <c r="M87" i="59"/>
  <c r="W87" i="59" s="1"/>
  <c r="Y87" i="59" s="1"/>
  <c r="V86" i="59"/>
  <c r="T86" i="59"/>
  <c r="M86" i="59"/>
  <c r="X86" i="59" s="1"/>
  <c r="X85" i="59"/>
  <c r="V85" i="59"/>
  <c r="T85" i="59"/>
  <c r="M85" i="59"/>
  <c r="W85" i="59" s="1"/>
  <c r="Y85" i="59" s="1"/>
  <c r="V83" i="59"/>
  <c r="T83" i="59"/>
  <c r="M83" i="59"/>
  <c r="X83" i="59" s="1"/>
  <c r="V82" i="59"/>
  <c r="T82" i="59"/>
  <c r="M82" i="59"/>
  <c r="W82" i="59" s="1"/>
  <c r="V81" i="59"/>
  <c r="T81" i="59"/>
  <c r="M81" i="59"/>
  <c r="X81" i="59" s="1"/>
  <c r="V80" i="59"/>
  <c r="T80" i="59"/>
  <c r="M80" i="59"/>
  <c r="W80" i="59" s="1"/>
  <c r="V79" i="59"/>
  <c r="T79" i="59"/>
  <c r="M79" i="59"/>
  <c r="X79" i="59" s="1"/>
  <c r="V78" i="59"/>
  <c r="T78" i="59"/>
  <c r="M78" i="59"/>
  <c r="W78" i="59" s="1"/>
  <c r="Y78" i="59" s="1"/>
  <c r="V77" i="59"/>
  <c r="T77" i="59"/>
  <c r="M77" i="59"/>
  <c r="X77" i="59" s="1"/>
  <c r="X76" i="59"/>
  <c r="V76" i="59"/>
  <c r="T76" i="59"/>
  <c r="M76" i="59"/>
  <c r="W76" i="59" s="1"/>
  <c r="Y76" i="59" s="1"/>
  <c r="V74" i="59"/>
  <c r="V21" i="59" s="1"/>
  <c r="T74" i="59"/>
  <c r="M74" i="59"/>
  <c r="X74" i="59" s="1"/>
  <c r="V73" i="59"/>
  <c r="T73" i="59"/>
  <c r="M73" i="59"/>
  <c r="W73" i="59" s="1"/>
  <c r="V72" i="59"/>
  <c r="T72" i="59"/>
  <c r="M72" i="59"/>
  <c r="X72" i="59" s="1"/>
  <c r="V70" i="59"/>
  <c r="T70" i="59"/>
  <c r="M70" i="59"/>
  <c r="W70" i="59" s="1"/>
  <c r="V69" i="59"/>
  <c r="T69" i="59"/>
  <c r="M69" i="59"/>
  <c r="X69" i="59" s="1"/>
  <c r="V68" i="59"/>
  <c r="T68" i="59"/>
  <c r="M68" i="59"/>
  <c r="W68" i="59" s="1"/>
  <c r="Y68" i="59" s="1"/>
  <c r="V66" i="59"/>
  <c r="T66" i="59"/>
  <c r="M66" i="59"/>
  <c r="X66" i="59" s="1"/>
  <c r="X65" i="59"/>
  <c r="V65" i="59"/>
  <c r="T65" i="59"/>
  <c r="M65" i="59"/>
  <c r="W65" i="59" s="1"/>
  <c r="Y65" i="59" s="1"/>
  <c r="V64" i="59"/>
  <c r="T64" i="59"/>
  <c r="M64" i="59"/>
  <c r="X64" i="59" s="1"/>
  <c r="V62" i="59"/>
  <c r="T62" i="59"/>
  <c r="M62" i="59"/>
  <c r="W62" i="59" s="1"/>
  <c r="V61" i="59"/>
  <c r="T61" i="59"/>
  <c r="M61" i="59"/>
  <c r="X61" i="59" s="1"/>
  <c r="V60" i="59"/>
  <c r="T60" i="59"/>
  <c r="M60" i="59"/>
  <c r="W60" i="59" s="1"/>
  <c r="X58" i="59"/>
  <c r="V58" i="59"/>
  <c r="W58" i="59" s="1"/>
  <c r="U58" i="59"/>
  <c r="T58" i="59"/>
  <c r="X57" i="59"/>
  <c r="V57" i="59"/>
  <c r="W57" i="59" s="1"/>
  <c r="Y57" i="59" s="1"/>
  <c r="T57" i="59"/>
  <c r="T55" i="59"/>
  <c r="V55" i="59" s="1"/>
  <c r="W55" i="59" s="1"/>
  <c r="M55" i="59"/>
  <c r="X55" i="59" s="1"/>
  <c r="X32" i="59" s="1"/>
  <c r="T54" i="59"/>
  <c r="V54" i="59" s="1"/>
  <c r="W54" i="59" s="1"/>
  <c r="M54" i="59"/>
  <c r="X54" i="59" s="1"/>
  <c r="T53" i="59"/>
  <c r="V53" i="59" s="1"/>
  <c r="W53" i="59" s="1"/>
  <c r="M53" i="59"/>
  <c r="X53" i="59" s="1"/>
  <c r="T52" i="59"/>
  <c r="V52" i="59" s="1"/>
  <c r="W52" i="59" s="1"/>
  <c r="M52" i="59"/>
  <c r="T51" i="59"/>
  <c r="V51" i="59" s="1"/>
  <c r="W51" i="59" s="1"/>
  <c r="M51" i="59"/>
  <c r="X51" i="59" s="1"/>
  <c r="T50" i="59"/>
  <c r="V50" i="59" s="1"/>
  <c r="W50" i="59" s="1"/>
  <c r="M50" i="59"/>
  <c r="X50" i="59" s="1"/>
  <c r="T49" i="59"/>
  <c r="V49" i="59" s="1"/>
  <c r="M49" i="59"/>
  <c r="X49" i="59" s="1"/>
  <c r="T48" i="59"/>
  <c r="V48" i="59" s="1"/>
  <c r="M48" i="59"/>
  <c r="X48" i="59" s="1"/>
  <c r="X25" i="59" s="1"/>
  <c r="T47" i="59"/>
  <c r="V47" i="59" s="1"/>
  <c r="M47" i="59"/>
  <c r="X47" i="59" s="1"/>
  <c r="X24" i="59" s="1"/>
  <c r="T46" i="59"/>
  <c r="T23" i="59" s="1"/>
  <c r="M46" i="59"/>
  <c r="X46" i="59" s="1"/>
  <c r="X23" i="59" s="1"/>
  <c r="X35" i="59"/>
  <c r="W35" i="59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E35" i="59"/>
  <c r="D35" i="59"/>
  <c r="C35" i="59"/>
  <c r="B35" i="59"/>
  <c r="A35" i="59"/>
  <c r="Y34" i="59"/>
  <c r="X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E34" i="59"/>
  <c r="D34" i="59"/>
  <c r="C34" i="59"/>
  <c r="B34" i="59"/>
  <c r="A34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E32" i="59"/>
  <c r="D32" i="59"/>
  <c r="C32" i="59"/>
  <c r="B32" i="59"/>
  <c r="A32" i="59"/>
  <c r="X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E31" i="59"/>
  <c r="D31" i="59"/>
  <c r="C31" i="59"/>
  <c r="B31" i="59"/>
  <c r="A31" i="59"/>
  <c r="X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E30" i="59"/>
  <c r="D30" i="59"/>
  <c r="C30" i="59"/>
  <c r="B30" i="59"/>
  <c r="A30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A29" i="59"/>
  <c r="X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A28" i="59"/>
  <c r="X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F27" i="59"/>
  <c r="E27" i="59"/>
  <c r="D27" i="59"/>
  <c r="C27" i="59"/>
  <c r="B27" i="59"/>
  <c r="A27" i="59"/>
  <c r="X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E26" i="59"/>
  <c r="D26" i="59"/>
  <c r="C26" i="59"/>
  <c r="B26" i="59"/>
  <c r="A26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E25" i="59"/>
  <c r="D25" i="59"/>
  <c r="C25" i="59"/>
  <c r="B25" i="59"/>
  <c r="A25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C24" i="59"/>
  <c r="B24" i="59"/>
  <c r="A24" i="59"/>
  <c r="U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C23" i="59"/>
  <c r="B23" i="59"/>
  <c r="A23" i="59"/>
  <c r="X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C21" i="59"/>
  <c r="B21" i="59"/>
  <c r="A21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E20" i="59"/>
  <c r="D20" i="59"/>
  <c r="C20" i="59"/>
  <c r="B20" i="59"/>
  <c r="A20" i="59"/>
  <c r="X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C19" i="59"/>
  <c r="B19" i="59"/>
  <c r="A19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C17" i="59"/>
  <c r="B17" i="59"/>
  <c r="X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X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U10" i="59"/>
  <c r="T10" i="59"/>
  <c r="S10" i="59"/>
  <c r="R10" i="59"/>
  <c r="Q10" i="59"/>
  <c r="P10" i="59"/>
  <c r="O10" i="59"/>
  <c r="N10" i="59"/>
  <c r="L10" i="59"/>
  <c r="K10" i="59"/>
  <c r="J10" i="59"/>
  <c r="I10" i="59"/>
  <c r="H10" i="59"/>
  <c r="G10" i="59"/>
  <c r="F10" i="59"/>
  <c r="E10" i="59"/>
  <c r="D10" i="59"/>
  <c r="C10" i="59"/>
  <c r="B10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J33" i="58"/>
  <c r="J28" i="58"/>
  <c r="J27" i="58"/>
  <c r="J26" i="58"/>
  <c r="J25" i="58"/>
  <c r="J24" i="58"/>
  <c r="J23" i="58"/>
  <c r="J21" i="58"/>
  <c r="J20" i="58"/>
  <c r="J19" i="58"/>
  <c r="J18" i="58"/>
  <c r="J17" i="58"/>
  <c r="J16" i="58"/>
  <c r="J15" i="58"/>
  <c r="J14" i="58"/>
  <c r="J10" i="58"/>
  <c r="J9" i="58"/>
  <c r="J8" i="58"/>
  <c r="J7" i="58"/>
  <c r="R5" i="43"/>
  <c r="I52" i="37"/>
  <c r="H52" i="37"/>
  <c r="J52" i="37" s="1"/>
  <c r="F52" i="37"/>
  <c r="I51" i="37"/>
  <c r="H51" i="37"/>
  <c r="J51" i="37" s="1"/>
  <c r="F51" i="37"/>
  <c r="J47" i="37"/>
  <c r="I47" i="37"/>
  <c r="H47" i="37"/>
  <c r="F47" i="37"/>
  <c r="I46" i="37"/>
  <c r="H46" i="37"/>
  <c r="J46" i="37" s="1"/>
  <c r="F46" i="37"/>
  <c r="G42" i="37"/>
  <c r="G57" i="37" s="1"/>
  <c r="E42" i="37"/>
  <c r="G41" i="37"/>
  <c r="I41" i="37" s="1"/>
  <c r="E41" i="37"/>
  <c r="I37" i="37"/>
  <c r="H37" i="37"/>
  <c r="J37" i="37" s="1"/>
  <c r="F37" i="37"/>
  <c r="I36" i="37"/>
  <c r="H36" i="37"/>
  <c r="J36" i="37" s="1"/>
  <c r="F36" i="37"/>
  <c r="H32" i="37"/>
  <c r="F32" i="37"/>
  <c r="H31" i="37"/>
  <c r="F31" i="37"/>
  <c r="I27" i="37"/>
  <c r="H27" i="37"/>
  <c r="J27" i="37" s="1"/>
  <c r="F27" i="37"/>
  <c r="J26" i="37"/>
  <c r="I26" i="37"/>
  <c r="H26" i="37"/>
  <c r="F26" i="37"/>
  <c r="I22" i="37"/>
  <c r="H22" i="37"/>
  <c r="F22" i="37"/>
  <c r="J22" i="37" s="1"/>
  <c r="I21" i="37"/>
  <c r="H21" i="37"/>
  <c r="J21" i="37" s="1"/>
  <c r="F21" i="37"/>
  <c r="I17" i="37"/>
  <c r="H17" i="37"/>
  <c r="J17" i="37" s="1"/>
  <c r="F17" i="37"/>
  <c r="J16" i="37"/>
  <c r="I16" i="37"/>
  <c r="H16" i="37"/>
  <c r="F16" i="37"/>
  <c r="I12" i="37"/>
  <c r="H12" i="37"/>
  <c r="H42" i="37" s="1"/>
  <c r="F12" i="37"/>
  <c r="F42" i="37" s="1"/>
  <c r="I11" i="37"/>
  <c r="H11" i="37"/>
  <c r="H41" i="37" s="1"/>
  <c r="J41" i="37" s="1"/>
  <c r="F11" i="37"/>
  <c r="F41" i="37" s="1"/>
  <c r="T9" i="37"/>
  <c r="T11" i="37" s="1"/>
  <c r="Q18" i="37" s="1"/>
  <c r="S9" i="37"/>
  <c r="S11" i="37" s="1"/>
  <c r="Q17" i="37" s="1"/>
  <c r="R9" i="37"/>
  <c r="R11" i="37" s="1"/>
  <c r="P18" i="37" s="1"/>
  <c r="Q9" i="37"/>
  <c r="Q11" i="37" s="1"/>
  <c r="P17" i="37" s="1"/>
  <c r="P9" i="37"/>
  <c r="P11" i="37" s="1"/>
  <c r="N18" i="37" s="1"/>
  <c r="O9" i="37"/>
  <c r="O11" i="37" s="1"/>
  <c r="N17" i="37" s="1"/>
  <c r="N9" i="37"/>
  <c r="N11" i="37" s="1"/>
  <c r="M18" i="37" s="1"/>
  <c r="M9" i="37"/>
  <c r="M11" i="37" s="1"/>
  <c r="M17" i="37" s="1"/>
  <c r="T8" i="37"/>
  <c r="T10" i="37" s="1"/>
  <c r="Q15" i="37" s="1"/>
  <c r="S8" i="37"/>
  <c r="S10" i="37" s="1"/>
  <c r="Q14" i="37" s="1"/>
  <c r="R8" i="37"/>
  <c r="R10" i="37" s="1"/>
  <c r="P15" i="37" s="1"/>
  <c r="Q8" i="37"/>
  <c r="Q10" i="37" s="1"/>
  <c r="P14" i="37" s="1"/>
  <c r="P8" i="37"/>
  <c r="P10" i="37" s="1"/>
  <c r="N15" i="37" s="1"/>
  <c r="O8" i="37"/>
  <c r="O10" i="37" s="1"/>
  <c r="N14" i="37" s="1"/>
  <c r="N8" i="37"/>
  <c r="N10" i="37" s="1"/>
  <c r="M15" i="37" s="1"/>
  <c r="M8" i="37"/>
  <c r="M10" i="37" s="1"/>
  <c r="M14" i="37" s="1"/>
  <c r="J7" i="37"/>
  <c r="I7" i="37"/>
  <c r="H7" i="37"/>
  <c r="H57" i="37" s="1"/>
  <c r="J57" i="37" s="1"/>
  <c r="F7" i="37"/>
  <c r="F57" i="37" s="1"/>
  <c r="I6" i="37"/>
  <c r="H6" i="37"/>
  <c r="F6" i="37"/>
  <c r="J6" i="37" s="1"/>
  <c r="J5" i="37"/>
  <c r="H5" i="37"/>
  <c r="R7" i="37" s="1"/>
  <c r="T7" i="37" s="1"/>
  <c r="G5" i="37"/>
  <c r="Q7" i="37" s="1"/>
  <c r="S7" i="37" s="1"/>
  <c r="J26" i="35"/>
  <c r="S26" i="35" s="1"/>
  <c r="J25" i="35"/>
  <c r="S25" i="35" s="1"/>
  <c r="S24" i="35"/>
  <c r="J24" i="35"/>
  <c r="J23" i="35"/>
  <c r="S23" i="35" s="1"/>
  <c r="S22" i="35"/>
  <c r="J22" i="35"/>
  <c r="J21" i="35"/>
  <c r="S21" i="35" s="1"/>
  <c r="J20" i="35"/>
  <c r="S20" i="35" s="1"/>
  <c r="J19" i="35"/>
  <c r="S19" i="35" s="1"/>
  <c r="S18" i="35"/>
  <c r="J18" i="35"/>
  <c r="J17" i="35"/>
  <c r="S17" i="35" s="1"/>
  <c r="J16" i="35"/>
  <c r="S16" i="35" s="1"/>
  <c r="J15" i="35"/>
  <c r="S15" i="35" s="1"/>
  <c r="J14" i="35"/>
  <c r="S14" i="35" s="1"/>
  <c r="J13" i="35"/>
  <c r="S13" i="35" s="1"/>
  <c r="J12" i="35"/>
  <c r="S12" i="35" s="1"/>
  <c r="S11" i="35"/>
  <c r="J11" i="35"/>
  <c r="S10" i="35"/>
  <c r="J10" i="35"/>
  <c r="S9" i="35"/>
  <c r="J9" i="35"/>
  <c r="S8" i="35"/>
  <c r="J8" i="35"/>
  <c r="S7" i="35"/>
  <c r="J7" i="35"/>
  <c r="S6" i="35"/>
  <c r="J6" i="35"/>
  <c r="L26" i="34"/>
  <c r="W26" i="34" s="1"/>
  <c r="L25" i="34"/>
  <c r="W25" i="34" s="1"/>
  <c r="L24" i="34"/>
  <c r="W24" i="34" s="1"/>
  <c r="L23" i="34"/>
  <c r="W23" i="34" s="1"/>
  <c r="L22" i="34"/>
  <c r="W22" i="34" s="1"/>
  <c r="L21" i="34"/>
  <c r="W21" i="34" s="1"/>
  <c r="L20" i="34"/>
  <c r="W20" i="34" s="1"/>
  <c r="L19" i="34"/>
  <c r="W19" i="34" s="1"/>
  <c r="W18" i="34"/>
  <c r="L18" i="34"/>
  <c r="L17" i="34"/>
  <c r="W17" i="34" s="1"/>
  <c r="L16" i="34"/>
  <c r="W16" i="34" s="1"/>
  <c r="L15" i="34"/>
  <c r="W15" i="34" s="1"/>
  <c r="L14" i="34"/>
  <c r="W14" i="34" s="1"/>
  <c r="L13" i="34"/>
  <c r="W13" i="34" s="1"/>
  <c r="L12" i="34"/>
  <c r="W12" i="34" s="1"/>
  <c r="W11" i="34"/>
  <c r="L11" i="34"/>
  <c r="W10" i="34"/>
  <c r="L10" i="34"/>
  <c r="H5" i="33"/>
  <c r="L5" i="33" s="1"/>
  <c r="G5" i="33"/>
  <c r="K5" i="33" s="1"/>
  <c r="H56" i="37" l="1"/>
  <c r="K57" i="37"/>
  <c r="K52" i="37"/>
  <c r="K32" i="37"/>
  <c r="K22" i="37"/>
  <c r="K12" i="37"/>
  <c r="I57" i="37"/>
  <c r="K47" i="37"/>
  <c r="K37" i="37"/>
  <c r="K27" i="37"/>
  <c r="K17" i="37"/>
  <c r="K7" i="37"/>
  <c r="J42" i="37"/>
  <c r="I5" i="33"/>
  <c r="F56" i="37"/>
  <c r="J5" i="33"/>
  <c r="J11" i="37"/>
  <c r="I42" i="37"/>
  <c r="G56" i="37"/>
  <c r="I5" i="37"/>
  <c r="M7" i="37"/>
  <c r="O7" i="37" s="1"/>
  <c r="J12" i="37"/>
  <c r="N7" i="37"/>
  <c r="P7" i="37" s="1"/>
  <c r="K42" i="37"/>
  <c r="W48" i="59"/>
  <c r="V25" i="59"/>
  <c r="Y50" i="59"/>
  <c r="Y27" i="59" s="1"/>
  <c r="W27" i="59"/>
  <c r="Y52" i="59"/>
  <c r="Y29" i="59" s="1"/>
  <c r="W29" i="59"/>
  <c r="Y54" i="59"/>
  <c r="Y31" i="59" s="1"/>
  <c r="W31" i="59"/>
  <c r="W47" i="59"/>
  <c r="V24" i="59"/>
  <c r="W28" i="59"/>
  <c r="Y53" i="59"/>
  <c r="Y30" i="59" s="1"/>
  <c r="W30" i="59"/>
  <c r="V46" i="59"/>
  <c r="X52" i="59"/>
  <c r="X29" i="59" s="1"/>
  <c r="X62" i="59"/>
  <c r="X73" i="59"/>
  <c r="X20" i="59" s="1"/>
  <c r="X82" i="59"/>
  <c r="W107" i="59"/>
  <c r="V107" i="59"/>
  <c r="X110" i="59"/>
  <c r="W111" i="59"/>
  <c r="Y111" i="59" s="1"/>
  <c r="V111" i="59"/>
  <c r="W113" i="59"/>
  <c r="Y113" i="59" s="1"/>
  <c r="W114" i="59"/>
  <c r="W127" i="59"/>
  <c r="Y115" i="59" s="1"/>
  <c r="V127" i="59"/>
  <c r="W134" i="59"/>
  <c r="V134" i="59"/>
  <c r="X139" i="59"/>
  <c r="W139" i="59"/>
  <c r="Y139" i="59" s="1"/>
  <c r="X60" i="59"/>
  <c r="Y62" i="59"/>
  <c r="X70" i="59"/>
  <c r="Y73" i="59"/>
  <c r="Y20" i="59" s="1"/>
  <c r="X80" i="59"/>
  <c r="Y82" i="59"/>
  <c r="X89" i="59"/>
  <c r="Y91" i="59"/>
  <c r="X92" i="59"/>
  <c r="X97" i="59"/>
  <c r="Y99" i="59"/>
  <c r="X109" i="59"/>
  <c r="W133" i="59"/>
  <c r="V133" i="59"/>
  <c r="M10" i="59"/>
  <c r="W34" i="59"/>
  <c r="V35" i="59"/>
  <c r="W49" i="59"/>
  <c r="Y60" i="59"/>
  <c r="X68" i="59"/>
  <c r="Y70" i="59"/>
  <c r="X78" i="59"/>
  <c r="Y80" i="59"/>
  <c r="X87" i="59"/>
  <c r="X90" i="59"/>
  <c r="X95" i="59"/>
  <c r="W101" i="59"/>
  <c r="W102" i="59"/>
  <c r="Y102" i="59" s="1"/>
  <c r="W103" i="59"/>
  <c r="Y103" i="59" s="1"/>
  <c r="W104" i="59"/>
  <c r="W105" i="59"/>
  <c r="W106" i="59"/>
  <c r="Y106" i="59" s="1"/>
  <c r="W109" i="59"/>
  <c r="V109" i="59"/>
  <c r="Y110" i="59"/>
  <c r="W116" i="59"/>
  <c r="W118" i="59"/>
  <c r="W132" i="59"/>
  <c r="V132" i="59"/>
  <c r="W136" i="59"/>
  <c r="Y136" i="59" s="1"/>
  <c r="V136" i="59"/>
  <c r="Y95" i="59"/>
  <c r="X107" i="59"/>
  <c r="W131" i="59"/>
  <c r="Y131" i="59" s="1"/>
  <c r="V131" i="59"/>
  <c r="W135" i="59"/>
  <c r="V135" i="59"/>
  <c r="W61" i="59"/>
  <c r="Y61" i="59" s="1"/>
  <c r="W64" i="59"/>
  <c r="W66" i="59"/>
  <c r="W69" i="59"/>
  <c r="Y69" i="59" s="1"/>
  <c r="W72" i="59"/>
  <c r="Y55" i="59" s="1"/>
  <c r="Y32" i="59" s="1"/>
  <c r="W74" i="59"/>
  <c r="W77" i="59"/>
  <c r="W79" i="59"/>
  <c r="Y79" i="59" s="1"/>
  <c r="W81" i="59"/>
  <c r="Y81" i="59" s="1"/>
  <c r="W83" i="59"/>
  <c r="W86" i="59"/>
  <c r="W88" i="59"/>
  <c r="W90" i="59"/>
  <c r="Y90" i="59" s="1"/>
  <c r="W92" i="59"/>
  <c r="Y92" i="59" s="1"/>
  <c r="W94" i="59"/>
  <c r="W96" i="59"/>
  <c r="Y96" i="59" s="1"/>
  <c r="W98" i="59"/>
  <c r="Y98" i="59" s="1"/>
  <c r="W100" i="59"/>
  <c r="M119" i="59"/>
  <c r="W122" i="59"/>
  <c r="Y122" i="59" s="1"/>
  <c r="V122" i="59"/>
  <c r="W124" i="59"/>
  <c r="V124" i="59"/>
  <c r="V12" i="59" s="1"/>
  <c r="M130" i="59"/>
  <c r="X130" i="59" s="1"/>
  <c r="W141" i="59"/>
  <c r="Y141" i="59" s="1"/>
  <c r="W143" i="59"/>
  <c r="Y143" i="59" s="1"/>
  <c r="X151" i="59"/>
  <c r="W151" i="59"/>
  <c r="Y151" i="59" s="1"/>
  <c r="W159" i="59"/>
  <c r="Y159" i="59" s="1"/>
  <c r="M120" i="59"/>
  <c r="X127" i="59"/>
  <c r="W129" i="59"/>
  <c r="Y129" i="59" s="1"/>
  <c r="X131" i="59"/>
  <c r="X132" i="59"/>
  <c r="X133" i="59"/>
  <c r="X134" i="59"/>
  <c r="X135" i="59"/>
  <c r="X136" i="59"/>
  <c r="W138" i="59"/>
  <c r="Y138" i="59" s="1"/>
  <c r="W142" i="59"/>
  <c r="Y142" i="59" s="1"/>
  <c r="W144" i="59"/>
  <c r="M146" i="59"/>
  <c r="X146" i="59" s="1"/>
  <c r="W146" i="59"/>
  <c r="Y146" i="59" s="1"/>
  <c r="V146" i="59"/>
  <c r="W147" i="59"/>
  <c r="Y147" i="59" s="1"/>
  <c r="V147" i="59"/>
  <c r="W148" i="59"/>
  <c r="X150" i="59"/>
  <c r="W150" i="59"/>
  <c r="Y150" i="59" s="1"/>
  <c r="X156" i="59"/>
  <c r="W156" i="59"/>
  <c r="Y156" i="59" s="1"/>
  <c r="M117" i="59"/>
  <c r="M121" i="59"/>
  <c r="Y123" i="59"/>
  <c r="W125" i="59"/>
  <c r="Y125" i="59" s="1"/>
  <c r="V125" i="59"/>
  <c r="M126" i="59"/>
  <c r="X126" i="59" s="1"/>
  <c r="M128" i="59"/>
  <c r="X128" i="59" s="1"/>
  <c r="V129" i="59"/>
  <c r="W145" i="59"/>
  <c r="Y145" i="59" s="1"/>
  <c r="X149" i="59"/>
  <c r="W149" i="59"/>
  <c r="Y149" i="59" s="1"/>
  <c r="X158" i="59"/>
  <c r="W158" i="59"/>
  <c r="Y158" i="59" s="1"/>
  <c r="Y165" i="59"/>
  <c r="W175" i="59"/>
  <c r="Y175" i="59" s="1"/>
  <c r="V175" i="59"/>
  <c r="W183" i="59"/>
  <c r="Y183" i="59" s="1"/>
  <c r="V183" i="59"/>
  <c r="Y195" i="59"/>
  <c r="W197" i="59"/>
  <c r="Y197" i="59" s="1"/>
  <c r="V197" i="59"/>
  <c r="W241" i="59"/>
  <c r="V241" i="59"/>
  <c r="X257" i="59"/>
  <c r="W257" i="59"/>
  <c r="Y257" i="59" s="1"/>
  <c r="W263" i="59"/>
  <c r="Y263" i="59" s="1"/>
  <c r="V263" i="59"/>
  <c r="Y264" i="59"/>
  <c r="Y276" i="59"/>
  <c r="W284" i="59"/>
  <c r="X272" i="59"/>
  <c r="V148" i="59"/>
  <c r="V10" i="59" s="1"/>
  <c r="V157" i="59"/>
  <c r="V159" i="59"/>
  <c r="V161" i="59"/>
  <c r="W181" i="59"/>
  <c r="V181" i="59"/>
  <c r="W189" i="59"/>
  <c r="Y189" i="59" s="1"/>
  <c r="V189" i="59"/>
  <c r="Y190" i="59"/>
  <c r="W211" i="59"/>
  <c r="AA201" i="59"/>
  <c r="V211" i="59"/>
  <c r="X223" i="59"/>
  <c r="W223" i="59"/>
  <c r="Y223" i="59" s="1"/>
  <c r="X228" i="59"/>
  <c r="W228" i="59"/>
  <c r="Y228" i="59" s="1"/>
  <c r="W245" i="59"/>
  <c r="Y245" i="59" s="1"/>
  <c r="AA235" i="59"/>
  <c r="V245" i="59"/>
  <c r="Y262" i="59"/>
  <c r="Y250" i="59"/>
  <c r="V143" i="59"/>
  <c r="V144" i="59"/>
  <c r="V145" i="59"/>
  <c r="V152" i="59"/>
  <c r="V154" i="59"/>
  <c r="W174" i="59"/>
  <c r="Y174" i="59" s="1"/>
  <c r="W179" i="59"/>
  <c r="Y179" i="59" s="1"/>
  <c r="V179" i="59"/>
  <c r="W187" i="59"/>
  <c r="Y187" i="59" s="1"/>
  <c r="V187" i="59"/>
  <c r="W193" i="59"/>
  <c r="Y193" i="59" s="1"/>
  <c r="V193" i="59"/>
  <c r="Y194" i="59"/>
  <c r="Y196" i="59"/>
  <c r="Y199" i="59"/>
  <c r="Y201" i="59"/>
  <c r="X203" i="59"/>
  <c r="X208" i="59"/>
  <c r="X210" i="59"/>
  <c r="X216" i="59"/>
  <c r="W231" i="59"/>
  <c r="Y231" i="59" s="1"/>
  <c r="V231" i="59"/>
  <c r="W248" i="59"/>
  <c r="Y248" i="59" s="1"/>
  <c r="AA238" i="59"/>
  <c r="V248" i="59"/>
  <c r="Y279" i="59"/>
  <c r="W286" i="59"/>
  <c r="W293" i="59"/>
  <c r="Y293" i="59" s="1"/>
  <c r="W177" i="59"/>
  <c r="Y177" i="59" s="1"/>
  <c r="V177" i="59"/>
  <c r="Y180" i="59"/>
  <c r="W185" i="59"/>
  <c r="Y173" i="59" s="1"/>
  <c r="V185" i="59"/>
  <c r="Y188" i="59"/>
  <c r="X192" i="59"/>
  <c r="X200" i="59"/>
  <c r="W202" i="59"/>
  <c r="Y202" i="59" s="1"/>
  <c r="V202" i="59"/>
  <c r="Y203" i="59"/>
  <c r="W207" i="59"/>
  <c r="Y207" i="59" s="1"/>
  <c r="V207" i="59"/>
  <c r="Y208" i="59"/>
  <c r="W216" i="59"/>
  <c r="V216" i="59"/>
  <c r="W217" i="59"/>
  <c r="Y217" i="59" s="1"/>
  <c r="V217" i="59"/>
  <c r="W235" i="59"/>
  <c r="Y235" i="59" s="1"/>
  <c r="AA225" i="59"/>
  <c r="V235" i="59"/>
  <c r="X253" i="59"/>
  <c r="W253" i="59"/>
  <c r="Y253" i="59" s="1"/>
  <c r="X278" i="59"/>
  <c r="W278" i="59"/>
  <c r="Y278" i="59" s="1"/>
  <c r="X284" i="59"/>
  <c r="W297" i="59"/>
  <c r="Y297" i="59" s="1"/>
  <c r="AA211" i="59"/>
  <c r="Z216" i="59"/>
  <c r="W220" i="59"/>
  <c r="Y220" i="59" s="1"/>
  <c r="Y237" i="59"/>
  <c r="W239" i="59"/>
  <c r="Y239" i="59" s="1"/>
  <c r="V239" i="59"/>
  <c r="W249" i="59"/>
  <c r="Y249" i="59" s="1"/>
  <c r="V249" i="59"/>
  <c r="W252" i="59"/>
  <c r="X267" i="59"/>
  <c r="W267" i="59"/>
  <c r="Y267" i="59" s="1"/>
  <c r="X275" i="59"/>
  <c r="W275" i="59"/>
  <c r="W294" i="59"/>
  <c r="Y294" i="59" s="1"/>
  <c r="W298" i="59"/>
  <c r="Y298" i="59" s="1"/>
  <c r="X300" i="59"/>
  <c r="W311" i="59"/>
  <c r="Y311" i="59" s="1"/>
  <c r="W315" i="59"/>
  <c r="Y315" i="59" s="1"/>
  <c r="Y222" i="59"/>
  <c r="W224" i="59"/>
  <c r="Y224" i="59" s="1"/>
  <c r="V224" i="59"/>
  <c r="Y227" i="59"/>
  <c r="X237" i="59"/>
  <c r="W238" i="59"/>
  <c r="Y238" i="59" s="1"/>
  <c r="W254" i="59"/>
  <c r="Y254" i="59" s="1"/>
  <c r="Z252" i="59"/>
  <c r="V254" i="59"/>
  <c r="W258" i="59"/>
  <c r="Y258" i="59" s="1"/>
  <c r="AA248" i="59"/>
  <c r="V258" i="59"/>
  <c r="X266" i="59"/>
  <c r="X269" i="59"/>
  <c r="W269" i="59"/>
  <c r="W282" i="59"/>
  <c r="Y282" i="59" s="1"/>
  <c r="W287" i="59"/>
  <c r="W292" i="59"/>
  <c r="X301" i="59"/>
  <c r="W301" i="59"/>
  <c r="Y301" i="59" s="1"/>
  <c r="X304" i="59"/>
  <c r="W225" i="59"/>
  <c r="Y225" i="59" s="1"/>
  <c r="V225" i="59"/>
  <c r="X227" i="59"/>
  <c r="Y229" i="59"/>
  <c r="W230" i="59"/>
  <c r="Y230" i="59" s="1"/>
  <c r="Z228" i="59"/>
  <c r="V230" i="59"/>
  <c r="W234" i="59"/>
  <c r="Y234" i="59" s="1"/>
  <c r="AA224" i="59"/>
  <c r="V234" i="59"/>
  <c r="X241" i="59"/>
  <c r="Y242" i="59"/>
  <c r="W244" i="59"/>
  <c r="Y244" i="59" s="1"/>
  <c r="V244" i="59"/>
  <c r="X245" i="59"/>
  <c r="Y246" i="59"/>
  <c r="W259" i="59"/>
  <c r="Y259" i="59" s="1"/>
  <c r="AA249" i="59"/>
  <c r="Y266" i="59"/>
  <c r="Y270" i="59"/>
  <c r="X271" i="59"/>
  <c r="W271" i="59"/>
  <c r="Y271" i="59" s="1"/>
  <c r="W274" i="59"/>
  <c r="X296" i="59"/>
  <c r="W299" i="59"/>
  <c r="Y299" i="59" s="1"/>
  <c r="X302" i="59"/>
  <c r="W302" i="59"/>
  <c r="W313" i="59"/>
  <c r="Y313" i="59" s="1"/>
  <c r="W317" i="59"/>
  <c r="Y317" i="59" s="1"/>
  <c r="W281" i="59"/>
  <c r="Y281" i="59" s="1"/>
  <c r="W283" i="59"/>
  <c r="Y283" i="59" s="1"/>
  <c r="W296" i="59"/>
  <c r="Y296" i="59" s="1"/>
  <c r="W300" i="59"/>
  <c r="Y300" i="59" s="1"/>
  <c r="W304" i="59"/>
  <c r="Y304" i="59" s="1"/>
  <c r="Y284" i="59" l="1"/>
  <c r="Y272" i="59"/>
  <c r="Y167" i="59"/>
  <c r="Y288" i="59"/>
  <c r="Y251" i="59"/>
  <c r="Y302" i="59"/>
  <c r="Y274" i="59"/>
  <c r="Y269" i="59"/>
  <c r="Y289" i="59"/>
  <c r="Y219" i="59"/>
  <c r="Y211" i="59"/>
  <c r="Y285" i="59"/>
  <c r="Y212" i="59"/>
  <c r="W126" i="59"/>
  <c r="Y126" i="59" s="1"/>
  <c r="X120" i="59"/>
  <c r="W120" i="59"/>
  <c r="X119" i="59"/>
  <c r="W119" i="59"/>
  <c r="Y119" i="59" s="1"/>
  <c r="Y94" i="59"/>
  <c r="Y86" i="59"/>
  <c r="Y77" i="59"/>
  <c r="Y66" i="59"/>
  <c r="Y135" i="59"/>
  <c r="Y132" i="59"/>
  <c r="X116" i="59"/>
  <c r="Y104" i="59"/>
  <c r="Y97" i="59"/>
  <c r="Y51" i="59"/>
  <c r="Y28" i="59" s="1"/>
  <c r="J56" i="37"/>
  <c r="Y287" i="59"/>
  <c r="Y181" i="59"/>
  <c r="X117" i="59"/>
  <c r="W117" i="59"/>
  <c r="Y117" i="59" s="1"/>
  <c r="Y47" i="59"/>
  <c r="Y24" i="59" s="1"/>
  <c r="W24" i="59"/>
  <c r="Y48" i="59"/>
  <c r="Y25" i="59" s="1"/>
  <c r="W25" i="59"/>
  <c r="Y236" i="59"/>
  <c r="Y233" i="59"/>
  <c r="Y292" i="59"/>
  <c r="Y280" i="59"/>
  <c r="Y275" i="59"/>
  <c r="Y252" i="59"/>
  <c r="Y240" i="59"/>
  <c r="Y247" i="59"/>
  <c r="Y218" i="59"/>
  <c r="Y216" i="59"/>
  <c r="Y205" i="59"/>
  <c r="Y185" i="59"/>
  <c r="Y226" i="59"/>
  <c r="Y213" i="59"/>
  <c r="Y204" i="59"/>
  <c r="Y255" i="59"/>
  <c r="Y169" i="59"/>
  <c r="W130" i="59"/>
  <c r="Y130" i="59" s="1"/>
  <c r="X121" i="59"/>
  <c r="W121" i="59"/>
  <c r="Y121" i="59" s="1"/>
  <c r="Y144" i="59"/>
  <c r="Y171" i="59"/>
  <c r="Y137" i="59"/>
  <c r="Y124" i="59"/>
  <c r="Y12" i="59" s="1"/>
  <c r="W12" i="59"/>
  <c r="Y100" i="59"/>
  <c r="Y15" i="59" s="1"/>
  <c r="W15" i="59"/>
  <c r="Y83" i="59"/>
  <c r="Y74" i="59"/>
  <c r="Y21" i="59" s="1"/>
  <c r="W21" i="59"/>
  <c r="Y64" i="59"/>
  <c r="Y118" i="59"/>
  <c r="X114" i="59"/>
  <c r="X108" i="59"/>
  <c r="Y133" i="59"/>
  <c r="Y134" i="59"/>
  <c r="Y114" i="59"/>
  <c r="Y107" i="59"/>
  <c r="V23" i="59"/>
  <c r="W46" i="59"/>
  <c r="I56" i="37"/>
  <c r="K51" i="37"/>
  <c r="K21" i="37"/>
  <c r="K11" i="37"/>
  <c r="K56" i="37"/>
  <c r="K46" i="37"/>
  <c r="K36" i="37"/>
  <c r="K31" i="37"/>
  <c r="K26" i="37"/>
  <c r="K16" i="37"/>
  <c r="K6" i="37"/>
  <c r="K41" i="37"/>
  <c r="Y232" i="59"/>
  <c r="Y286" i="59"/>
  <c r="Y72" i="59"/>
  <c r="Y19" i="59" s="1"/>
  <c r="W19" i="59"/>
  <c r="X118" i="59"/>
  <c r="Y49" i="59"/>
  <c r="Y26" i="59" s="1"/>
  <c r="W26" i="59"/>
  <c r="X105" i="59"/>
  <c r="Y290" i="59"/>
  <c r="Y241" i="59"/>
  <c r="Y162" i="59"/>
  <c r="Y148" i="59"/>
  <c r="Y10" i="59" s="1"/>
  <c r="W10" i="59"/>
  <c r="Y163" i="59"/>
  <c r="W128" i="59"/>
  <c r="Y128" i="59" s="1"/>
  <c r="Y88" i="59"/>
  <c r="Y17" i="59" s="1"/>
  <c r="W17" i="59"/>
  <c r="Y116" i="59"/>
  <c r="Y105" i="59"/>
  <c r="Y101" i="59"/>
  <c r="Y89" i="59"/>
  <c r="Y127" i="59"/>
  <c r="Y112" i="59"/>
  <c r="Y13" i="59" s="1"/>
  <c r="Y93" i="59"/>
  <c r="Y58" i="59"/>
  <c r="Y35" i="59" s="1"/>
  <c r="Y120" i="59" l="1"/>
  <c r="Y108" i="59"/>
  <c r="Y46" i="59"/>
  <c r="Y23" i="59" s="1"/>
  <c r="W23" i="59"/>
  <c r="Y109" i="59"/>
  <c r="AX31" i="25" l="1"/>
  <c r="AH31" i="25"/>
  <c r="S31" i="25"/>
  <c r="AH30" i="25"/>
  <c r="S30" i="25"/>
  <c r="AH29" i="25"/>
  <c r="S29" i="25"/>
  <c r="AH28" i="25"/>
  <c r="S28" i="25"/>
  <c r="AH27" i="25"/>
  <c r="S27" i="25"/>
  <c r="AH26" i="25"/>
  <c r="S26" i="25"/>
  <c r="AH25" i="25"/>
  <c r="S25" i="25"/>
  <c r="AH24" i="25"/>
  <c r="S24" i="25"/>
  <c r="AH23" i="25"/>
  <c r="S23" i="25"/>
  <c r="AH22" i="25"/>
  <c r="S22" i="25"/>
  <c r="AH21" i="25"/>
  <c r="S21" i="25"/>
  <c r="AH20" i="25"/>
  <c r="S20" i="25"/>
  <c r="AH19" i="25"/>
  <c r="S19" i="25"/>
  <c r="AH18" i="25"/>
  <c r="S18" i="25"/>
  <c r="AH17" i="25"/>
  <c r="S17" i="25"/>
  <c r="AH16" i="25"/>
  <c r="S16" i="25"/>
  <c r="T38" i="24"/>
  <c r="P38" i="24"/>
  <c r="I38" i="24"/>
  <c r="G38" i="24"/>
  <c r="E38" i="24"/>
  <c r="B38" i="24"/>
  <c r="V33" i="24"/>
  <c r="T33" i="24"/>
  <c r="R38" i="24" s="1"/>
  <c r="P33" i="24"/>
  <c r="Q38" i="24" s="1"/>
  <c r="N33" i="24"/>
  <c r="K33" i="24"/>
  <c r="J38" i="24" s="1"/>
  <c r="I33" i="24"/>
  <c r="M38" i="24" s="1"/>
  <c r="C33" i="24"/>
  <c r="I29" i="24"/>
  <c r="I26" i="24"/>
  <c r="H38" i="24" s="1"/>
  <c r="G26" i="24"/>
  <c r="E26" i="24"/>
  <c r="E28" i="24" s="1"/>
  <c r="F38" i="24" s="1"/>
  <c r="C26" i="24"/>
  <c r="C23" i="24"/>
  <c r="N20" i="24"/>
  <c r="S38" i="24" s="1"/>
  <c r="N16" i="24"/>
  <c r="C14" i="24"/>
  <c r="C28" i="24" s="1"/>
  <c r="P10" i="24"/>
  <c r="G10" i="24"/>
  <c r="E10" i="24"/>
  <c r="S32" i="23"/>
  <c r="Q32" i="23"/>
  <c r="O32" i="23"/>
  <c r="N31" i="23" s="1"/>
  <c r="O30" i="23"/>
  <c r="N29" i="23" s="1"/>
  <c r="M30" i="23"/>
  <c r="S28" i="23"/>
  <c r="Q28" i="23"/>
  <c r="O28" i="23"/>
  <c r="M28" i="23"/>
  <c r="N27" i="23" s="1"/>
  <c r="S26" i="23"/>
  <c r="Q26" i="23"/>
  <c r="O26" i="23"/>
  <c r="M26" i="23"/>
  <c r="N25" i="23"/>
  <c r="A3" i="19"/>
  <c r="AW29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M38" i="15"/>
  <c r="G38" i="15"/>
  <c r="D38" i="15"/>
  <c r="B38" i="15"/>
  <c r="V33" i="15"/>
  <c r="T38" i="15" s="1"/>
  <c r="T33" i="15"/>
  <c r="R38" i="15" s="1"/>
  <c r="P33" i="15"/>
  <c r="Q38" i="15" s="1"/>
  <c r="N33" i="15"/>
  <c r="K33" i="15"/>
  <c r="J38" i="15" s="1"/>
  <c r="I33" i="15"/>
  <c r="C33" i="15"/>
  <c r="I29" i="15"/>
  <c r="I38" i="15" s="1"/>
  <c r="I26" i="15"/>
  <c r="H38" i="15" s="1"/>
  <c r="G26" i="15"/>
  <c r="E26" i="15"/>
  <c r="E28" i="15" s="1"/>
  <c r="F38" i="15" s="1"/>
  <c r="C26" i="15"/>
  <c r="C23" i="15"/>
  <c r="E38" i="15" s="1"/>
  <c r="N17" i="15"/>
  <c r="N21" i="15" s="1"/>
  <c r="S38" i="15" s="1"/>
  <c r="C14" i="15"/>
  <c r="K38" i="15" s="1"/>
  <c r="P10" i="15"/>
  <c r="P38" i="15" s="1"/>
  <c r="G10" i="15"/>
  <c r="E10" i="15"/>
  <c r="R32" i="14"/>
  <c r="P32" i="14"/>
  <c r="M31" i="14" s="1"/>
  <c r="N32" i="14"/>
  <c r="N30" i="14"/>
  <c r="L30" i="14"/>
  <c r="M29" i="14" s="1"/>
  <c r="P28" i="14"/>
  <c r="N28" i="14"/>
  <c r="L28" i="14"/>
  <c r="M27" i="14" s="1"/>
  <c r="R26" i="14"/>
  <c r="P26" i="14"/>
  <c r="N26" i="14"/>
  <c r="M25" i="14" s="1"/>
  <c r="L26" i="14"/>
  <c r="N38" i="15" l="1"/>
  <c r="U38" i="24"/>
  <c r="U38" i="15"/>
  <c r="K38" i="24"/>
  <c r="C28" i="15"/>
  <c r="D38" i="24"/>
  <c r="O38" i="15" l="1"/>
  <c r="N38" i="24"/>
  <c r="O38" i="24" l="1"/>
  <c r="V38" i="15"/>
  <c r="O39" i="15" s="1"/>
  <c r="V38" i="24" l="1"/>
  <c r="C39" i="15"/>
  <c r="B39" i="15"/>
  <c r="V39" i="15"/>
  <c r="R39" i="15"/>
  <c r="E39" i="15"/>
  <c r="T39" i="15"/>
  <c r="I39" i="15"/>
  <c r="Q39" i="15"/>
  <c r="G39" i="15"/>
  <c r="F39" i="15"/>
  <c r="M39" i="15"/>
  <c r="S39" i="15"/>
  <c r="D39" i="15"/>
  <c r="K39" i="15"/>
  <c r="J39" i="15"/>
  <c r="H39" i="15"/>
  <c r="P39" i="15"/>
  <c r="N39" i="15"/>
  <c r="U39" i="15"/>
  <c r="V39" i="24" l="1"/>
  <c r="C39" i="24"/>
  <c r="T39" i="24"/>
  <c r="M39" i="24"/>
  <c r="P39" i="24"/>
  <c r="I39" i="24"/>
  <c r="S39" i="24"/>
  <c r="B39" i="24"/>
  <c r="J39" i="24"/>
  <c r="F39" i="24"/>
  <c r="R39" i="24"/>
  <c r="H39" i="24"/>
  <c r="Q39" i="24"/>
  <c r="G39" i="24"/>
  <c r="E39" i="24"/>
  <c r="K39" i="24"/>
  <c r="U39" i="24"/>
  <c r="D39" i="24"/>
  <c r="N39" i="24"/>
  <c r="O39" i="24"/>
</calcChain>
</file>

<file path=xl/comments1.xml><?xml version="1.0" encoding="utf-8"?>
<comments xmlns="http://schemas.openxmlformats.org/spreadsheetml/2006/main">
  <authors>
    <author>KEPCO</author>
    <author>USER</author>
    <author>이태현</author>
  </authors>
  <commentList>
    <comment ref="U45" authorId="0" shapeId="0">
      <text>
        <r>
          <rPr>
            <b/>
            <sz val="9"/>
            <color indexed="81"/>
            <rFont val="돋움"/>
            <family val="3"/>
            <charset val="129"/>
          </rPr>
          <t>거래소에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</text>
    </comment>
    <comment ref="O227" authorId="1" shapeId="0">
      <text>
        <r>
          <rPr>
            <b/>
            <sz val="9"/>
            <color indexed="81"/>
            <rFont val="돋움"/>
            <family val="3"/>
            <charset val="129"/>
          </rPr>
          <t>김지혜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1213 1922-&gt;2014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담당자확인)</t>
        </r>
      </text>
    </comment>
    <comment ref="O239" authorId="1" shapeId="0">
      <text>
        <r>
          <rPr>
            <b/>
            <sz val="9"/>
            <color indexed="81"/>
            <rFont val="돋움"/>
            <family val="3"/>
            <charset val="129"/>
          </rPr>
          <t>김지혜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1213 1922-&gt;2014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담당자확인)</t>
        </r>
      </text>
    </comment>
    <comment ref="N281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파견자 중 청경 1명 제외</t>
        </r>
      </text>
    </comment>
    <comment ref="N284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청경 전적</t>
        </r>
      </text>
    </comment>
    <comment ref="R284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휴직 1, 청경 2 제외</t>
        </r>
      </text>
    </comment>
    <comment ref="R285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휴직 1, 청경 2 제외</t>
        </r>
      </text>
    </comment>
    <comment ref="Q286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28명 채용 8122 김석우</t>
        </r>
      </text>
    </comment>
    <comment ref="R288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4직급 휴직자 전적</t>
        </r>
      </text>
    </comment>
    <comment ref="N299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청경 1명제외시 29
</t>
        </r>
      </text>
    </comment>
    <comment ref="P299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인력관리처 자료는 41명</t>
        </r>
      </text>
    </comment>
    <comment ref="R299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파견자 총 57명
청경2명 제외시 55명
휴직자 1명 제외시 54명</t>
        </r>
      </text>
    </comment>
    <comment ref="U299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221명</t>
        </r>
      </text>
    </comment>
    <comment ref="P300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발전인원 12명차이
(당초 1380명)</t>
        </r>
      </text>
    </comment>
    <comment ref="R300" authorId="2" shapeId="0">
      <text>
        <r>
          <rPr>
            <b/>
            <sz val="9"/>
            <color indexed="81"/>
            <rFont val="굴림"/>
            <family val="3"/>
            <charset val="129"/>
          </rPr>
          <t>이태현:</t>
        </r>
        <r>
          <rPr>
            <sz val="9"/>
            <color indexed="81"/>
            <rFont val="굴림"/>
            <family val="3"/>
            <charset val="129"/>
          </rPr>
          <t xml:space="preserve">
당초 발전인원 1619명
1명차이 수정하여
1618명
12월 속보발행시
청경파견 2명제외</t>
        </r>
      </text>
    </comment>
  </commentList>
</comments>
</file>

<file path=xl/sharedStrings.xml><?xml version="1.0" encoding="utf-8"?>
<sst xmlns="http://schemas.openxmlformats.org/spreadsheetml/2006/main" count="5326" uniqueCount="1754">
  <si>
    <t xml:space="preserve">  </t>
  </si>
  <si>
    <t>Ⅰ. 통계도표</t>
    <phoneticPr fontId="6" type="noConversion"/>
  </si>
  <si>
    <t>1.  주요 통계도표 및 요약</t>
    <phoneticPr fontId="6" type="noConversion"/>
  </si>
  <si>
    <t>공란입니다.</t>
    <phoneticPr fontId="13" type="noConversion"/>
  </si>
  <si>
    <t>1. 주요 통계도표</t>
    <phoneticPr fontId="15" type="noConversion"/>
  </si>
  <si>
    <t xml:space="preserve">    Graphics of Major Statistics</t>
    <phoneticPr fontId="15" type="noConversion"/>
  </si>
  <si>
    <t xml:space="preserve">  1-1 발전설비 추이 (발전원별)  </t>
    <phoneticPr fontId="15" type="noConversion"/>
  </si>
  <si>
    <t xml:space="preserve">        Trend of Generation Capacity by Plant Type</t>
    <phoneticPr fontId="15" type="noConversion"/>
  </si>
  <si>
    <t>(단위 : MW, %)</t>
    <phoneticPr fontId="15" type="noConversion"/>
  </si>
  <si>
    <t>년  월</t>
    <phoneticPr fontId="15" type="noConversion"/>
  </si>
  <si>
    <t>총발전설비</t>
    <phoneticPr fontId="15" type="noConversion"/>
  </si>
  <si>
    <t>(증감률)</t>
    <phoneticPr fontId="15" type="noConversion"/>
  </si>
  <si>
    <t>기  력</t>
    <phoneticPr fontId="15" type="noConversion"/>
  </si>
  <si>
    <t>원자력</t>
  </si>
  <si>
    <t>복  합</t>
    <phoneticPr fontId="15" type="noConversion"/>
  </si>
  <si>
    <t>수  력</t>
    <phoneticPr fontId="15" type="noConversion"/>
  </si>
  <si>
    <t>대체에너지</t>
    <phoneticPr fontId="15" type="noConversion"/>
  </si>
  <si>
    <t>기  타</t>
    <phoneticPr fontId="15" type="noConversion"/>
  </si>
  <si>
    <t xml:space="preserve">  주1) (  )내는 전년 동월대비 증감률</t>
  </si>
  <si>
    <t xml:space="preserve">  주2) 기력 : 무연탄, 유연탄, 중유, LNG, 집단에너지</t>
    <phoneticPr fontId="15" type="noConversion"/>
  </si>
  <si>
    <t xml:space="preserve">   * 집단에너지 : 열병합시설, 자원회수시설 등에서 생산된 에너지로 주거, 상업 또는 산업단지의 사용자에게 열과 전기를 공급</t>
    <phoneticPr fontId="15" type="noConversion"/>
  </si>
  <si>
    <r>
      <t xml:space="preserve">  주3) 대체에너지 : 태양광, 풍력 등 신재생에너지</t>
    </r>
    <r>
      <rPr>
        <sz val="9"/>
        <rFont val="맑은 고딕"/>
        <family val="3"/>
        <charset val="129"/>
        <scheme val="minor"/>
      </rPr>
      <t>(일반수력, 소수력은 데이터 일관성 유지를 위해 수력으로 별도 구분)</t>
    </r>
    <phoneticPr fontId="15" type="noConversion"/>
  </si>
  <si>
    <r>
      <t xml:space="preserve">  주4) 기타 : 내연력, 증류탑폐열, 여열회수, 천연가스압터빈, 부생가스, 폐기물에너지</t>
    </r>
    <r>
      <rPr>
        <sz val="9"/>
        <rFont val="맑은 고딕"/>
        <family val="3"/>
        <charset val="129"/>
        <scheme val="minor"/>
      </rPr>
      <t>('20.1 이후 신재생에서 기타로 분류)</t>
    </r>
    <phoneticPr fontId="15" type="noConversion"/>
  </si>
  <si>
    <t xml:space="preserve">  1-2 발전설비 추이 (에너지원별)</t>
    <phoneticPr fontId="15" type="noConversion"/>
  </si>
  <si>
    <t xml:space="preserve">        Trend of Generation Capacity by Energy Source</t>
    <phoneticPr fontId="15" type="noConversion"/>
  </si>
  <si>
    <t>원자력</t>
    <phoneticPr fontId="15" type="noConversion"/>
  </si>
  <si>
    <t>석  탄</t>
    <phoneticPr fontId="15" type="noConversion"/>
  </si>
  <si>
    <t>가  스</t>
    <phoneticPr fontId="15" type="noConversion"/>
  </si>
  <si>
    <t>신재생</t>
    <phoneticPr fontId="15" type="noConversion"/>
  </si>
  <si>
    <t>유  류</t>
    <phoneticPr fontId="15" type="noConversion"/>
  </si>
  <si>
    <t>양  수</t>
    <phoneticPr fontId="15" type="noConversion"/>
  </si>
  <si>
    <t>(증감률)</t>
  </si>
  <si>
    <t xml:space="preserve">  주1) 2016년부터 집단에너지 에너지원별로 구분(유류→석탄,가스,유류)   </t>
    <phoneticPr fontId="15" type="noConversion"/>
  </si>
  <si>
    <r>
      <t xml:space="preserve">  주2) 신재생에너지는 대체에너지에 일반수력, 소수력 포함</t>
    </r>
    <r>
      <rPr>
        <sz val="9"/>
        <rFont val="맑은 고딕"/>
        <family val="3"/>
        <charset val="129"/>
        <scheme val="minor"/>
      </rPr>
      <t>(양수발전 제외)</t>
    </r>
    <phoneticPr fontId="15" type="noConversion"/>
  </si>
  <si>
    <r>
      <t xml:space="preserve">  주3) 기타 : 증류탑폐열, 여열회수, 천연가스압터빈, 부생가스</t>
    </r>
    <r>
      <rPr>
        <sz val="9"/>
        <rFont val="맑은 고딕"/>
        <family val="3"/>
        <charset val="129"/>
        <scheme val="minor"/>
      </rPr>
      <t>, 폐기물에너지('20.1 이후 신재생에서 기타로 분류)</t>
    </r>
    <phoneticPr fontId="15" type="noConversion"/>
  </si>
  <si>
    <t xml:space="preserve">  1-3 발전전력량 추이 (발전원별)</t>
    <phoneticPr fontId="15" type="noConversion"/>
  </si>
  <si>
    <t xml:space="preserve">        Trend of Power Generation by Plant Type</t>
    <phoneticPr fontId="15" type="noConversion"/>
  </si>
  <si>
    <t>(단위 : GWh, %)</t>
    <phoneticPr fontId="15" type="noConversion"/>
  </si>
  <si>
    <t>총발전량</t>
    <phoneticPr fontId="15" type="noConversion"/>
  </si>
  <si>
    <t xml:space="preserve">  주1) 복합발전 : 1차 가스터빈, 2차 증기터빈(or 열공급) 발전형식</t>
    <phoneticPr fontId="15" type="noConversion"/>
  </si>
  <si>
    <r>
      <t xml:space="preserve">  주2) 대체에너지 : 태양광, 풍력 등 신재생에너지</t>
    </r>
    <r>
      <rPr>
        <sz val="9"/>
        <rFont val="맑은 고딕"/>
        <family val="3"/>
        <charset val="129"/>
        <scheme val="minor"/>
      </rPr>
      <t>(일반수력, 소수력은 데이터 일관성 유지를 위해 수력으로 별도 구분)</t>
    </r>
    <phoneticPr fontId="15" type="noConversion"/>
  </si>
  <si>
    <t xml:space="preserve">  주3) 기타 : 내연력, 증류탑폐열, 여열회수, 천연가스압터빈, 부생가스, 폐기물에너지('20.1 이후 신재생에서 기타로 분류)</t>
    <phoneticPr fontId="15" type="noConversion"/>
  </si>
  <si>
    <t xml:space="preserve">  1-4 발전전력량 추이 (에너지원별)</t>
    <phoneticPr fontId="15" type="noConversion"/>
  </si>
  <si>
    <t xml:space="preserve">        Trend of Power Generation by Energy Source</t>
    <phoneticPr fontId="15" type="noConversion"/>
  </si>
  <si>
    <t>2022.10</t>
    <phoneticPr fontId="3" type="noConversion"/>
  </si>
  <si>
    <t xml:space="preserve">  주1) 2016년부터 집단에너지 에너지원별로 구분(유류→석탄,가스,유류), 한전 자회사 화력발전 혼소발전량 분류</t>
    <phoneticPr fontId="15" type="noConversion"/>
  </si>
  <si>
    <t xml:space="preserve">  주3) 기타 : 증류탑폐열, 여열회수, 천연가스압터빈, 부생가스, 폐기물에너지('20.1 이후 신재생에서 기타로 분류)</t>
    <phoneticPr fontId="15" type="noConversion"/>
  </si>
  <si>
    <t xml:space="preserve"> </t>
    <phoneticPr fontId="15" type="noConversion"/>
  </si>
  <si>
    <t xml:space="preserve">  1-5 판매전력량 추이 (계약종별)</t>
    <phoneticPr fontId="15" type="noConversion"/>
  </si>
  <si>
    <t xml:space="preserve">         Trend of Power Sold by Segments  </t>
    <phoneticPr fontId="15" type="noConversion"/>
  </si>
  <si>
    <t>총판매량</t>
    <phoneticPr fontId="15" type="noConversion"/>
  </si>
  <si>
    <t>산업용</t>
    <phoneticPr fontId="15" type="noConversion"/>
  </si>
  <si>
    <t>일반용</t>
    <phoneticPr fontId="15" type="noConversion"/>
  </si>
  <si>
    <t>주택용</t>
    <phoneticPr fontId="15" type="noConversion"/>
  </si>
  <si>
    <t>기   타</t>
    <phoneticPr fontId="15" type="noConversion"/>
  </si>
  <si>
    <t xml:space="preserve">  주1) 기타 : 교육용, 농사용, 가로등, 심야</t>
    <phoneticPr fontId="15" type="noConversion"/>
  </si>
  <si>
    <t xml:space="preserve">  1-6 판매전력량 추이 (용도별)</t>
    <phoneticPr fontId="15" type="noConversion"/>
  </si>
  <si>
    <t xml:space="preserve">         Trend of Power Sold by Uses</t>
    <phoneticPr fontId="15" type="noConversion"/>
  </si>
  <si>
    <t>제조업</t>
    <phoneticPr fontId="15" type="noConversion"/>
  </si>
  <si>
    <t>서비스업</t>
    <phoneticPr fontId="15" type="noConversion"/>
  </si>
  <si>
    <t>가정용</t>
    <phoneticPr fontId="15" type="noConversion"/>
  </si>
  <si>
    <t xml:space="preserve">  주1) 기타 : 공공용, 농수산업, 광업</t>
    <phoneticPr fontId="15" type="noConversion"/>
  </si>
  <si>
    <t xml:space="preserve">  1-7 전력수급 추이</t>
    <phoneticPr fontId="15" type="noConversion"/>
  </si>
  <si>
    <t xml:space="preserve">        Trend of Power Supply &amp; Demand</t>
    <phoneticPr fontId="15" type="noConversion"/>
  </si>
  <si>
    <t>(단위 : MW)</t>
    <phoneticPr fontId="15" type="noConversion"/>
  </si>
  <si>
    <t>구    분</t>
  </si>
  <si>
    <t>발생일시</t>
    <phoneticPr fontId="13" type="noConversion"/>
  </si>
  <si>
    <t>설   비</t>
    <phoneticPr fontId="13" type="noConversion"/>
  </si>
  <si>
    <t>설  비</t>
    <phoneticPr fontId="13" type="noConversion"/>
  </si>
  <si>
    <t>공   급</t>
    <phoneticPr fontId="13" type="noConversion"/>
  </si>
  <si>
    <t>부하율</t>
    <phoneticPr fontId="13" type="noConversion"/>
  </si>
  <si>
    <t>총설비용량</t>
    <phoneticPr fontId="15" type="noConversion"/>
  </si>
  <si>
    <t>예비력</t>
    <phoneticPr fontId="13" type="noConversion"/>
  </si>
  <si>
    <t>예비율</t>
    <phoneticPr fontId="13" type="noConversion"/>
  </si>
  <si>
    <t>공급능력</t>
    <phoneticPr fontId="15" type="noConversion"/>
  </si>
  <si>
    <t>12. 23(금)</t>
  </si>
  <si>
    <t>최대전력</t>
    <phoneticPr fontId="15" type="noConversion"/>
  </si>
  <si>
    <t>평균전력</t>
    <phoneticPr fontId="15" type="noConversion"/>
  </si>
  <si>
    <t>공급예비력</t>
    <phoneticPr fontId="15" type="noConversion"/>
  </si>
  <si>
    <t>공급예비율</t>
  </si>
  <si>
    <t>평균이용률</t>
    <phoneticPr fontId="15" type="noConversion"/>
  </si>
  <si>
    <t xml:space="preserve">  주1) 최대전력 발생시점 기준 (단, 평균전력 및 이용률은 월간실적)   [평균전력 = 총발전량 / (역일수×24)]</t>
    <phoneticPr fontId="15" type="noConversion"/>
  </si>
  <si>
    <t xml:space="preserve">  1-8 월간실적요약 (잠정)</t>
    <phoneticPr fontId="15" type="noConversion"/>
  </si>
  <si>
    <t xml:space="preserve">        Summary of Monthly Performance </t>
    <phoneticPr fontId="15" type="noConversion"/>
  </si>
  <si>
    <t>구     분</t>
    <phoneticPr fontId="6" type="noConversion"/>
  </si>
  <si>
    <t>전 년 동 월 대 비</t>
    <phoneticPr fontId="13" type="noConversion"/>
  </si>
  <si>
    <t>전 년 동 기 대 비</t>
    <phoneticPr fontId="13" type="noConversion"/>
  </si>
  <si>
    <t>판매단가</t>
    <phoneticPr fontId="6" type="noConversion"/>
  </si>
  <si>
    <t>증 감</t>
    <phoneticPr fontId="13" type="noConversion"/>
  </si>
  <si>
    <t>증감률</t>
    <phoneticPr fontId="15" type="noConversion"/>
  </si>
  <si>
    <t>2021. 1~12</t>
  </si>
  <si>
    <t>2022. 1~12</t>
  </si>
  <si>
    <t>발전설비</t>
    <phoneticPr fontId="6" type="noConversion"/>
  </si>
  <si>
    <t>MW</t>
    <phoneticPr fontId="6" type="noConversion"/>
  </si>
  <si>
    <t>발 전 량</t>
    <phoneticPr fontId="6" type="noConversion"/>
  </si>
  <si>
    <t>GWh</t>
    <phoneticPr fontId="13" type="noConversion"/>
  </si>
  <si>
    <t>고객호수</t>
    <phoneticPr fontId="6" type="noConversion"/>
  </si>
  <si>
    <t>구 입 량</t>
    <phoneticPr fontId="6" type="noConversion"/>
  </si>
  <si>
    <t>2021년</t>
    <phoneticPr fontId="33" type="noConversion"/>
  </si>
  <si>
    <t>2022년</t>
    <phoneticPr fontId="33" type="noConversion"/>
  </si>
  <si>
    <t>구입단가</t>
    <phoneticPr fontId="6" type="noConversion"/>
  </si>
  <si>
    <t>원/kWh</t>
    <phoneticPr fontId="13" type="noConversion"/>
  </si>
  <si>
    <t>판 매 량</t>
    <phoneticPr fontId="6" type="noConversion"/>
  </si>
  <si>
    <t>최대전력</t>
    <phoneticPr fontId="6" type="noConversion"/>
  </si>
  <si>
    <t>평균전력</t>
    <phoneticPr fontId="6" type="noConversion"/>
  </si>
  <si>
    <t>예비율</t>
    <phoneticPr fontId="6" type="noConversion"/>
  </si>
  <si>
    <t>%</t>
    <phoneticPr fontId="6" type="noConversion"/>
  </si>
  <si>
    <t>부하율</t>
    <phoneticPr fontId="6" type="noConversion"/>
  </si>
  <si>
    <t xml:space="preserve"> 2021   1-12</t>
  </si>
  <si>
    <t>7. 27(화)</t>
  </si>
  <si>
    <t>이용률</t>
    <phoneticPr fontId="6" type="noConversion"/>
  </si>
  <si>
    <t xml:space="preserve">            12</t>
  </si>
  <si>
    <t>12. 27(월)</t>
  </si>
  <si>
    <t>천호</t>
    <phoneticPr fontId="6" type="noConversion"/>
  </si>
  <si>
    <t xml:space="preserve"> 2022   1-12</t>
  </si>
  <si>
    <t xml:space="preserve">  ※ 발전원별 구입단가</t>
    <phoneticPr fontId="15" type="noConversion"/>
  </si>
  <si>
    <t>발전원</t>
    <phoneticPr fontId="6" type="noConversion"/>
  </si>
  <si>
    <t>원자력</t>
    <phoneticPr fontId="13" type="noConversion"/>
  </si>
  <si>
    <t>유연탄</t>
    <phoneticPr fontId="13" type="noConversion"/>
  </si>
  <si>
    <t>무연탄</t>
    <phoneticPr fontId="13" type="noConversion"/>
  </si>
  <si>
    <t>유  류</t>
    <phoneticPr fontId="13" type="noConversion"/>
  </si>
  <si>
    <t>LNG 복합</t>
    <phoneticPr fontId="6" type="noConversion"/>
  </si>
  <si>
    <t>수  력</t>
  </si>
  <si>
    <t>양  수</t>
  </si>
  <si>
    <t>대체에너지</t>
    <phoneticPr fontId="6" type="noConversion"/>
  </si>
  <si>
    <t>기  타</t>
    <phoneticPr fontId="6" type="noConversion"/>
  </si>
  <si>
    <t>당월
(원/kWh)</t>
    <phoneticPr fontId="15" type="noConversion"/>
  </si>
  <si>
    <t>유연탄</t>
  </si>
  <si>
    <t>무연탄</t>
  </si>
  <si>
    <t>LNG 복합</t>
    <phoneticPr fontId="13" type="noConversion"/>
  </si>
  <si>
    <t>수  력</t>
    <phoneticPr fontId="13" type="noConversion"/>
  </si>
  <si>
    <t>양  수</t>
    <phoneticPr fontId="13" type="noConversion"/>
  </si>
  <si>
    <t>기타</t>
    <phoneticPr fontId="13" type="noConversion"/>
  </si>
  <si>
    <t>합계</t>
    <phoneticPr fontId="13" type="noConversion"/>
  </si>
  <si>
    <t>누계
(원/kWh)</t>
    <phoneticPr fontId="15" type="noConversion"/>
  </si>
  <si>
    <t>주1) RPS 제외. PPA포함</t>
    <phoneticPr fontId="6" type="noConversion"/>
  </si>
  <si>
    <t>주2) 대체에너지 : 태양광, 풍력 등 신재생에너지(일반수력, 소수력은 수력으로 별도구분)</t>
    <phoneticPr fontId="6" type="noConversion"/>
  </si>
  <si>
    <t xml:space="preserve">주3) 기타 : 포항제철, 동양제철화학, 광양제철, LG석유여수, 대한유화열병합 등 </t>
    <phoneticPr fontId="6" type="noConversion"/>
  </si>
  <si>
    <t>구입금액</t>
  </si>
  <si>
    <t>LNG 복합</t>
  </si>
  <si>
    <t>신재생</t>
  </si>
  <si>
    <t>기타</t>
  </si>
  <si>
    <t>Ⅱ. 발전설비</t>
    <phoneticPr fontId="6" type="noConversion"/>
  </si>
  <si>
    <t>2.  발전원별</t>
    <phoneticPr fontId="6" type="noConversion"/>
  </si>
  <si>
    <t>3.  발전회사별</t>
    <phoneticPr fontId="6" type="noConversion"/>
  </si>
  <si>
    <t>4.  에너지원별</t>
    <phoneticPr fontId="6" type="noConversion"/>
  </si>
  <si>
    <t>5.  행정구역별</t>
    <phoneticPr fontId="6" type="noConversion"/>
  </si>
  <si>
    <t>6.  발전소 건설현황</t>
    <phoneticPr fontId="6" type="noConversion"/>
  </si>
  <si>
    <t>2. 발전원별 발전설비용량</t>
    <phoneticPr fontId="13" type="noConversion"/>
  </si>
  <si>
    <t xml:space="preserve">    Generation Capacity by Plant Type</t>
    <phoneticPr fontId="13" type="noConversion"/>
  </si>
  <si>
    <t xml:space="preserve">   (단위 : MW)  </t>
  </si>
  <si>
    <t>발 전 자 회 사  및  한 전(도서)</t>
    <phoneticPr fontId="13" type="noConversion"/>
  </si>
  <si>
    <t>타</t>
  </si>
  <si>
    <t>사</t>
  </si>
  <si>
    <t>합                                   계</t>
  </si>
  <si>
    <t>수 력</t>
  </si>
  <si>
    <t>기                  력</t>
  </si>
  <si>
    <t>복 합</t>
  </si>
  <si>
    <t>내 연</t>
  </si>
  <si>
    <t>대체
에너지</t>
    <phoneticPr fontId="13" type="noConversion"/>
  </si>
  <si>
    <t>기 타</t>
    <phoneticPr fontId="13" type="noConversion"/>
  </si>
  <si>
    <t>계</t>
  </si>
  <si>
    <t>수 력</t>
    <phoneticPr fontId="13" type="noConversion"/>
  </si>
  <si>
    <t>기     력</t>
    <phoneticPr fontId="13" type="noConversion"/>
  </si>
  <si>
    <t>복 합</t>
    <phoneticPr fontId="13" type="noConversion"/>
  </si>
  <si>
    <t>기                력</t>
  </si>
  <si>
    <t>유 류</t>
    <phoneticPr fontId="13" type="noConversion"/>
  </si>
  <si>
    <t>L N G</t>
  </si>
  <si>
    <t>소 계</t>
  </si>
  <si>
    <t>중 유</t>
  </si>
  <si>
    <t>L N G</t>
    <phoneticPr fontId="13" type="noConversion"/>
  </si>
  <si>
    <t>-</t>
  </si>
  <si>
    <t xml:space="preserve">  주1)  대체에너지 : 태양광, 풍력 등 신재생에너지(일반수력, 소수력은 데이터 일관성 유지를 위해 수력으로 별도 구분)</t>
    <phoneticPr fontId="13" type="noConversion"/>
  </si>
  <si>
    <t xml:space="preserve">  주2) 기타 : 증류탑폐열, 여열회수, 천연가스압터빈, 부생가스, 폐기물에너지('20년 1월 이후 신재생에서 기타로 분류)</t>
    <phoneticPr fontId="13" type="noConversion"/>
  </si>
  <si>
    <t>2-1. 발전설비용량(발전원별/에너지원별)</t>
    <phoneticPr fontId="13" type="noConversion"/>
  </si>
  <si>
    <t xml:space="preserve">       Generation Capacity by Plant Type and Energy Source</t>
    <phoneticPr fontId="13" type="noConversion"/>
  </si>
  <si>
    <t xml:space="preserve">  2022년 12월</t>
    <phoneticPr fontId="13" type="noConversion"/>
  </si>
  <si>
    <t xml:space="preserve">(단위: kW) </t>
    <phoneticPr fontId="13" type="noConversion"/>
  </si>
  <si>
    <r>
      <t xml:space="preserve">              발전원
에너지원
</t>
    </r>
    <r>
      <rPr>
        <sz val="6"/>
        <rFont val="맑은 고딕"/>
        <family val="3"/>
        <charset val="129"/>
        <scheme val="minor"/>
      </rPr>
      <t>(바이오혼소 반영)</t>
    </r>
    <phoneticPr fontId="13" type="noConversion"/>
  </si>
  <si>
    <t>수력</t>
  </si>
  <si>
    <t>기력</t>
  </si>
  <si>
    <t>복합화력</t>
  </si>
  <si>
    <t>내연력</t>
  </si>
  <si>
    <t>집단</t>
  </si>
  <si>
    <t>총계</t>
    <phoneticPr fontId="13" type="noConversion"/>
  </si>
  <si>
    <r>
      <t xml:space="preserve">발전원
              에너지원
       </t>
    </r>
    <r>
      <rPr>
        <sz val="6"/>
        <rFont val="맑은 고딕"/>
        <family val="3"/>
        <charset val="129"/>
        <scheme val="minor"/>
      </rPr>
      <t>(바이오혼소 반영)</t>
    </r>
    <phoneticPr fontId="13" type="noConversion"/>
  </si>
  <si>
    <t>일반</t>
  </si>
  <si>
    <t>양수</t>
  </si>
  <si>
    <t>소수력</t>
  </si>
  <si>
    <t>중유</t>
  </si>
  <si>
    <t>LNG</t>
  </si>
  <si>
    <t>유류</t>
  </si>
  <si>
    <t>소계</t>
  </si>
  <si>
    <t>태양에너지</t>
  </si>
  <si>
    <t>풍력</t>
  </si>
  <si>
    <t>해양에너지</t>
  </si>
  <si>
    <t>바이오에너지</t>
  </si>
  <si>
    <t>연료전지</t>
  </si>
  <si>
    <t>석탄액화가스</t>
  </si>
  <si>
    <t>신재생 소계</t>
    <phoneticPr fontId="13" type="noConversion"/>
  </si>
  <si>
    <t>총계</t>
  </si>
  <si>
    <t>○ 발전원별 발전설비</t>
    <phoneticPr fontId="13" type="noConversion"/>
  </si>
  <si>
    <t>(단위: kW,%)</t>
    <phoneticPr fontId="13" type="noConversion"/>
  </si>
  <si>
    <t>구   분</t>
    <phoneticPr fontId="13" type="noConversion"/>
  </si>
  <si>
    <t>석탄</t>
  </si>
  <si>
    <t>＊석탄 발전설비(kW) :</t>
    <phoneticPr fontId="13" type="noConversion"/>
  </si>
  <si>
    <t>발전설비</t>
    <phoneticPr fontId="13" type="noConversion"/>
  </si>
  <si>
    <t>(무연탄)</t>
    <phoneticPr fontId="13" type="noConversion"/>
  </si>
  <si>
    <t>+ (유연탄)</t>
    <phoneticPr fontId="13" type="noConversion"/>
  </si>
  <si>
    <t>+ (집단 유연)</t>
    <phoneticPr fontId="13" type="noConversion"/>
  </si>
  <si>
    <t>+ (집단 바이오혼소)</t>
    <phoneticPr fontId="13" type="noConversion"/>
  </si>
  <si>
    <t>점유율</t>
  </si>
  <si>
    <t>＊ LNG 발전설비(kW) :</t>
    <phoneticPr fontId="13" type="noConversion"/>
  </si>
  <si>
    <t xml:space="preserve">  - 집단에너지 별도 분리</t>
    <phoneticPr fontId="13" type="noConversion"/>
  </si>
  <si>
    <t>(기력 LNG)</t>
    <phoneticPr fontId="13" type="noConversion"/>
  </si>
  <si>
    <t>+ (복합 LNG)</t>
    <phoneticPr fontId="13" type="noConversion"/>
  </si>
  <si>
    <t>+ (집단 LNG)</t>
    <phoneticPr fontId="13" type="noConversion"/>
  </si>
  <si>
    <t>＊ 신재생 발전설비(kW) :</t>
    <phoneticPr fontId="13" type="noConversion"/>
  </si>
  <si>
    <t>(일반,소수력)</t>
    <phoneticPr fontId="13" type="noConversion"/>
  </si>
  <si>
    <t>+ (대체 계)</t>
    <phoneticPr fontId="13" type="noConversion"/>
  </si>
  <si>
    <t xml:space="preserve">＊ 유류 발전설비(kW) : </t>
    <phoneticPr fontId="13" type="noConversion"/>
  </si>
  <si>
    <t>(기력 중유)</t>
    <phoneticPr fontId="13" type="noConversion"/>
  </si>
  <si>
    <t>+ (복합 유류)</t>
    <phoneticPr fontId="13" type="noConversion"/>
  </si>
  <si>
    <t>+ (내연력)</t>
    <phoneticPr fontId="13" type="noConversion"/>
  </si>
  <si>
    <t>+ (집단 유류)</t>
    <phoneticPr fontId="13" type="noConversion"/>
  </si>
  <si>
    <t>○ 바이오혼소 반영 발전설비</t>
  </si>
  <si>
    <t xml:space="preserve">  - 바이오혼소 발전설비를 에너지원별로 분리한 설비용량(총 설비용량의 세로값)</t>
  </si>
  <si>
    <t xml:space="preserve">  주1) 발전설비는 자가용을 제외한 사업자용만 집계, 총계는 세부항목에서 반올림되므로 합계와 총계가 일치하지 않는 경우도 있음</t>
    <phoneticPr fontId="13" type="noConversion"/>
  </si>
  <si>
    <t xml:space="preserve">  주3)  '22.1월부터 발전소 바이오 혼소 비율 신재생 설비용량 반영</t>
    <phoneticPr fontId="13" type="noConversion"/>
  </si>
  <si>
    <t>2-2. 발전설비용량 (발전소별)</t>
    <phoneticPr fontId="13" type="noConversion"/>
  </si>
  <si>
    <t xml:space="preserve">       Generation Capacity by Plants</t>
    <phoneticPr fontId="13" type="noConversion"/>
  </si>
  <si>
    <t>2022년 12월</t>
    <phoneticPr fontId="13" type="noConversion"/>
  </si>
  <si>
    <t xml:space="preserve">  (단위 : kW)</t>
    <phoneticPr fontId="13" type="noConversion"/>
  </si>
  <si>
    <t xml:space="preserve">(단위 : kW)  </t>
    <phoneticPr fontId="13" type="noConversion"/>
  </si>
  <si>
    <t>구</t>
    <phoneticPr fontId="13" type="noConversion"/>
  </si>
  <si>
    <t>수력/대체에너지</t>
    <phoneticPr fontId="13" type="noConversion"/>
  </si>
  <si>
    <t>중유/가스/내연</t>
    <phoneticPr fontId="13" type="noConversion"/>
  </si>
  <si>
    <t>복합/집단/기타</t>
    <phoneticPr fontId="13" type="noConversion"/>
  </si>
  <si>
    <t>석탄/복합</t>
    <phoneticPr fontId="13" type="noConversion"/>
  </si>
  <si>
    <t>집단(기타포함)</t>
    <phoneticPr fontId="13" type="noConversion"/>
  </si>
  <si>
    <t>분</t>
    <phoneticPr fontId="13" type="noConversion"/>
  </si>
  <si>
    <t>발전소</t>
    <phoneticPr fontId="13" type="noConversion"/>
  </si>
  <si>
    <t>용량</t>
  </si>
  <si>
    <t>발전소</t>
  </si>
  <si>
    <t>&lt;일반수력&gt;</t>
    <phoneticPr fontId="13" type="noConversion"/>
  </si>
  <si>
    <t>&lt;무연탄&gt;</t>
    <phoneticPr fontId="13" type="noConversion"/>
  </si>
  <si>
    <t>&lt;가스&gt;</t>
    <phoneticPr fontId="13" type="noConversion"/>
  </si>
  <si>
    <t>&lt;복합(LNG)&gt;</t>
    <phoneticPr fontId="13" type="noConversion"/>
  </si>
  <si>
    <t>&lt;원자력&gt;</t>
  </si>
  <si>
    <t>&lt;일반&gt;</t>
  </si>
  <si>
    <t>&lt;석탄&gt;</t>
  </si>
  <si>
    <t>&lt;집단(LNG)&gt;</t>
    <phoneticPr fontId="13" type="noConversion"/>
  </si>
  <si>
    <t>&lt;집단(석탄)&gt;</t>
    <phoneticPr fontId="13" type="noConversion"/>
  </si>
  <si>
    <t>&lt;부생가스&gt;</t>
    <phoneticPr fontId="6" type="noConversion"/>
  </si>
  <si>
    <t>강릉</t>
  </si>
  <si>
    <t>동해#1,2</t>
  </si>
  <si>
    <t>평택#1-4</t>
    <phoneticPr fontId="13" type="noConversion"/>
  </si>
  <si>
    <t>군산C/C</t>
  </si>
  <si>
    <t>고리#2</t>
  </si>
  <si>
    <t>-수자원공사</t>
    <phoneticPr fontId="13" type="noConversion"/>
  </si>
  <si>
    <t>강릉안인#1-2</t>
    <phoneticPr fontId="13" type="noConversion"/>
  </si>
  <si>
    <t>광교열병합</t>
  </si>
  <si>
    <t>구미열병합</t>
  </si>
  <si>
    <t>여수카본열병합</t>
    <phoneticPr fontId="13" type="noConversion"/>
  </si>
  <si>
    <t>의암</t>
  </si>
  <si>
    <t>보령C/C</t>
  </si>
  <si>
    <t>고리#3</t>
  </si>
  <si>
    <t>대청</t>
  </si>
  <si>
    <t>고성#1-2</t>
    <phoneticPr fontId="13" type="noConversion"/>
  </si>
  <si>
    <t>노원열병합</t>
  </si>
  <si>
    <t>금호여수열병합</t>
  </si>
  <si>
    <t>청평</t>
  </si>
  <si>
    <t>부산C/C</t>
  </si>
  <si>
    <t>고리#4</t>
  </si>
  <si>
    <t>소양강</t>
    <phoneticPr fontId="13" type="noConversion"/>
  </si>
  <si>
    <t>북평#1-2</t>
  </si>
  <si>
    <t>논현열병합</t>
  </si>
  <si>
    <t>김천열병합</t>
  </si>
  <si>
    <t>&lt;폐기물에너지&gt;</t>
    <phoneticPr fontId="6" type="noConversion"/>
  </si>
  <si>
    <t>춘천</t>
  </si>
  <si>
    <t>무연탄 소계</t>
    <phoneticPr fontId="13" type="noConversion"/>
  </si>
  <si>
    <t>가스 계</t>
    <phoneticPr fontId="13" type="noConversion"/>
  </si>
  <si>
    <t>분당C/C</t>
  </si>
  <si>
    <t>새울#1</t>
  </si>
  <si>
    <t>안동</t>
  </si>
  <si>
    <t>석탄 계</t>
  </si>
  <si>
    <t>대구그린파워</t>
  </si>
  <si>
    <t>대구염색</t>
  </si>
  <si>
    <t>이에스파워 등</t>
    <phoneticPr fontId="13" type="noConversion"/>
  </si>
  <si>
    <t>칠보</t>
    <phoneticPr fontId="13" type="noConversion"/>
  </si>
  <si>
    <t>&lt;유연탄&gt;</t>
  </si>
  <si>
    <t>&lt;도서내연&gt;</t>
  </si>
  <si>
    <t>서울C/C</t>
  </si>
  <si>
    <t>새울#2</t>
  </si>
  <si>
    <t>용담</t>
  </si>
  <si>
    <t>대전서남부열병합</t>
  </si>
  <si>
    <t>데이원에너지</t>
    <phoneticPr fontId="13" type="noConversion"/>
  </si>
  <si>
    <t>팔당</t>
    <phoneticPr fontId="13" type="noConversion"/>
  </si>
  <si>
    <t>당진#1-10</t>
  </si>
  <si>
    <t>울릉도 등</t>
    <phoneticPr fontId="13" type="noConversion"/>
  </si>
  <si>
    <t>서인천C/C</t>
  </si>
  <si>
    <t>신고리#1</t>
  </si>
  <si>
    <t>임하</t>
  </si>
  <si>
    <t>광양복합</t>
  </si>
  <si>
    <t>동탄열병합</t>
  </si>
  <si>
    <t>반월열병합</t>
  </si>
  <si>
    <t>&lt;기타&gt;</t>
    <phoneticPr fontId="6" type="noConversion"/>
  </si>
  <si>
    <t>화천</t>
  </si>
  <si>
    <t>보령#3-8</t>
  </si>
  <si>
    <t>제주내연(중부)</t>
    <phoneticPr fontId="13" type="noConversion"/>
  </si>
  <si>
    <t>신인천C/C</t>
  </si>
  <si>
    <t>신고리#2</t>
  </si>
  <si>
    <t>주암</t>
  </si>
  <si>
    <t>당진복합</t>
  </si>
  <si>
    <t>명품오산열병합</t>
  </si>
  <si>
    <t>부산염색</t>
  </si>
  <si>
    <t>여열회수발전</t>
  </si>
  <si>
    <t>일반수력 소계</t>
    <phoneticPr fontId="13" type="noConversion"/>
  </si>
  <si>
    <t>삼척그린#1,2</t>
  </si>
  <si>
    <t>안동C/C</t>
  </si>
  <si>
    <t>신월성#1</t>
  </si>
  <si>
    <t>충주</t>
  </si>
  <si>
    <t>동두천복합</t>
  </si>
  <si>
    <t>목동열병합</t>
  </si>
  <si>
    <t>상공에너지</t>
  </si>
  <si>
    <t>증류탑폐열</t>
    <phoneticPr fontId="13" type="noConversion"/>
  </si>
  <si>
    <t>한</t>
    <phoneticPr fontId="13" type="noConversion"/>
  </si>
  <si>
    <t>&lt;양수&gt;</t>
  </si>
  <si>
    <t>삼천포#3-6</t>
  </si>
  <si>
    <t>영월C/C</t>
  </si>
  <si>
    <t>신월성#2</t>
  </si>
  <si>
    <t>타</t>
    <phoneticPr fontId="13" type="noConversion"/>
  </si>
  <si>
    <t>합천</t>
  </si>
  <si>
    <t>부산정관에너지</t>
  </si>
  <si>
    <t>별내열병합</t>
  </si>
  <si>
    <t>새만금열병합</t>
  </si>
  <si>
    <t>천연가스압터빈</t>
  </si>
  <si>
    <t>전</t>
    <phoneticPr fontId="13" type="noConversion"/>
  </si>
  <si>
    <t>무주</t>
  </si>
  <si>
    <t>신보령#1,2</t>
  </si>
  <si>
    <t>울산C/C</t>
  </si>
  <si>
    <t>신한울#1</t>
  </si>
  <si>
    <t>신평택</t>
    <phoneticPr fontId="13" type="noConversion"/>
  </si>
  <si>
    <t>부천복합</t>
  </si>
  <si>
    <t>전북집단에너지</t>
    <phoneticPr fontId="13" type="noConversion"/>
  </si>
  <si>
    <t>산청</t>
    <phoneticPr fontId="13" type="noConversion"/>
  </si>
  <si>
    <t>신서천화력#1</t>
  </si>
  <si>
    <t>인천C/C</t>
  </si>
  <si>
    <t>월성#2</t>
  </si>
  <si>
    <t>안산복합</t>
  </si>
  <si>
    <t>송도복합</t>
  </si>
  <si>
    <t>포천그린</t>
  </si>
  <si>
    <t>삼랑진</t>
  </si>
  <si>
    <t>여수#1-2</t>
  </si>
  <si>
    <t>일산C/C</t>
  </si>
  <si>
    <t>월성#3</t>
  </si>
  <si>
    <t>영남파워</t>
  </si>
  <si>
    <t>수완에너지</t>
  </si>
  <si>
    <t>SGC에너지</t>
    <phoneticPr fontId="13" type="noConversion"/>
  </si>
  <si>
    <t>및</t>
  </si>
  <si>
    <t>양양</t>
    <phoneticPr fontId="13" type="noConversion"/>
  </si>
  <si>
    <t>영흥#1-6</t>
  </si>
  <si>
    <t>제주LNG</t>
  </si>
  <si>
    <t>월성#4</t>
  </si>
  <si>
    <t>소수력 소계</t>
    <phoneticPr fontId="13" type="noConversion"/>
  </si>
  <si>
    <t>오성복합</t>
  </si>
  <si>
    <t>신정열병합</t>
  </si>
  <si>
    <t>예천</t>
    <phoneticPr fontId="13" type="noConversion"/>
  </si>
  <si>
    <t>태안#1-10</t>
  </si>
  <si>
    <t>평택C/C</t>
  </si>
  <si>
    <t>한빛#1</t>
  </si>
  <si>
    <t>율촌복합</t>
  </si>
  <si>
    <t>아산배방열병합</t>
  </si>
  <si>
    <t>&lt;집단(유류)&gt;</t>
    <phoneticPr fontId="13" type="noConversion"/>
  </si>
  <si>
    <t>발</t>
    <phoneticPr fontId="13" type="noConversion"/>
  </si>
  <si>
    <t>청송</t>
    <phoneticPr fontId="13" type="noConversion"/>
  </si>
  <si>
    <t>하동#1-8</t>
  </si>
  <si>
    <t>한림C/C</t>
    <phoneticPr fontId="13" type="noConversion"/>
  </si>
  <si>
    <t>한빛#2</t>
  </si>
  <si>
    <t>수력 계</t>
    <phoneticPr fontId="13" type="noConversion"/>
  </si>
  <si>
    <t>파주문산복합</t>
  </si>
  <si>
    <t>안산열병합</t>
  </si>
  <si>
    <t>대구열병합</t>
  </si>
  <si>
    <t>한빛#3</t>
  </si>
  <si>
    <t>&lt;대체에너지&gt;</t>
  </si>
  <si>
    <t>포스코에너지</t>
  </si>
  <si>
    <t>안양열병합</t>
  </si>
  <si>
    <t>무림파워텍</t>
  </si>
  <si>
    <t>자</t>
    <phoneticPr fontId="13" type="noConversion"/>
  </si>
  <si>
    <t>양수 소계</t>
    <phoneticPr fontId="13" type="noConversion"/>
  </si>
  <si>
    <t>한빛#4</t>
  </si>
  <si>
    <t>태양광</t>
    <phoneticPr fontId="13" type="noConversion"/>
  </si>
  <si>
    <t>포천복합</t>
  </si>
  <si>
    <t>양주열병합</t>
  </si>
  <si>
    <t>수원열병합</t>
  </si>
  <si>
    <t>회</t>
    <phoneticPr fontId="13" type="noConversion"/>
  </si>
  <si>
    <t>기타 소수력</t>
  </si>
  <si>
    <t>&lt;복합(유류)&gt;</t>
    <phoneticPr fontId="13" type="noConversion"/>
  </si>
  <si>
    <t>한빛#5</t>
  </si>
  <si>
    <t>풍력</t>
    <phoneticPr fontId="13" type="noConversion"/>
  </si>
  <si>
    <t>포천천연복합</t>
  </si>
  <si>
    <t>위례열병합</t>
  </si>
  <si>
    <t>청주열병합</t>
    <phoneticPr fontId="13" type="noConversion"/>
  </si>
  <si>
    <t>사</t>
    <phoneticPr fontId="13" type="noConversion"/>
  </si>
  <si>
    <t>남제주C/C</t>
    <phoneticPr fontId="13" type="noConversion"/>
  </si>
  <si>
    <t>한빛#6</t>
  </si>
  <si>
    <t>바이오에너지</t>
    <phoneticPr fontId="13" type="noConversion"/>
  </si>
  <si>
    <t>인천공항</t>
  </si>
  <si>
    <t>유연탄 소계</t>
  </si>
  <si>
    <t>내연 계</t>
    <phoneticPr fontId="13" type="noConversion"/>
  </si>
  <si>
    <t>복합 계</t>
    <phoneticPr fontId="13" type="noConversion"/>
  </si>
  <si>
    <t>한울#1</t>
  </si>
  <si>
    <t>연료전지</t>
    <phoneticPr fontId="13" type="noConversion"/>
  </si>
  <si>
    <t>춘천열병합</t>
  </si>
  <si>
    <t>한울#2</t>
  </si>
  <si>
    <t>해양에너지</t>
    <phoneticPr fontId="13" type="noConversion"/>
  </si>
  <si>
    <t>대산복합</t>
    <phoneticPr fontId="13" type="noConversion"/>
  </si>
  <si>
    <t>파주열병합</t>
  </si>
  <si>
    <t>&lt;집단(기타)&gt;</t>
    <phoneticPr fontId="13" type="noConversion"/>
  </si>
  <si>
    <t>석탄 계</t>
    <phoneticPr fontId="13" type="noConversion"/>
  </si>
  <si>
    <t>세종천연가스</t>
    <phoneticPr fontId="13" type="noConversion"/>
  </si>
  <si>
    <t>한울#3</t>
  </si>
  <si>
    <t>판교열병합</t>
  </si>
  <si>
    <t>대전열병합</t>
  </si>
  <si>
    <t>집단 계</t>
    <phoneticPr fontId="13" type="noConversion"/>
  </si>
  <si>
    <t>한울#4</t>
  </si>
  <si>
    <t>하남열병합</t>
  </si>
  <si>
    <t>한울#5</t>
  </si>
  <si>
    <t>화성복합</t>
  </si>
  <si>
    <t>&lt;기타&gt;</t>
    <phoneticPr fontId="13" type="noConversion"/>
  </si>
  <si>
    <t>한울#6</t>
  </si>
  <si>
    <t>바이오중유</t>
    <phoneticPr fontId="13" type="noConversion"/>
  </si>
  <si>
    <t>폐기물에너지</t>
    <phoneticPr fontId="13" type="noConversion"/>
  </si>
  <si>
    <t>대체 계</t>
    <phoneticPr fontId="13" type="noConversion"/>
  </si>
  <si>
    <t>기타 계</t>
    <phoneticPr fontId="13" type="noConversion"/>
  </si>
  <si>
    <t>원자력 계</t>
    <phoneticPr fontId="13" type="noConversion"/>
  </si>
  <si>
    <t>○ 회사별 설비용량</t>
    <phoneticPr fontId="13" type="noConversion"/>
  </si>
  <si>
    <t>(단위 : kW, %)</t>
    <phoneticPr fontId="13" type="noConversion"/>
  </si>
  <si>
    <t>한전</t>
    <phoneticPr fontId="13" type="noConversion"/>
  </si>
  <si>
    <t>발전자회사</t>
    <phoneticPr fontId="13" type="noConversion"/>
  </si>
  <si>
    <t>한전,발전자회사</t>
    <phoneticPr fontId="13" type="noConversion"/>
  </si>
  <si>
    <t>타 발전회사</t>
    <phoneticPr fontId="13" type="noConversion"/>
  </si>
  <si>
    <t>도서내연</t>
    <phoneticPr fontId="13" type="noConversion"/>
  </si>
  <si>
    <t>신재생</t>
    <phoneticPr fontId="13" type="noConversion"/>
  </si>
  <si>
    <t>소계</t>
    <phoneticPr fontId="13" type="noConversion"/>
  </si>
  <si>
    <t>양수</t>
    <phoneticPr fontId="13" type="noConversion"/>
  </si>
  <si>
    <t>석탄</t>
    <phoneticPr fontId="13" type="noConversion"/>
  </si>
  <si>
    <t>유류</t>
    <phoneticPr fontId="13" type="noConversion"/>
  </si>
  <si>
    <t>가스/복합</t>
    <phoneticPr fontId="13" type="noConversion"/>
  </si>
  <si>
    <t>집단</t>
    <phoneticPr fontId="13" type="noConversion"/>
  </si>
  <si>
    <t>계</t>
    <phoneticPr fontId="13" type="noConversion"/>
  </si>
  <si>
    <t>복합</t>
    <phoneticPr fontId="13" type="noConversion"/>
  </si>
  <si>
    <t>기타</t>
    <phoneticPr fontId="6" type="noConversion"/>
  </si>
  <si>
    <t xml:space="preserve">주) 신재생=대체에너지+일반수력+소수력            </t>
    <phoneticPr fontId="13" type="noConversion"/>
  </si>
  <si>
    <t xml:space="preserve">3. 발전회사 및 발전원별 발전설비용량(1/2) </t>
    <phoneticPr fontId="13" type="noConversion"/>
  </si>
  <si>
    <t xml:space="preserve">3. 발전회사 및 발전원별 발전설비용량(2/2) </t>
    <phoneticPr fontId="13" type="noConversion"/>
  </si>
  <si>
    <t xml:space="preserve">     Generation Capacity by GENCO's and Plant Type(1/2)</t>
    <phoneticPr fontId="13" type="noConversion"/>
  </si>
  <si>
    <t xml:space="preserve">     Generation Capacity by GENCO's and Plant Type(2/2)</t>
    <phoneticPr fontId="13" type="noConversion"/>
  </si>
  <si>
    <t>(단위 : MW)</t>
    <phoneticPr fontId="13" type="noConversion"/>
  </si>
  <si>
    <t xml:space="preserve">남          동 </t>
  </si>
  <si>
    <t>중         부</t>
    <phoneticPr fontId="13" type="noConversion"/>
  </si>
  <si>
    <t>중           부</t>
    <phoneticPr fontId="13" type="noConversion"/>
  </si>
  <si>
    <t>서          부</t>
  </si>
  <si>
    <t>남         부</t>
    <phoneticPr fontId="13" type="noConversion"/>
  </si>
  <si>
    <t>동</t>
    <phoneticPr fontId="13" type="noConversion"/>
  </si>
  <si>
    <t>서</t>
    <phoneticPr fontId="13" type="noConversion"/>
  </si>
  <si>
    <t>동          서</t>
    <phoneticPr fontId="13" type="noConversion"/>
  </si>
  <si>
    <t>한 국  수 력  원 자 력</t>
    <phoneticPr fontId="13" type="noConversion"/>
  </si>
  <si>
    <t>한  전</t>
    <phoneticPr fontId="13" type="noConversion"/>
  </si>
  <si>
    <t>타사</t>
    <phoneticPr fontId="13" type="noConversion"/>
  </si>
  <si>
    <t>복  합</t>
  </si>
  <si>
    <t>대체에너지</t>
    <phoneticPr fontId="13" type="noConversion"/>
  </si>
  <si>
    <t>가  스</t>
  </si>
  <si>
    <t>내  연</t>
  </si>
  <si>
    <t>기  타</t>
    <phoneticPr fontId="13" type="noConversion"/>
  </si>
  <si>
    <t>가  스</t>
    <phoneticPr fontId="13" type="noConversion"/>
  </si>
  <si>
    <t>복  합</t>
    <phoneticPr fontId="13" type="noConversion"/>
  </si>
  <si>
    <t>내연</t>
    <phoneticPr fontId="13" type="noConversion"/>
  </si>
  <si>
    <t>내 연</t>
    <phoneticPr fontId="13" type="noConversion"/>
  </si>
  <si>
    <t xml:space="preserve">  주1) 2012. 6월부터 신재생 발전설비 분리수록</t>
    <phoneticPr fontId="13" type="noConversion"/>
  </si>
  <si>
    <t xml:space="preserve">  주3) 세종천연가스발전소(집단)은 중부 복합으로 포함</t>
    <phoneticPr fontId="13" type="noConversion"/>
  </si>
  <si>
    <t xml:space="preserve">   주) 타사 세부 발전설비용량은 12, 13page 참고</t>
    <phoneticPr fontId="13" type="noConversion"/>
  </si>
  <si>
    <t xml:space="preserve">  주2) 대체에너지 : 태양광, 풍력 등 신재생에너지(일반수력, 소수력은 수력으로 별도구분)</t>
    <phoneticPr fontId="13" type="noConversion"/>
  </si>
  <si>
    <t xml:space="preserve">  주4) 기타 : 폐기물에너지('20년 1월부터 대체에너지에서 기타로 분류)</t>
    <phoneticPr fontId="13" type="noConversion"/>
  </si>
  <si>
    <t>3-1. 한전 및 발전자회사 상세 발전설비용량</t>
    <phoneticPr fontId="13" type="noConversion"/>
  </si>
  <si>
    <t xml:space="preserve">       Generation Capacity by Companies</t>
    <phoneticPr fontId="13" type="noConversion"/>
  </si>
  <si>
    <t>(단위 : kW)</t>
  </si>
  <si>
    <t xml:space="preserve">남동발전(주) </t>
    <phoneticPr fontId="13" type="noConversion"/>
  </si>
  <si>
    <t xml:space="preserve">남부발전(주) </t>
    <phoneticPr fontId="13" type="noConversion"/>
  </si>
  <si>
    <t>한국수력원자력(주)</t>
    <phoneticPr fontId="13" type="noConversion"/>
  </si>
  <si>
    <t xml:space="preserve"> 외   도</t>
  </si>
  <si>
    <t>80*2, 60*1</t>
  </si>
  <si>
    <t>X</t>
  </si>
  <si>
    <t xml:space="preserve"> 발  전  소</t>
  </si>
  <si>
    <t>호   기</t>
    <phoneticPr fontId="13" type="noConversion"/>
  </si>
  <si>
    <t>설비용량</t>
  </si>
  <si>
    <t>호   기</t>
  </si>
  <si>
    <t xml:space="preserve"> 외연도</t>
  </si>
  <si>
    <t>300*1, 150*3</t>
  </si>
  <si>
    <t xml:space="preserve"> 삼천포</t>
    <phoneticPr fontId="13" type="noConversion"/>
  </si>
  <si>
    <t>기</t>
    <phoneticPr fontId="13" type="noConversion"/>
  </si>
  <si>
    <t xml:space="preserve"> 하  동</t>
    <phoneticPr fontId="13" type="noConversion"/>
  </si>
  <si>
    <t xml:space="preserve"> 화  천</t>
    <phoneticPr fontId="13" type="noConversion"/>
  </si>
  <si>
    <t>기</t>
  </si>
  <si>
    <t xml:space="preserve"> 울   도</t>
  </si>
  <si>
    <t xml:space="preserve"> 삼척그린</t>
    <phoneticPr fontId="13" type="noConversion"/>
  </si>
  <si>
    <t xml:space="preserve"> 춘  천</t>
    <phoneticPr fontId="13" type="noConversion"/>
  </si>
  <si>
    <t xml:space="preserve"> 위   도</t>
  </si>
  <si>
    <t>1,000*1, 500*1</t>
  </si>
  <si>
    <t xml:space="preserve"> 영  흥</t>
    <phoneticPr fontId="13" type="noConversion"/>
  </si>
  <si>
    <t>력</t>
    <phoneticPr fontId="13" type="noConversion"/>
  </si>
  <si>
    <t>수</t>
    <phoneticPr fontId="13" type="noConversion"/>
  </si>
  <si>
    <t xml:space="preserve"> 의  암</t>
    <phoneticPr fontId="13" type="noConversion"/>
  </si>
  <si>
    <t>×</t>
    <phoneticPr fontId="13" type="noConversion"/>
  </si>
  <si>
    <t xml:space="preserve"> 신인천</t>
    <phoneticPr fontId="13" type="noConversion"/>
  </si>
  <si>
    <t>GT</t>
  </si>
  <si>
    <t xml:space="preserve"> 청  평</t>
    <phoneticPr fontId="13" type="noConversion"/>
  </si>
  <si>
    <t xml:space="preserve"> 자월도</t>
  </si>
  <si>
    <t>500*3, 150*1</t>
  </si>
  <si>
    <t xml:space="preserve"> 여  수</t>
  </si>
  <si>
    <t>ST</t>
  </si>
  <si>
    <t xml:space="preserve"> 장고도</t>
  </si>
  <si>
    <t xml:space="preserve"> 한림복합</t>
    <phoneticPr fontId="13" type="noConversion"/>
  </si>
  <si>
    <t xml:space="preserve"> 조   도</t>
  </si>
  <si>
    <t>800*3, 500*2</t>
  </si>
  <si>
    <t xml:space="preserve"> 팔  당</t>
    <phoneticPr fontId="13" type="noConversion"/>
  </si>
  <si>
    <t xml:space="preserve"> 초   도</t>
  </si>
  <si>
    <t>한수원</t>
    <phoneticPr fontId="13" type="noConversion"/>
  </si>
  <si>
    <t>복</t>
    <phoneticPr fontId="13" type="noConversion"/>
  </si>
  <si>
    <t xml:space="preserve"> 분  당</t>
    <phoneticPr fontId="13" type="noConversion"/>
  </si>
  <si>
    <t xml:space="preserve"> 부산복합 </t>
    <phoneticPr fontId="13" type="noConversion"/>
  </si>
  <si>
    <t>GT</t>
    <phoneticPr fontId="13" type="noConversion"/>
  </si>
  <si>
    <t xml:space="preserve"> 칠  보(섬진강)</t>
    <phoneticPr fontId="13" type="noConversion"/>
  </si>
  <si>
    <t xml:space="preserve"> 추   도</t>
  </si>
  <si>
    <t>100*2, 80*1</t>
  </si>
  <si>
    <t xml:space="preserve">14,400*1, 14,600*1 </t>
    <phoneticPr fontId="13" type="noConversion"/>
  </si>
  <si>
    <t>도</t>
    <phoneticPr fontId="13" type="noConversion"/>
  </si>
  <si>
    <t xml:space="preserve"> 추자도</t>
  </si>
  <si>
    <t>1,000*4, 500*3</t>
  </si>
  <si>
    <t>합</t>
    <phoneticPr fontId="13" type="noConversion"/>
  </si>
  <si>
    <t xml:space="preserve"> 영월복합 </t>
    <phoneticPr fontId="13" type="noConversion"/>
  </si>
  <si>
    <t xml:space="preserve"> 강  릉</t>
    <phoneticPr fontId="13" type="noConversion"/>
  </si>
  <si>
    <t xml:space="preserve"> 평   도</t>
  </si>
  <si>
    <t xml:space="preserve"> 수력  계</t>
    <phoneticPr fontId="13" type="noConversion"/>
  </si>
  <si>
    <t>대</t>
  </si>
  <si>
    <t xml:space="preserve"> 풍   도</t>
  </si>
  <si>
    <t>바이오(영동#1,2)</t>
    <phoneticPr fontId="56" type="noConversion"/>
  </si>
  <si>
    <t xml:space="preserve"> 안동복합</t>
    <phoneticPr fontId="13" type="noConversion"/>
  </si>
  <si>
    <t>신</t>
    <phoneticPr fontId="13" type="noConversion"/>
  </si>
  <si>
    <t>소수력</t>
    <phoneticPr fontId="56" type="noConversion"/>
  </si>
  <si>
    <t xml:space="preserve"> 호   도</t>
  </si>
  <si>
    <t>ST</t>
    <phoneticPr fontId="13" type="noConversion"/>
  </si>
  <si>
    <t>재</t>
    <phoneticPr fontId="13" type="noConversion"/>
  </si>
  <si>
    <t>태양광</t>
    <phoneticPr fontId="56" type="noConversion"/>
  </si>
  <si>
    <t xml:space="preserve"> 홍   도</t>
  </si>
  <si>
    <t>800*2, 500*1</t>
  </si>
  <si>
    <t xml:space="preserve"> 남제주복합</t>
    <phoneticPr fontId="13" type="noConversion"/>
  </si>
  <si>
    <t>생</t>
    <phoneticPr fontId="13" type="noConversion"/>
  </si>
  <si>
    <t>풍력</t>
    <phoneticPr fontId="56" type="noConversion"/>
  </si>
  <si>
    <t xml:space="preserve"> 화   도</t>
  </si>
  <si>
    <t>연료전지</t>
    <phoneticPr fontId="56" type="noConversion"/>
  </si>
  <si>
    <t xml:space="preserve">   합    계</t>
  </si>
  <si>
    <t xml:space="preserve"> 흑산도</t>
  </si>
  <si>
    <t>1,000*2, 750*2</t>
  </si>
  <si>
    <t xml:space="preserve">   합    계</t>
    <phoneticPr fontId="13" type="noConversion"/>
  </si>
  <si>
    <t>태양광</t>
  </si>
  <si>
    <t>KEPCO</t>
    <phoneticPr fontId="13" type="noConversion"/>
  </si>
  <si>
    <t xml:space="preserve">중부발전(주) </t>
  </si>
  <si>
    <t>울</t>
  </si>
  <si>
    <t>울릉도</t>
    <phoneticPr fontId="13" type="noConversion"/>
  </si>
  <si>
    <t xml:space="preserve"> 보  령</t>
    <phoneticPr fontId="13" type="noConversion"/>
  </si>
  <si>
    <t>릉</t>
  </si>
  <si>
    <t>기타도서소계</t>
    <phoneticPr fontId="13" type="noConversion"/>
  </si>
  <si>
    <t>바이오중유(남제주#1,2)</t>
    <phoneticPr fontId="13" type="noConversion"/>
  </si>
  <si>
    <t>도</t>
  </si>
  <si>
    <t xml:space="preserve"> 신보령</t>
    <phoneticPr fontId="13" type="noConversion"/>
  </si>
  <si>
    <t>동서발전(주)</t>
    <phoneticPr fontId="13" type="noConversion"/>
  </si>
  <si>
    <t xml:space="preserve"> 울릉도계</t>
    <phoneticPr fontId="13" type="noConversion"/>
  </si>
  <si>
    <t>대</t>
    <phoneticPr fontId="13" type="noConversion"/>
  </si>
  <si>
    <t>신서천</t>
    <phoneticPr fontId="13" type="noConversion"/>
  </si>
  <si>
    <t xml:space="preserve"> 당  진</t>
    <phoneticPr fontId="13" type="noConversion"/>
  </si>
  <si>
    <t xml:space="preserve"> 가거도</t>
    <phoneticPr fontId="13" type="noConversion"/>
  </si>
  <si>
    <t>300*1, 500*3</t>
    <phoneticPr fontId="13" type="noConversion"/>
  </si>
  <si>
    <t xml:space="preserve"> 타사 화력</t>
    <phoneticPr fontId="13" type="noConversion"/>
  </si>
  <si>
    <t xml:space="preserve"> 보  령</t>
  </si>
  <si>
    <t xml:space="preserve"> 가의도</t>
    <phoneticPr fontId="13" type="noConversion"/>
  </si>
  <si>
    <t xml:space="preserve"> 집단에너지</t>
    <phoneticPr fontId="13" type="noConversion"/>
  </si>
  <si>
    <t xml:space="preserve"> 인  천</t>
  </si>
  <si>
    <t xml:space="preserve"> 가파도</t>
    <phoneticPr fontId="13" type="noConversion"/>
  </si>
  <si>
    <t xml:space="preserve"> 타사 신재생 등</t>
    <phoneticPr fontId="13" type="noConversion"/>
  </si>
  <si>
    <t>력</t>
  </si>
  <si>
    <t xml:space="preserve"> 동  해</t>
  </si>
  <si>
    <t xml:space="preserve"> 개야도</t>
    <phoneticPr fontId="13" type="noConversion"/>
  </si>
  <si>
    <t>500*2, 250*2</t>
    <phoneticPr fontId="13" type="noConversion"/>
  </si>
  <si>
    <t xml:space="preserve"> 거문도</t>
    <phoneticPr fontId="13" type="noConversion"/>
  </si>
  <si>
    <t>1,000*4, 500*1</t>
    <phoneticPr fontId="13" type="noConversion"/>
  </si>
  <si>
    <t xml:space="preserve"> 일  산   </t>
    <phoneticPr fontId="13" type="noConversion"/>
  </si>
  <si>
    <t xml:space="preserve"> 고대도</t>
    <phoneticPr fontId="13" type="noConversion"/>
  </si>
  <si>
    <t>150*2, 100*1</t>
    <phoneticPr fontId="13" type="noConversion"/>
  </si>
  <si>
    <t>[ 설비용량 변경내역 ]</t>
    <phoneticPr fontId="57" type="noConversion"/>
  </si>
  <si>
    <t xml:space="preserve"> 구자도</t>
    <phoneticPr fontId="13" type="noConversion"/>
  </si>
  <si>
    <t>1. '22.1.1 : 호남#1,2 폐지 등 [-138MW]</t>
  </si>
  <si>
    <t xml:space="preserve"> 낙월도</t>
    <phoneticPr fontId="13" type="noConversion"/>
  </si>
  <si>
    <t>2. '22.1.25 : 원동풍력#1 신설 등 [+103.731MW]</t>
  </si>
  <si>
    <t>세종천연가스발전소(집)</t>
  </si>
  <si>
    <t xml:space="preserve"> 울  산</t>
    <phoneticPr fontId="13" type="noConversion"/>
  </si>
  <si>
    <t xml:space="preserve"> 녹   도</t>
    <phoneticPr fontId="13" type="noConversion"/>
  </si>
  <si>
    <t>100*1, 80*2</t>
    <phoneticPr fontId="13" type="noConversion"/>
  </si>
  <si>
    <t>3. '22.2.1 : 울산#4 폐지 등 [-1,054.05MW]</t>
  </si>
  <si>
    <t>X</t>
    <phoneticPr fontId="56" type="noConversion"/>
  </si>
  <si>
    <t xml:space="preserve">          </t>
  </si>
  <si>
    <t xml:space="preserve"> 대청도</t>
    <phoneticPr fontId="13" type="noConversion"/>
  </si>
  <si>
    <t>4. '22.3.8 : ㈜새만금세빛발전소 신설 등 [+491.495MW]</t>
  </si>
  <si>
    <t>제주LNG복합</t>
    <phoneticPr fontId="56" type="noConversion"/>
  </si>
  <si>
    <t>500*1, 450*1</t>
    <phoneticPr fontId="13" type="noConversion"/>
  </si>
  <si>
    <t>5. '22.4.8 :  동해 북평레포츠 연료전지 신설 등 [+119.006MW]</t>
  </si>
  <si>
    <t xml:space="preserve"> 덕우도</t>
    <phoneticPr fontId="13" type="noConversion"/>
  </si>
  <si>
    <t>150*1, 80*3</t>
    <phoneticPr fontId="13" type="noConversion"/>
  </si>
  <si>
    <t>6. '22.5.4 :  빛고을에코에너지(주) 연료전지 신설 등 [+236.953MW]</t>
  </si>
  <si>
    <t>서울복합</t>
    <phoneticPr fontId="56" type="noConversion"/>
  </si>
  <si>
    <t xml:space="preserve"> 덕적도</t>
    <phoneticPr fontId="13" type="noConversion"/>
  </si>
  <si>
    <t>500*4, 300*3</t>
    <phoneticPr fontId="13" type="noConversion"/>
  </si>
  <si>
    <t>7. '22.6.1 : 당진화력소수력 폐지 등 [+269.778MW]</t>
  </si>
  <si>
    <t xml:space="preserve"> 독거도</t>
    <phoneticPr fontId="13" type="noConversion"/>
  </si>
  <si>
    <t>80*1, 40*2</t>
    <phoneticPr fontId="13" type="noConversion"/>
  </si>
  <si>
    <t>8. '22.6.8 : 태안IGCC 중앙발전기 전환 등 [-126.655MW]</t>
  </si>
  <si>
    <t xml:space="preserve"> 제주내연</t>
    <phoneticPr fontId="13" type="noConversion"/>
  </si>
  <si>
    <t xml:space="preserve"> 득량도</t>
    <phoneticPr fontId="13" type="noConversion"/>
  </si>
  <si>
    <t>9. '22.6.15 : 해도지 태양광발전소 신설 등 [+5.889MW]</t>
  </si>
  <si>
    <t xml:space="preserve"> 마라도</t>
    <phoneticPr fontId="13" type="noConversion"/>
  </si>
  <si>
    <t>300*1, 200*2</t>
    <phoneticPr fontId="13" type="noConversion"/>
  </si>
  <si>
    <t>10. '22.6.22 : 원동풍력#2 신설 등 [+25.536MW]</t>
  </si>
  <si>
    <t>신</t>
  </si>
  <si>
    <t xml:space="preserve"> 매물도</t>
  </si>
  <si>
    <t>11. '22.6.29 : 삼화제지 태양광발전소 신설 등 [+145.301MW]</t>
  </si>
  <si>
    <t>재</t>
  </si>
  <si>
    <t xml:space="preserve"> 문갑도</t>
  </si>
  <si>
    <t>12. '22.7.6 : 고다태양광발전소 신설 등 [+2.123MW]</t>
  </si>
  <si>
    <t>생</t>
  </si>
  <si>
    <t xml:space="preserve"> 백령도</t>
  </si>
  <si>
    <t>3,000*2, 1,500*6</t>
    <phoneticPr fontId="13" type="noConversion"/>
  </si>
  <si>
    <t>13. '22.7.13 : 북내지내2호 태양광발전소 신설 등 [+27.045MW]</t>
  </si>
  <si>
    <t>바이오중유(제주#2,3)</t>
    <phoneticPr fontId="13" type="noConversion"/>
  </si>
  <si>
    <t xml:space="preserve"> 비안도</t>
  </si>
  <si>
    <t>14. '22.7.20 : 태양5호태양광발전소 신설 등 [+3.427MW]</t>
  </si>
  <si>
    <t>고    리</t>
    <phoneticPr fontId="13" type="noConversion"/>
  </si>
  <si>
    <t xml:space="preserve"> 비양도</t>
  </si>
  <si>
    <t>15. '22.7.27 : 독립기념관 통일염원 진달래 태양광 신설 등 [+21.456MW]</t>
  </si>
  <si>
    <t>원</t>
    <phoneticPr fontId="13" type="noConversion"/>
  </si>
  <si>
    <t xml:space="preserve"> 삽시도</t>
  </si>
  <si>
    <t>500*2, 300*2</t>
  </si>
  <si>
    <t>16. '22.8.3 : 라이테크 태양광발전소 신설 등 [+125.933MW]</t>
  </si>
  <si>
    <t>신 고 리</t>
    <phoneticPr fontId="13" type="noConversion"/>
  </si>
  <si>
    <t xml:space="preserve"> 상화도</t>
  </si>
  <si>
    <t>17. '22.8.10 : 경기 이천 관고 연료전지 신설 등 [+29.678MW]</t>
  </si>
  <si>
    <t>서부발전(주)</t>
    <phoneticPr fontId="13" type="noConversion"/>
  </si>
  <si>
    <t xml:space="preserve"> 성남도</t>
  </si>
  <si>
    <t>80*1, 40*2</t>
  </si>
  <si>
    <t>18. '22.8.18 : 스마일1호 태양광발전소 신설 등 [+15.199MW]</t>
  </si>
  <si>
    <t xml:space="preserve"> 태  안</t>
    <phoneticPr fontId="13" type="noConversion"/>
  </si>
  <si>
    <t>월    성</t>
    <phoneticPr fontId="13" type="noConversion"/>
  </si>
  <si>
    <t xml:space="preserve"> 소연평도</t>
  </si>
  <si>
    <t>250*2, 100*1</t>
  </si>
  <si>
    <t>19. '22.8.24 : 인천 연료전지 2단계 신설 등 [+46.909MW]</t>
  </si>
  <si>
    <t xml:space="preserve"> 소청도</t>
  </si>
  <si>
    <t>20. '22.8.31 : 영광 상하사리 태양광 1호 신설 등 [+186.074MW]</t>
  </si>
  <si>
    <t xml:space="preserve"> 평  택</t>
    <phoneticPr fontId="13" type="noConversion"/>
  </si>
  <si>
    <t>신 월 성</t>
    <phoneticPr fontId="13" type="noConversion"/>
  </si>
  <si>
    <t xml:space="preserve"> 손죽도</t>
  </si>
  <si>
    <t>21. '22.9.7 : 여주지내1호 태양광발전소 신설 등 [+7.427MW]</t>
  </si>
  <si>
    <t>한    빛</t>
    <phoneticPr fontId="13" type="noConversion"/>
  </si>
  <si>
    <t xml:space="preserve"> 송이도</t>
  </si>
  <si>
    <t>22. '22.9.15 : 신우탑텍 태양광발전소 신설 등 [+17.273MW]</t>
  </si>
  <si>
    <t xml:space="preserve"> 수우도</t>
  </si>
  <si>
    <t>23. '22.9.21 : 골드 장수태양광발전소 신설 등 [+5.824MW]</t>
  </si>
  <si>
    <t xml:space="preserve"> 서인천</t>
    <phoneticPr fontId="13" type="noConversion"/>
  </si>
  <si>
    <t>한    울</t>
    <phoneticPr fontId="13" type="noConversion"/>
  </si>
  <si>
    <t xml:space="preserve"> 슬  도</t>
  </si>
  <si>
    <t>24. '22.9.28 : 티엠솔라 당진동국1호 태양광발전소 신설 등 [+42.954MW]</t>
  </si>
  <si>
    <t xml:space="preserve"> 승봉도</t>
  </si>
  <si>
    <t>500*3, 150*3</t>
  </si>
  <si>
    <t>25.'22.10.06 : 태백원동풍력발전 1호기~5호기 신설 등(+28.727MW)</t>
  </si>
  <si>
    <t xml:space="preserve"> 군  산</t>
    <phoneticPr fontId="13" type="noConversion"/>
  </si>
  <si>
    <t>신 한 울</t>
    <phoneticPr fontId="13" type="noConversion"/>
  </si>
  <si>
    <t>X</t>
    <phoneticPr fontId="13" type="noConversion"/>
  </si>
  <si>
    <t xml:space="preserve"> 시산도</t>
  </si>
  <si>
    <t>26.'22.10.13 : 봉안리 태양광발전소 신설 등(+26.659MW)</t>
  </si>
  <si>
    <t>원자력계</t>
    <phoneticPr fontId="13" type="noConversion"/>
  </si>
  <si>
    <t xml:space="preserve"> 어룡도</t>
  </si>
  <si>
    <t>27.'22.10.19 : 울산화력 연료전지 폐지 등(-0.918MW)</t>
  </si>
  <si>
    <t>IGCC</t>
    <phoneticPr fontId="13" type="noConversion"/>
  </si>
  <si>
    <t>무 주</t>
    <phoneticPr fontId="13" type="noConversion"/>
  </si>
  <si>
    <t xml:space="preserve"> 어의도</t>
  </si>
  <si>
    <t>28.'22.10.31 : 강릉안인 1호기 신설 등(+1,208.305MW)</t>
  </si>
  <si>
    <t>양 양</t>
    <phoneticPr fontId="13" type="noConversion"/>
  </si>
  <si>
    <t xml:space="preserve"> 어청도</t>
  </si>
  <si>
    <t>500*1, 300*2</t>
  </si>
  <si>
    <t>29.'22.11.09 : 광주 광산 연료전지 신설 등(+169.583MW)</t>
  </si>
  <si>
    <t>소수력</t>
    <phoneticPr fontId="13" type="noConversion"/>
  </si>
  <si>
    <t>양</t>
    <phoneticPr fontId="13" type="noConversion"/>
  </si>
  <si>
    <t>삼랑진</t>
    <phoneticPr fontId="56" type="noConversion"/>
  </si>
  <si>
    <t>30.'22.11.16 : 우드뱅크우영태양광 신설 등(+6.801MW)</t>
  </si>
  <si>
    <t>청    송</t>
    <phoneticPr fontId="13" type="noConversion"/>
  </si>
  <si>
    <t xml:space="preserve"> 여서도</t>
  </si>
  <si>
    <t>31.'22.11.23 : 화성 남양 연료전지 2단계 신설 등(+41.544MW)</t>
  </si>
  <si>
    <t>산    청</t>
    <phoneticPr fontId="13" type="noConversion"/>
  </si>
  <si>
    <t xml:space="preserve"> 여자도</t>
  </si>
  <si>
    <t>32.'22.11.30 : 한국카본솔렉트 초동 발전소 신설 등(+19.344MW)</t>
  </si>
  <si>
    <t>청    평</t>
    <phoneticPr fontId="13" type="noConversion"/>
  </si>
  <si>
    <t xml:space="preserve"> 연   도</t>
  </si>
  <si>
    <t>33.'22.12.07 : 신한울 1호기 신설 등(+1,592.996MW)</t>
  </si>
  <si>
    <t>예    천</t>
    <phoneticPr fontId="13" type="noConversion"/>
  </si>
  <si>
    <t xml:space="preserve"> 연평도</t>
  </si>
  <si>
    <t>1,900*3, 1,000*2</t>
  </si>
  <si>
    <t>34.'22.12.14 : 파워그린에너지 제2호 발전소 신설 등(+14.048MW)</t>
  </si>
  <si>
    <t xml:space="preserve"> 영산도</t>
  </si>
  <si>
    <t>35.'22.12.21 : 영양제2풍력발전 발전소 신설 등(+63.074MW)</t>
  </si>
  <si>
    <t>양수 계</t>
    <phoneticPr fontId="13" type="noConversion"/>
  </si>
  <si>
    <t xml:space="preserve"> 왕등도</t>
  </si>
  <si>
    <t>36.'22.12.28 : 금성산풍력발전(주) 신설 등(+79.359MW)</t>
  </si>
  <si>
    <t>4. 에너지원별 발전설비용량</t>
    <phoneticPr fontId="13" type="noConversion"/>
  </si>
  <si>
    <t xml:space="preserve">    Generation Capacity by Energy Source </t>
    <phoneticPr fontId="13" type="noConversion"/>
  </si>
  <si>
    <t xml:space="preserve">(단위 : MW) </t>
    <phoneticPr fontId="13" type="noConversion"/>
  </si>
  <si>
    <t>구분</t>
    <phoneticPr fontId="13" type="noConversion"/>
  </si>
  <si>
    <t>가 스</t>
  </si>
  <si>
    <t xml:space="preserve">  주1) 자가용설비 제외, 집단에너지를 발전원별로 분류</t>
    <phoneticPr fontId="13" type="noConversion"/>
  </si>
  <si>
    <t xml:space="preserve">  주2) 신재생에너지는 대체에너지에 일반수력, 소수력 포함(양수발전 제외)</t>
    <phoneticPr fontId="15" type="noConversion"/>
  </si>
  <si>
    <t xml:space="preserve">  주3) 기타 : 증류탑폐열, 여열회수, 천연가스압터빈, 부생가스, 폐기물에너지('20년 1월 이후 신재생에서 기타로 분류)</t>
    <phoneticPr fontId="13" type="noConversion"/>
  </si>
  <si>
    <t>5. 행정구역별 발전설비용량</t>
    <phoneticPr fontId="62" type="noConversion"/>
  </si>
  <si>
    <t xml:space="preserve">     Generation Capacity by Province </t>
    <phoneticPr fontId="13" type="noConversion"/>
  </si>
  <si>
    <t xml:space="preserve">  (단위 : MW) </t>
    <phoneticPr fontId="1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</si>
  <si>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</si>
  <si>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</si>
  <si>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</si>
  <si>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</si>
  <si>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</si>
  <si>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</si>
  <si>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</si>
  <si>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</si>
  <si>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</si>
  <si>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</si>
  <si>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</si>
  <si>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</si>
  <si>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</si>
  <si>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</si>
  <si>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</si>
  <si>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</si>
  <si>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</si>
  <si>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 xml:space="preserve">  주1) 자가용설비 제외</t>
    <phoneticPr fontId="13" type="noConversion"/>
  </si>
  <si>
    <t>6. 발전소 건설현황</t>
    <phoneticPr fontId="13" type="noConversion"/>
  </si>
  <si>
    <t xml:space="preserve">     Power Plants under Construction</t>
    <phoneticPr fontId="13" type="noConversion"/>
  </si>
  <si>
    <t xml:space="preserve">               2022년 9월 기준  </t>
    <phoneticPr fontId="13" type="noConversion"/>
  </si>
  <si>
    <t>구      분</t>
  </si>
  <si>
    <t>발 전 소 명</t>
  </si>
  <si>
    <t>건 설 공 기</t>
    <phoneticPr fontId="13" type="noConversion"/>
  </si>
  <si>
    <t>비      고
(회 사 명)</t>
    <phoneticPr fontId="13" type="noConversion"/>
  </si>
  <si>
    <t>(MW)</t>
    <phoneticPr fontId="13" type="noConversion"/>
  </si>
  <si>
    <t>신한울#1,2</t>
    <phoneticPr fontId="13" type="noConversion"/>
  </si>
  <si>
    <t>1,400×2</t>
  </si>
  <si>
    <t>'10. 04 ∼ '23. 09</t>
    <phoneticPr fontId="13" type="noConversion"/>
  </si>
  <si>
    <t>한국수력원자력(주)</t>
  </si>
  <si>
    <t>신고리#5,6</t>
    <phoneticPr fontId="13" type="noConversion"/>
  </si>
  <si>
    <t>'16. 06 ∼ '25. 03</t>
    <phoneticPr fontId="13" type="noConversion"/>
  </si>
  <si>
    <t>복     합</t>
  </si>
  <si>
    <t>여주천연가스발전소</t>
    <phoneticPr fontId="13" type="noConversion"/>
  </si>
  <si>
    <t>GT : 321.3×2 (15°C 기준)
ST : 361.4×1 (15°C 기준)
GT : 327.2×2 (32°C 기준)
ST : 349.6×1 (32°C 기준)</t>
    <phoneticPr fontId="13" type="noConversion"/>
  </si>
  <si>
    <t>'19. 12 ~ '23. 06</t>
    <phoneticPr fontId="13" type="noConversion"/>
  </si>
  <si>
    <t>여주에너지서비스㈜</t>
    <phoneticPr fontId="13" type="noConversion"/>
  </si>
  <si>
    <t>통영 천연가스 복합</t>
    <phoneticPr fontId="13" type="noConversion"/>
  </si>
  <si>
    <t>GT : 331.52x2 (35°C 기준)
ST : 349.022 (35°C 기준)</t>
    <phoneticPr fontId="13" type="noConversion"/>
  </si>
  <si>
    <t>'21. 08 ~ '24. 06</t>
    <phoneticPr fontId="13" type="noConversion"/>
  </si>
  <si>
    <t>통영에코파워</t>
    <phoneticPr fontId="13" type="noConversion"/>
  </si>
  <si>
    <t>울산지피에스복합</t>
    <phoneticPr fontId="13" type="noConversion"/>
  </si>
  <si>
    <t>GT : 413×2 (15°C 기준)
ST : 410×1 (15°C 기준)
GT : 374×2 (32°C 기준)
ST : 371×1 (32°C 기준)</t>
    <phoneticPr fontId="13" type="noConversion"/>
  </si>
  <si>
    <t>'22. 03 ~ '24. 09</t>
    <phoneticPr fontId="13" type="noConversion"/>
  </si>
  <si>
    <t>울산지피에스발전㈜</t>
    <phoneticPr fontId="13" type="noConversion"/>
  </si>
  <si>
    <t>기력(유연탄)</t>
  </si>
  <si>
    <t>강릉안인화력#1,2</t>
  </si>
  <si>
    <t>1,040×2</t>
  </si>
  <si>
    <t>'17. 05 ~ '23. 03</t>
  </si>
  <si>
    <t>강릉에코파워</t>
  </si>
  <si>
    <t>삼척화력#1,2</t>
    <phoneticPr fontId="13" type="noConversion"/>
  </si>
  <si>
    <t>1,050×2</t>
    <phoneticPr fontId="13" type="noConversion"/>
  </si>
  <si>
    <t>'18. 08 ~ '24. 04</t>
    <phoneticPr fontId="13" type="noConversion"/>
  </si>
  <si>
    <t>삼척블루파워</t>
    <phoneticPr fontId="13" type="noConversion"/>
  </si>
  <si>
    <t xml:space="preserve">  주) KPX홈페이지(www.kpx.or.kr) 발전소 건설사업 추진현황 자료 참고</t>
    <phoneticPr fontId="13" type="noConversion"/>
  </si>
  <si>
    <t>Ⅲ. 발전량</t>
    <phoneticPr fontId="6" type="noConversion"/>
  </si>
  <si>
    <t>7.  발전원별</t>
    <phoneticPr fontId="6" type="noConversion"/>
  </si>
  <si>
    <t>8.  발전회사별</t>
    <phoneticPr fontId="6" type="noConversion"/>
  </si>
  <si>
    <t>9.  에너지원별</t>
    <phoneticPr fontId="6" type="noConversion"/>
  </si>
  <si>
    <t>10.  행정구역별</t>
    <phoneticPr fontId="6" type="noConversion"/>
  </si>
  <si>
    <t>11.  연료사용량</t>
    <phoneticPr fontId="6" type="noConversion"/>
  </si>
  <si>
    <t>7. 발전원별 발전량</t>
    <phoneticPr fontId="13" type="noConversion"/>
  </si>
  <si>
    <t xml:space="preserve">    Power Generation by Plant Type</t>
    <phoneticPr fontId="13" type="noConversion"/>
  </si>
  <si>
    <t xml:space="preserve">(단위 : GWh) </t>
    <phoneticPr fontId="13" type="noConversion"/>
  </si>
  <si>
    <t>2021.01~12</t>
  </si>
  <si>
    <t>2022.01~12</t>
  </si>
  <si>
    <t xml:space="preserve">  주1) 대체에너지 : 태양광, 풍력 등 신재생에너지(일반수력, 소수력은 데이터 일관성 유지를 위해 수력으로 별도 구분)</t>
    <phoneticPr fontId="13" type="noConversion"/>
  </si>
  <si>
    <t xml:space="preserve">  주2) 2015년까지 상용자가 발전분중 한전구입분(구역전기, 자가용 사업자가 한전에 판매한 발전량)은 복합으로 분류</t>
    <phoneticPr fontId="13" type="noConversion"/>
  </si>
  <si>
    <t>7-1. 발전전력량 (발전원별/에너지원별)</t>
    <phoneticPr fontId="13" type="noConversion"/>
  </si>
  <si>
    <t xml:space="preserve">       Power Generation by Plant Type and Energy Source</t>
    <phoneticPr fontId="13" type="noConversion"/>
  </si>
  <si>
    <t xml:space="preserve">(단위: MWh)  </t>
    <phoneticPr fontId="13" type="noConversion"/>
  </si>
  <si>
    <t xml:space="preserve">            발전원
에너지원</t>
    <phoneticPr fontId="13" type="noConversion"/>
  </si>
  <si>
    <t>상용자가</t>
  </si>
  <si>
    <t>총발전량</t>
  </si>
  <si>
    <t>발전원
        에너지원</t>
    <phoneticPr fontId="13" type="noConversion"/>
  </si>
  <si>
    <t>한전구입분</t>
  </si>
  <si>
    <t>○ 발전원별 발전량</t>
    <phoneticPr fontId="13" type="noConversion"/>
  </si>
  <si>
    <t>(단위: MWh)</t>
    <phoneticPr fontId="13" type="noConversion"/>
  </si>
  <si>
    <t>구  분</t>
    <phoneticPr fontId="13" type="noConversion"/>
  </si>
  <si>
    <t>＊ 석탄 발전량(MWh) :</t>
    <phoneticPr fontId="13" type="noConversion"/>
  </si>
  <si>
    <t>발전량</t>
    <phoneticPr fontId="13" type="noConversion"/>
  </si>
  <si>
    <t>+(집단 유연탄)</t>
    <phoneticPr fontId="13" type="noConversion"/>
  </si>
  <si>
    <t>+(집단 바이오)</t>
    <phoneticPr fontId="13" type="noConversion"/>
  </si>
  <si>
    <t>+(집단 기타)</t>
    <phoneticPr fontId="13" type="noConversion"/>
  </si>
  <si>
    <t>＊ LNG 발전량(MWh) :</t>
    <phoneticPr fontId="13" type="noConversion"/>
  </si>
  <si>
    <t>+(집단 LNG)</t>
    <phoneticPr fontId="13" type="noConversion"/>
  </si>
  <si>
    <t>+ (상용자가)</t>
    <phoneticPr fontId="13" type="noConversion"/>
  </si>
  <si>
    <t>＊ 신재생 발전량(MWh) :</t>
    <phoneticPr fontId="13" type="noConversion"/>
  </si>
  <si>
    <t>＊ 유류 발전량(MWh) :</t>
    <phoneticPr fontId="13" type="noConversion"/>
  </si>
  <si>
    <t>+(내연력)</t>
    <phoneticPr fontId="13" type="noConversion"/>
  </si>
  <si>
    <t>○ 에너지원별 발전량</t>
    <phoneticPr fontId="13" type="noConversion"/>
  </si>
  <si>
    <t>- 화력발전소의 혼소발전량을 에너지원별로 분리한 발전량(총 발전량의 세로값)</t>
    <phoneticPr fontId="13" type="noConversion"/>
  </si>
  <si>
    <t xml:space="preserve">  주1) 발전량은 자가용을 제외한 사업자용만 집계(한전에서 구입한 상용자가 발전량은 포함)</t>
    <phoneticPr fontId="13" type="noConversion"/>
  </si>
  <si>
    <t xml:space="preserve">  주3) 세부항목은 반올림되므로 합계와 총계의 차이가 있을수 있음</t>
    <phoneticPr fontId="13" type="noConversion"/>
  </si>
  <si>
    <t>7-2. 발전전력량 (발전소별)</t>
    <phoneticPr fontId="13" type="noConversion"/>
  </si>
  <si>
    <t xml:space="preserve">        Power Generation by plants</t>
    <phoneticPr fontId="13" type="noConversion"/>
  </si>
  <si>
    <t xml:space="preserve">(단위 : MWh) </t>
    <phoneticPr fontId="13" type="noConversion"/>
  </si>
  <si>
    <t>&lt;집단(LNG)&gt;</t>
  </si>
  <si>
    <t>&lt;부생가스&gt;</t>
    <phoneticPr fontId="13" type="noConversion"/>
  </si>
  <si>
    <t>평택#1~4</t>
    <phoneticPr fontId="13" type="noConversion"/>
  </si>
  <si>
    <t>강릉안인#1</t>
    <phoneticPr fontId="13" type="noConversion"/>
  </si>
  <si>
    <t>소양강</t>
  </si>
  <si>
    <t>고성#1-2</t>
  </si>
  <si>
    <t>군장열병합</t>
    <phoneticPr fontId="13" type="noConversion"/>
  </si>
  <si>
    <t>&lt;폐기물에너지&gt;</t>
    <phoneticPr fontId="13" type="noConversion"/>
  </si>
  <si>
    <t>분당C/C</t>
    <phoneticPr fontId="13" type="noConversion"/>
  </si>
  <si>
    <t>서울C/C</t>
    <phoneticPr fontId="13" type="noConversion"/>
  </si>
  <si>
    <t>&lt;복합(LNG)&gt;</t>
  </si>
  <si>
    <t>당진#1-10</t>
    <phoneticPr fontId="13" type="noConversion"/>
  </si>
  <si>
    <t>고려아연복합</t>
    <phoneticPr fontId="13" type="noConversion"/>
  </si>
  <si>
    <t>데이원에너지</t>
  </si>
  <si>
    <t>&lt;기타&gt;</t>
  </si>
  <si>
    <t>보령#3-8</t>
    <phoneticPr fontId="13" type="noConversion"/>
  </si>
  <si>
    <t>삼척그린#1,2</t>
    <phoneticPr fontId="13" type="noConversion"/>
  </si>
  <si>
    <t>증류탑폐열</t>
  </si>
  <si>
    <t>삼천포#3-6</t>
    <phoneticPr fontId="13" type="noConversion"/>
  </si>
  <si>
    <t>신보령#1,2</t>
    <phoneticPr fontId="13" type="noConversion"/>
  </si>
  <si>
    <t>신서천화력#1</t>
    <phoneticPr fontId="13" type="noConversion"/>
  </si>
  <si>
    <t>인천C/C</t>
    <phoneticPr fontId="13" type="noConversion"/>
  </si>
  <si>
    <t>신평택복합</t>
  </si>
  <si>
    <t>여수열병합</t>
  </si>
  <si>
    <t>씨지앤율촌</t>
    <phoneticPr fontId="13" type="noConversion"/>
  </si>
  <si>
    <t>전북집단에너지</t>
  </si>
  <si>
    <t>&lt;상용자가 구입&gt;</t>
  </si>
  <si>
    <t>SGC에너지</t>
  </si>
  <si>
    <t>부생가스</t>
  </si>
  <si>
    <t>한림C/C</t>
  </si>
  <si>
    <t>폐기물</t>
    <phoneticPr fontId="13" type="noConversion"/>
  </si>
  <si>
    <t>&lt;집단(유류)&gt;</t>
  </si>
  <si>
    <t>이천SEC복합</t>
  </si>
  <si>
    <t>&lt;복합(유류)&gt;</t>
  </si>
  <si>
    <t>남제주복합</t>
    <phoneticPr fontId="13" type="noConversion"/>
  </si>
  <si>
    <t>청주열병합</t>
  </si>
  <si>
    <t>&lt;집단&gt;</t>
    <phoneticPr fontId="13" type="noConversion"/>
  </si>
  <si>
    <t>&lt;집단(부생)&gt;</t>
  </si>
  <si>
    <t>여천NCC</t>
  </si>
  <si>
    <t>대산복합(유)</t>
  </si>
  <si>
    <t>&lt;집단(기타)&gt;</t>
  </si>
  <si>
    <t>폐기물에너지</t>
  </si>
  <si>
    <t>대전열병합</t>
    <phoneticPr fontId="13" type="noConversion"/>
  </si>
  <si>
    <t>○ 회사별 발전량</t>
    <phoneticPr fontId="13" type="noConversion"/>
  </si>
  <si>
    <t xml:space="preserve">(단위 : MWh, %) </t>
    <phoneticPr fontId="13" type="noConversion"/>
  </si>
  <si>
    <t>주1) 신재생 = 대체에너지 + 일반수력 + 소수력</t>
    <phoneticPr fontId="13" type="noConversion"/>
  </si>
  <si>
    <t>주2) 증류탑폐열, 여열회수 등 기타 발전과 부생가스, 폐기물에너지('20년 1월 이후 신재생에서 기타로 분류), 상용자가 한전구입분은 기타로 분류</t>
    <phoneticPr fontId="13" type="noConversion"/>
  </si>
  <si>
    <t>8. 발전회사 및 발전원별 발전량(1/3)</t>
    <phoneticPr fontId="13" type="noConversion"/>
  </si>
  <si>
    <t>8. 발전회사 및 발전원별 발전량(2/3)</t>
    <phoneticPr fontId="13" type="noConversion"/>
  </si>
  <si>
    <t>8. 발전회사 및 발전원별 발전량(3/3)</t>
    <phoneticPr fontId="13" type="noConversion"/>
  </si>
  <si>
    <t xml:space="preserve">     Power Generation by GENCO's and Plant Type (1/3)</t>
    <phoneticPr fontId="13" type="noConversion"/>
  </si>
  <si>
    <t xml:space="preserve">     Power Generation by GENCO's and Plant Type (2/3)</t>
    <phoneticPr fontId="13" type="noConversion"/>
  </si>
  <si>
    <t xml:space="preserve">     Power Generation by GENCO's and Plant Type (3/3)</t>
    <phoneticPr fontId="13" type="noConversion"/>
  </si>
  <si>
    <t xml:space="preserve">   (단위 : GWh)</t>
  </si>
  <si>
    <t xml:space="preserve">남          동 </t>
    <phoneticPr fontId="13" type="noConversion"/>
  </si>
  <si>
    <t>서          부</t>
    <phoneticPr fontId="13" type="noConversion"/>
  </si>
  <si>
    <t>남          부</t>
    <phoneticPr fontId="13" type="noConversion"/>
  </si>
  <si>
    <t>동          서</t>
  </si>
  <si>
    <t>한 수 원</t>
    <phoneticPr fontId="13" type="noConversion"/>
  </si>
  <si>
    <t>타 사</t>
    <phoneticPr fontId="13" type="noConversion"/>
  </si>
  <si>
    <t>수력</t>
    <phoneticPr fontId="13" type="noConversion"/>
  </si>
  <si>
    <t>내  연</t>
    <phoneticPr fontId="13" type="noConversion"/>
  </si>
  <si>
    <t xml:space="preserve">  주1) 대체에너지 : 태양광, 풍력 등 신재생에너지(일반수력, 소수력은 수력으로 별도구분)</t>
    <phoneticPr fontId="13" type="noConversion"/>
  </si>
  <si>
    <t xml:space="preserve">  주2) 기타 : 폐기물에너지('20년 1월부터 대체에너지에서 기타로 분류)</t>
    <phoneticPr fontId="13" type="noConversion"/>
  </si>
  <si>
    <t xml:space="preserve">   주) 타사 세부 발전량은 32, 33page 참고</t>
    <phoneticPr fontId="13" type="noConversion"/>
  </si>
  <si>
    <t>9. 에너지원별 발전량</t>
    <phoneticPr fontId="62" type="noConversion"/>
  </si>
  <si>
    <t xml:space="preserve">    Power Generation by Energy Source </t>
    <phoneticPr fontId="13" type="noConversion"/>
  </si>
  <si>
    <t>(단위 : GWh)</t>
    <phoneticPr fontId="13" type="noConversion"/>
  </si>
  <si>
    <t xml:space="preserve">  주2) 2015년까지 상용자가 발전분중 한전구입분(구역전기, 자가용 사업자가 한전에 판매한 발전량)은 LNG로 분류</t>
  </si>
  <si>
    <t xml:space="preserve">  주3) 2015년까지 발전원별로 구분, 2016년도부터 한전 자회사 혼소발전량을 에너지원별 분류</t>
  </si>
  <si>
    <t xml:space="preserve">  주4) 신재생에너지는 대체에너지에 일반수력, 소수력 포함(양수발전 제외)</t>
    <phoneticPr fontId="13" type="noConversion"/>
  </si>
  <si>
    <t xml:space="preserve">  주5) 기타 : 증류탑폐열, 여열회수, 천연가스압터빈, 부생가스, 폐기물에너지('20년 1월 이후 신재생에서 기타로 분류)</t>
    <phoneticPr fontId="13" type="noConversion"/>
  </si>
  <si>
    <t>9-1. 행정구역별 신재생 발전설비 및 발전량</t>
    <phoneticPr fontId="62" type="noConversion"/>
  </si>
  <si>
    <t xml:space="preserve">         Generation Capacity and Power Generation for New &amp; Renewable energy by Province </t>
    <phoneticPr fontId="13" type="noConversion"/>
  </si>
  <si>
    <t xml:space="preserve">(단위 : MW, GWh)  </t>
    <phoneticPr fontId="13" type="noConversion"/>
  </si>
  <si>
    <t>구    분</t>
    <phoneticPr fontId="13" type="noConversion"/>
  </si>
  <si>
    <t>발전설비(MW)</t>
    <phoneticPr fontId="13" type="noConversion"/>
  </si>
  <si>
    <t>발전량(GWh)</t>
    <phoneticPr fontId="13" type="noConversion"/>
  </si>
  <si>
    <t xml:space="preserve"> </t>
    <phoneticPr fontId="13" type="noConversion"/>
  </si>
  <si>
    <t>바이오</t>
    <phoneticPr fontId="13" type="noConversion"/>
  </si>
  <si>
    <t>해양</t>
    <phoneticPr fontId="13" type="noConversion"/>
  </si>
  <si>
    <t>IGCC</t>
  </si>
  <si>
    <r>
      <t xml:space="preserve">2022
누계
</t>
    </r>
    <r>
      <rPr>
        <sz val="6"/>
        <rFont val="맑은 고딕"/>
        <family val="3"/>
        <charset val="129"/>
        <scheme val="minor"/>
      </rPr>
      <t>(01~12)</t>
    </r>
    <phoneticPr fontId="13" type="noConversion"/>
  </si>
  <si>
    <t>-</t>
    <phoneticPr fontId="13" type="noConversion"/>
  </si>
  <si>
    <t>세종</t>
    <phoneticPr fontId="13" type="noConversion"/>
  </si>
  <si>
    <t>2022.
12</t>
    <phoneticPr fontId="13" type="noConversion"/>
  </si>
  <si>
    <t xml:space="preserve">  주1) 자가용설비 제외, 수력에서 양수는 신재생에 포함되지 않음</t>
    <phoneticPr fontId="13" type="noConversion"/>
  </si>
  <si>
    <t>10. 행정구역별 발전량</t>
    <phoneticPr fontId="62" type="noConversion"/>
  </si>
  <si>
    <t xml:space="preserve">      Power Generation by Province </t>
    <phoneticPr fontId="13" type="noConversion"/>
  </si>
  <si>
    <t xml:space="preserve"> 2022년 12월</t>
    <phoneticPr fontId="13" type="noConversion"/>
  </si>
  <si>
    <t>총 계</t>
    <phoneticPr fontId="13" type="noConversion"/>
  </si>
  <si>
    <t xml:space="preserve">  주2) 대체에너지 : 태양광, 풍력 등 신재생에너지(일반수력, 소수력은 수력으로 별도구분)</t>
  </si>
  <si>
    <t>10-1. 행정구역별 발전량(누계)</t>
    <phoneticPr fontId="62" type="noConversion"/>
  </si>
  <si>
    <t xml:space="preserve">        Power Generation by Province </t>
    <phoneticPr fontId="13" type="noConversion"/>
  </si>
  <si>
    <t>(2022.01 ∼ 2022.12)</t>
    <phoneticPr fontId="13" type="noConversion"/>
  </si>
  <si>
    <t>11. 화력발전원별 연료사용량</t>
    <phoneticPr fontId="13" type="noConversion"/>
  </si>
  <si>
    <t xml:space="preserve">      Fuel Consumption by Thermal Power Plant</t>
    <phoneticPr fontId="13" type="noConversion"/>
  </si>
  <si>
    <t xml:space="preserve">          [단위  :  kt (석탄),  t (LNG),  ㎘ (유류)]  </t>
    <phoneticPr fontId="13" type="noConversion"/>
  </si>
  <si>
    <t xml:space="preserve">                                       기                                                 력</t>
  </si>
  <si>
    <t>내   연   발  전  소</t>
    <phoneticPr fontId="13" type="noConversion"/>
  </si>
  <si>
    <t>복   합   화   력  발  전  소</t>
    <phoneticPr fontId="13" type="noConversion"/>
  </si>
  <si>
    <t>무  연  탄  발  전  소</t>
    <phoneticPr fontId="13" type="noConversion"/>
  </si>
  <si>
    <t>유  연  탄  발  전  소</t>
    <phoneticPr fontId="13" type="noConversion"/>
  </si>
  <si>
    <t>중  유  발  전  소</t>
    <phoneticPr fontId="13" type="noConversion"/>
  </si>
  <si>
    <t>L   N   G  발  전  소</t>
    <phoneticPr fontId="13" type="noConversion"/>
  </si>
  <si>
    <t>중 유</t>
    <phoneticPr fontId="13" type="noConversion"/>
  </si>
  <si>
    <t>경 유</t>
  </si>
  <si>
    <t>경유</t>
  </si>
  <si>
    <t xml:space="preserve">   주1) 한전, 자회사, 민간 4개사(포스코에너지, GS EPS, GS POWER, CGN 율촌) 화력발전 연료사용량임</t>
    <phoneticPr fontId="13" type="noConversion"/>
  </si>
  <si>
    <t xml:space="preserve">   ※  기울임체 및 음영표시부분은 잠정실적</t>
  </si>
  <si>
    <t>11-1. 에너지원별 연료사용량</t>
    <phoneticPr fontId="13" type="noConversion"/>
  </si>
  <si>
    <t xml:space="preserve">         Fuel Consumption by Energy Source </t>
    <phoneticPr fontId="13" type="noConversion"/>
  </si>
  <si>
    <t xml:space="preserve">          [단위  :  t (석탄),  t(LNG),  ㎘ (유류)]  </t>
    <phoneticPr fontId="13" type="noConversion"/>
  </si>
  <si>
    <t xml:space="preserve">        석</t>
  </si>
  <si>
    <t>탄</t>
  </si>
  <si>
    <t xml:space="preserve">        (t)</t>
    <phoneticPr fontId="13" type="noConversion"/>
  </si>
  <si>
    <t xml:space="preserve">중 유 </t>
    <phoneticPr fontId="13" type="noConversion"/>
  </si>
  <si>
    <t>경 유</t>
    <phoneticPr fontId="13" type="noConversion"/>
  </si>
  <si>
    <t>LNG</t>
    <phoneticPr fontId="13" type="noConversion"/>
  </si>
  <si>
    <t>무 연 탄</t>
  </si>
  <si>
    <t>유 연 탄</t>
  </si>
  <si>
    <t xml:space="preserve">   주1) 시운전 연료 사용량 포함</t>
    <phoneticPr fontId="13" type="noConversion"/>
  </si>
  <si>
    <t xml:space="preserve">   주2) 한전, 자회사, 민간 4개사(포스코에너지, GS EPS, GS POWER, CGN 율촌) 화력발전 연료사용량임</t>
    <phoneticPr fontId="13" type="noConversion"/>
  </si>
  <si>
    <t xml:space="preserve">   주3) 기울임체 및 음영표시부분은 잠정실적</t>
    <phoneticPr fontId="13" type="noConversion"/>
  </si>
  <si>
    <t>Ⅳ. 전력 구입</t>
    <phoneticPr fontId="6" type="noConversion"/>
  </si>
  <si>
    <t>12.  전력구입실적 종합</t>
    <phoneticPr fontId="6" type="noConversion"/>
  </si>
  <si>
    <t>13.  발전원별</t>
    <phoneticPr fontId="6" type="noConversion"/>
  </si>
  <si>
    <t>14.  발전회사별</t>
    <phoneticPr fontId="6" type="noConversion"/>
  </si>
  <si>
    <t>15. 전력시장 가격 및 정산단가</t>
    <phoneticPr fontId="6" type="noConversion"/>
  </si>
  <si>
    <r>
      <t xml:space="preserve">16.  PPA </t>
    </r>
    <r>
      <rPr>
        <sz val="13"/>
        <color theme="1"/>
        <rFont val="KoPub돋움체 Bold"/>
        <family val="1"/>
        <charset val="129"/>
      </rPr>
      <t>(Power Purchase Agreement)</t>
    </r>
    <phoneticPr fontId="6" type="noConversion"/>
  </si>
  <si>
    <t>12. 전력구입실적 종합 (잠정)</t>
    <phoneticPr fontId="13" type="noConversion"/>
  </si>
  <si>
    <t xml:space="preserve">      Summary of Power Purchase Results (Market &amp; PPA)</t>
    <phoneticPr fontId="33" type="noConversion"/>
  </si>
  <si>
    <t>단  위</t>
    <phoneticPr fontId="13" type="noConversion"/>
  </si>
  <si>
    <t>증 감 률 (%)</t>
    <phoneticPr fontId="33" type="noConversion"/>
  </si>
  <si>
    <t>점 유 율 (%)</t>
    <phoneticPr fontId="33" type="noConversion"/>
  </si>
  <si>
    <t>12월</t>
  </si>
  <si>
    <t>1~12월</t>
  </si>
  <si>
    <t>구 입 량</t>
  </si>
  <si>
    <t>전 력 
시 장</t>
    <phoneticPr fontId="85" type="noConversion"/>
  </si>
  <si>
    <t>기  저</t>
    <phoneticPr fontId="85" type="noConversion"/>
  </si>
  <si>
    <t>MWh</t>
  </si>
  <si>
    <t>일  반</t>
    <phoneticPr fontId="85" type="noConversion"/>
  </si>
  <si>
    <t>"</t>
  </si>
  <si>
    <t>소   계</t>
    <phoneticPr fontId="85" type="noConversion"/>
  </si>
  <si>
    <t>P P A</t>
    <phoneticPr fontId="85" type="noConversion"/>
  </si>
  <si>
    <t>"</t>
    <phoneticPr fontId="85" type="noConversion"/>
  </si>
  <si>
    <t>구 입 금 액</t>
  </si>
  <si>
    <t>백만원</t>
    <phoneticPr fontId="85" type="noConversion"/>
  </si>
  <si>
    <t>"</t>
    <phoneticPr fontId="33" type="noConversion"/>
  </si>
  <si>
    <t>구 입 단 가</t>
  </si>
  <si>
    <t>원/kWh</t>
    <phoneticPr fontId="85" type="noConversion"/>
  </si>
  <si>
    <t xml:space="preserve">     평   균     </t>
    <phoneticPr fontId="85" type="noConversion"/>
  </si>
  <si>
    <t>한계가격</t>
    <phoneticPr fontId="85" type="noConversion"/>
  </si>
  <si>
    <t>SMP</t>
    <phoneticPr fontId="85" type="noConversion"/>
  </si>
  <si>
    <t>구입단가
발전원별</t>
    <phoneticPr fontId="33" type="noConversion"/>
  </si>
  <si>
    <t>발전원</t>
    <phoneticPr fontId="33" type="noConversion"/>
  </si>
  <si>
    <t>원자력</t>
    <phoneticPr fontId="33" type="noConversion"/>
  </si>
  <si>
    <t>유연탄</t>
    <phoneticPr fontId="33" type="noConversion"/>
  </si>
  <si>
    <t>무연탄</t>
    <phoneticPr fontId="33" type="noConversion"/>
  </si>
  <si>
    <t>유류</t>
    <phoneticPr fontId="33" type="noConversion"/>
  </si>
  <si>
    <t>LNG 복합</t>
    <phoneticPr fontId="33" type="noConversion"/>
  </si>
  <si>
    <t>수력</t>
    <phoneticPr fontId="33" type="noConversion"/>
  </si>
  <si>
    <t>양수</t>
    <phoneticPr fontId="33" type="noConversion"/>
  </si>
  <si>
    <t>대체에너지</t>
    <phoneticPr fontId="33" type="noConversion"/>
  </si>
  <si>
    <t>기타</t>
    <phoneticPr fontId="33" type="noConversion"/>
  </si>
  <si>
    <t>당월
(원/kWh)</t>
    <phoneticPr fontId="33" type="noConversion"/>
  </si>
  <si>
    <t>누계
(원/kWh)</t>
    <phoneticPr fontId="33" type="noConversion"/>
  </si>
  <si>
    <t>주1) 기저발전기는 원자력, 석탄(유연탄), 국내탄(무연탄) 발전기를 말함</t>
    <phoneticPr fontId="85" type="noConversion"/>
  </si>
  <si>
    <t>주2) 시장 구입금액은 제약비 양수 정산금(COFPE)이 반영된 금액임</t>
    <phoneticPr fontId="33" type="noConversion"/>
  </si>
  <si>
    <t>주3) PPA는 2001.4월 발전분리이전 민간발전사업자로 전력구매계약분(Power Purchase Agreement) 포함임</t>
    <phoneticPr fontId="33" type="noConversion"/>
  </si>
  <si>
    <t xml:space="preserve">주4) '07. 2월이후 구역전기사업자 시장구입분 포함  </t>
    <phoneticPr fontId="33" type="noConversion"/>
  </si>
  <si>
    <t>주5) 구입단가의 점유율은 평균 구입단가(기준=100) 대비 비율로 표시</t>
  </si>
  <si>
    <t>주6) 정산기준, RPS 제외</t>
    <phoneticPr fontId="13" type="noConversion"/>
  </si>
  <si>
    <t>주7) 대체에너지 : 태양광, 풍력 등 신재생에너지(일반수력, 소수력은 수력으로 별도구분)</t>
    <phoneticPr fontId="13" type="noConversion"/>
  </si>
  <si>
    <t>13. 전력시장 발전원별 전력구입실적 (1/3)</t>
    <phoneticPr fontId="13" type="noConversion"/>
  </si>
  <si>
    <t>13. 전력시장 발전원별 전력구입실적 (2/3)</t>
    <phoneticPr fontId="13" type="noConversion"/>
  </si>
  <si>
    <t>13. 전력시장 발전원별 전력구입실적 (3/3)</t>
    <phoneticPr fontId="13" type="noConversion"/>
  </si>
  <si>
    <t xml:space="preserve">     Market Power Purchase Results by Plant Type (1/3)</t>
    <phoneticPr fontId="13" type="noConversion"/>
  </si>
  <si>
    <t xml:space="preserve">      Market Power Purchase Results by Plant Type (2/3)</t>
    <phoneticPr fontId="13" type="noConversion"/>
  </si>
  <si>
    <t xml:space="preserve">      Market Power Purchase Results by Plant Type (3/3)</t>
    <phoneticPr fontId="13" type="noConversion"/>
  </si>
  <si>
    <t xml:space="preserve"> (단위 : GWh) </t>
    <phoneticPr fontId="13" type="noConversion"/>
  </si>
  <si>
    <t xml:space="preserve">   (단위 : 억원) </t>
    <phoneticPr fontId="13" type="noConversion"/>
  </si>
  <si>
    <t xml:space="preserve">(단위 : 원/kWh) </t>
    <phoneticPr fontId="13" type="noConversion"/>
  </si>
  <si>
    <t>구   분</t>
  </si>
  <si>
    <t>구        입        량</t>
    <phoneticPr fontId="13" type="noConversion"/>
  </si>
  <si>
    <t>구       입       금       액</t>
    <phoneticPr fontId="13" type="noConversion"/>
  </si>
  <si>
    <t>구       입       단       가</t>
    <phoneticPr fontId="13" type="noConversion"/>
  </si>
  <si>
    <t xml:space="preserve">합   계 </t>
  </si>
  <si>
    <t>대체에너지</t>
  </si>
  <si>
    <t xml:space="preserve">합  계 </t>
    <phoneticPr fontId="13" type="noConversion"/>
  </si>
  <si>
    <t xml:space="preserve">   주1) '07. 2월이후 구역전기사업자 시장구입분 포함  </t>
    <phoneticPr fontId="13" type="noConversion"/>
  </si>
  <si>
    <t>주1) 구입금액은 제약비양수 정산금(COFPE)이 반영된 금액임</t>
    <phoneticPr fontId="13" type="noConversion"/>
  </si>
  <si>
    <t>주1) RPS 제외</t>
    <phoneticPr fontId="13" type="noConversion"/>
  </si>
  <si>
    <t xml:space="preserve">   주2) 대체에너지 : 태양광, 풍력 등 신재생에너지(일반수력, 소수력은 수력으로 별도구분)</t>
    <phoneticPr fontId="13" type="noConversion"/>
  </si>
  <si>
    <t>주2) 전력기반기금의 지원금액 제외</t>
    <phoneticPr fontId="13" type="noConversion"/>
  </si>
  <si>
    <t xml:space="preserve">   주3) 기타 : 포항제철, 동양제철화학, 광양제철, LG석유여수, 대한유화열병합등 </t>
    <phoneticPr fontId="13" type="noConversion"/>
  </si>
  <si>
    <t>주3) 정산기준, RPS 제외</t>
    <phoneticPr fontId="13" type="noConversion"/>
  </si>
  <si>
    <t>14. 전력시장 발전회사별 전력구입실적 (1/3)</t>
    <phoneticPr fontId="13" type="noConversion"/>
  </si>
  <si>
    <t>14. 전력시장 발전회사별 전력구입실적 (2/3)</t>
    <phoneticPr fontId="13" type="noConversion"/>
  </si>
  <si>
    <t>14. 전력시장 발전회사별 전력구입실적 (3/3)</t>
    <phoneticPr fontId="13" type="noConversion"/>
  </si>
  <si>
    <t xml:space="preserve">      Market Power Purchase Results by Companies (1/3)</t>
    <phoneticPr fontId="13" type="noConversion"/>
  </si>
  <si>
    <t xml:space="preserve">      Market Power Purchase Results by Companies (2/3)</t>
    <phoneticPr fontId="13" type="noConversion"/>
  </si>
  <si>
    <t xml:space="preserve">      Market Power Purchase Results by Companies (3/3)</t>
    <phoneticPr fontId="13" type="noConversion"/>
  </si>
  <si>
    <t xml:space="preserve">        (단위 : GWh) </t>
    <phoneticPr fontId="13" type="noConversion"/>
  </si>
  <si>
    <t xml:space="preserve">         (단위 : 억원) </t>
    <phoneticPr fontId="13" type="noConversion"/>
  </si>
  <si>
    <t xml:space="preserve">     (단위 : 원/kWh) </t>
    <phoneticPr fontId="13" type="noConversion"/>
  </si>
  <si>
    <t>남   동</t>
    <phoneticPr fontId="13" type="noConversion"/>
  </si>
  <si>
    <t>중   부</t>
    <phoneticPr fontId="13" type="noConversion"/>
  </si>
  <si>
    <t>서   부</t>
    <phoneticPr fontId="13" type="noConversion"/>
  </si>
  <si>
    <t>남   부</t>
    <phoneticPr fontId="13" type="noConversion"/>
  </si>
  <si>
    <t>동   서</t>
    <phoneticPr fontId="13" type="noConversion"/>
  </si>
  <si>
    <t>기   타</t>
    <phoneticPr fontId="13" type="noConversion"/>
  </si>
  <si>
    <t>평  균</t>
    <phoneticPr fontId="13" type="noConversion"/>
  </si>
  <si>
    <t>주1) 거래금액은 제약비양수 정산금(COFPE)이 반영된 금액임</t>
    <phoneticPr fontId="13" type="noConversion"/>
  </si>
  <si>
    <t xml:space="preserve">   주2) 기타 : IPP중 전력시장에 참여하고 있는 발전사업자</t>
    <phoneticPr fontId="13" type="noConversion"/>
  </si>
  <si>
    <t>15. 전력시장 가격 및 정산단가</t>
    <phoneticPr fontId="13" type="noConversion"/>
  </si>
  <si>
    <t xml:space="preserve">      Market Price &amp;  Unit Cost of Settlement </t>
    <phoneticPr fontId="13" type="noConversion"/>
  </si>
  <si>
    <t xml:space="preserve">               (단위 : 원/kWh, 원/kW-h) </t>
  </si>
  <si>
    <t>시  장  가  격</t>
    <phoneticPr fontId="13" type="noConversion"/>
  </si>
  <si>
    <t>가 격 결 정 요 소 별    정 산 단 가</t>
    <phoneticPr fontId="13" type="noConversion"/>
  </si>
  <si>
    <t>S M P</t>
    <phoneticPr fontId="13" type="noConversion"/>
  </si>
  <si>
    <t>S E P + M E P</t>
    <phoneticPr fontId="13" type="noConversion"/>
  </si>
  <si>
    <t>C P</t>
    <phoneticPr fontId="13" type="noConversion"/>
  </si>
  <si>
    <t xml:space="preserve">계 </t>
  </si>
  <si>
    <t xml:space="preserve">   주1) 가격결정요소 정산단가는 SMP, 정산보정계수 등으로 산출됨</t>
    <phoneticPr fontId="13" type="noConversion"/>
  </si>
  <si>
    <t xml:space="preserve">   주2) SEP/MEP(원/kWh) : 각 발전기의 거래시간별 전력량에 대한 정산금액</t>
  </si>
  <si>
    <t xml:space="preserve">         CP(원/kW-h) : 공급가능용량에 대하여 지급하는 정산금(용량정산금)</t>
  </si>
  <si>
    <t xml:space="preserve">         기타(원/kWh) : CON, COFF, XPRG, EBCO, A/S 등(~22.8월까지) / MWP, MAP, LOCRP 등(22.9월~)</t>
  </si>
  <si>
    <t xml:space="preserve">   주3) 정산기준, RPS, ETS, ECR 제외</t>
  </si>
  <si>
    <t>16. 전력구입실적 (PPA)</t>
    <phoneticPr fontId="11" type="noConversion"/>
  </si>
  <si>
    <t xml:space="preserve">      Power Purchase Results (PPA)</t>
    <phoneticPr fontId="11" type="noConversion"/>
  </si>
  <si>
    <t>원  별</t>
    <phoneticPr fontId="11" type="noConversion"/>
  </si>
  <si>
    <t>구  분</t>
    <phoneticPr fontId="11" type="noConversion"/>
  </si>
  <si>
    <t>단위</t>
    <phoneticPr fontId="11" type="noConversion"/>
  </si>
  <si>
    <t>12월</t>
    <phoneticPr fontId="11" type="noConversion"/>
  </si>
  <si>
    <t>2022년 12월</t>
  </si>
  <si>
    <t>복    합
화    력</t>
    <phoneticPr fontId="11" type="noConversion"/>
  </si>
  <si>
    <t>시설용량</t>
    <phoneticPr fontId="11" type="noConversion"/>
  </si>
  <si>
    <t>MW</t>
    <phoneticPr fontId="11" type="noConversion"/>
  </si>
  <si>
    <t>LNG복합</t>
    <phoneticPr fontId="11" type="noConversion"/>
  </si>
  <si>
    <t>소수력</t>
    <phoneticPr fontId="11" type="noConversion"/>
  </si>
  <si>
    <t>신재생(소수력포함)</t>
    <phoneticPr fontId="11" type="noConversion"/>
  </si>
  <si>
    <t>기타</t>
    <phoneticPr fontId="11" type="noConversion"/>
  </si>
  <si>
    <t>사업자 수</t>
    <phoneticPr fontId="11" type="noConversion"/>
  </si>
  <si>
    <t>개</t>
    <phoneticPr fontId="11" type="noConversion"/>
  </si>
  <si>
    <t>구입전력량</t>
  </si>
  <si>
    <t>MWh</t>
    <phoneticPr fontId="11" type="noConversion"/>
  </si>
  <si>
    <t>구입량</t>
    <phoneticPr fontId="11" type="noConversion"/>
  </si>
  <si>
    <t>백만원</t>
    <phoneticPr fontId="11" type="noConversion"/>
  </si>
  <si>
    <t>구입금액</t>
    <phoneticPr fontId="11" type="noConversion"/>
  </si>
  <si>
    <t>단가</t>
    <phoneticPr fontId="11" type="noConversion"/>
  </si>
  <si>
    <t>원/kWh</t>
  </si>
  <si>
    <t>구입량(단위맞춤)</t>
    <phoneticPr fontId="11" type="noConversion"/>
  </si>
  <si>
    <t>신
재
생</t>
    <phoneticPr fontId="11" type="noConversion"/>
  </si>
  <si>
    <t>소
수
력</t>
    <phoneticPr fontId="11" type="noConversion"/>
  </si>
  <si>
    <t>구입금액(단위맞춤)</t>
    <phoneticPr fontId="11" type="noConversion"/>
  </si>
  <si>
    <t>신재생(소수력 제외)</t>
    <phoneticPr fontId="11" type="noConversion"/>
  </si>
  <si>
    <t>구입량(당월)</t>
    <phoneticPr fontId="11" type="noConversion"/>
  </si>
  <si>
    <t>구입량(누적)</t>
    <phoneticPr fontId="11" type="noConversion"/>
  </si>
  <si>
    <t>바
이
오</t>
    <phoneticPr fontId="11" type="noConversion"/>
  </si>
  <si>
    <t>구입금액(당월)</t>
    <phoneticPr fontId="11" type="noConversion"/>
  </si>
  <si>
    <t>구입금액(누적)</t>
    <phoneticPr fontId="11" type="noConversion"/>
  </si>
  <si>
    <t>풍
력</t>
    <phoneticPr fontId="11" type="noConversion"/>
  </si>
  <si>
    <t>시설용량, 사업자 수는 전력시장처에서 받는 자료 활용</t>
    <phoneticPr fontId="11" type="noConversion"/>
  </si>
  <si>
    <t>총 구입전력량, 구입금액은 시장처 자료와 속보시스템 자료 맞는지 확인</t>
    <phoneticPr fontId="11" type="noConversion"/>
  </si>
  <si>
    <t>연
료
전
지</t>
    <phoneticPr fontId="11" type="noConversion"/>
  </si>
  <si>
    <t>해
양</t>
    <phoneticPr fontId="11" type="noConversion"/>
  </si>
  <si>
    <t>태
양
광</t>
    <phoneticPr fontId="11" type="noConversion"/>
  </si>
  <si>
    <t>소
계</t>
    <phoneticPr fontId="11" type="noConversion"/>
  </si>
  <si>
    <t>구    역
전    기</t>
    <phoneticPr fontId="11" type="noConversion"/>
  </si>
  <si>
    <t>기
타</t>
    <phoneticPr fontId="11" type="noConversion"/>
  </si>
  <si>
    <t>총     계</t>
    <phoneticPr fontId="11" type="noConversion"/>
  </si>
  <si>
    <t xml:space="preserve">   주1) 정산기준, PPA 실적은 익월 확정</t>
    <phoneticPr fontId="13" type="noConversion"/>
  </si>
  <si>
    <t xml:space="preserve">   주2) 구역전기 : 허가받은 공급구역 내 전기와 열을 동시에 공급</t>
    <phoneticPr fontId="13" type="noConversion"/>
  </si>
  <si>
    <t xml:space="preserve">   주3) 구입단가의 점유율은 평균 구입단가(기준=100) 대비 비율로 표시</t>
  </si>
  <si>
    <t xml:space="preserve">   주4) 기타 : 폐기물에너지('20년 1월부터 신재생에서 기타로 분류)</t>
    <phoneticPr fontId="11" type="noConversion"/>
  </si>
  <si>
    <t>16-1.  태양광 발전량 추계정보</t>
    <phoneticPr fontId="13" type="noConversion"/>
  </si>
  <si>
    <t>○ 태양광 발전량(추계치)</t>
    <phoneticPr fontId="13" type="noConversion"/>
  </si>
  <si>
    <t xml:space="preserve">(단위: MWh) </t>
    <phoneticPr fontId="13" type="noConversion"/>
  </si>
  <si>
    <t>전력시장 참여(실적)</t>
    <phoneticPr fontId="13" type="noConversion"/>
  </si>
  <si>
    <t>한전PPA(실적)</t>
    <phoneticPr fontId="13" type="noConversion"/>
  </si>
  <si>
    <t>자가용태양광(추계)</t>
    <phoneticPr fontId="13" type="noConversion"/>
  </si>
  <si>
    <t xml:space="preserve">   주1) 해당 정보는 `21.7월부터 작성</t>
    <phoneticPr fontId="13" type="noConversion"/>
  </si>
  <si>
    <t xml:space="preserve">   주2) 전력시장 참여(실적)은 전력시장 작성시점의 잠정치로, 연간 전력시장통계 확정시점까지 변경될 수 있음</t>
    <phoneticPr fontId="13" type="noConversion"/>
  </si>
  <si>
    <t xml:space="preserve">   주3) '23.1월 한전PPA 전력구입량은 전력거래소의 추계기법을 통한 추정치</t>
    <phoneticPr fontId="13" type="noConversion"/>
  </si>
  <si>
    <t xml:space="preserve">   주4) 자가용태양광은 전력거래소에서 추정치로 공표</t>
    <phoneticPr fontId="13" type="noConversion"/>
  </si>
  <si>
    <t xml:space="preserve">   주5) 정산기준, PPA 전력구입량 실적은 16. PPA 실적으로 확인필요</t>
    <phoneticPr fontId="13" type="noConversion"/>
  </si>
  <si>
    <t>Ⅴ. 전력 판매</t>
    <phoneticPr fontId="6" type="noConversion"/>
  </si>
  <si>
    <t>17.  전력판매실적 (종합)</t>
    <phoneticPr fontId="6" type="noConversion"/>
  </si>
  <si>
    <t>18.  계약종별 (판매량, 호수, 판매수입)</t>
    <phoneticPr fontId="6" type="noConversion"/>
  </si>
  <si>
    <t>19.  용도별 (판매량, 호수, 판매수입)</t>
    <phoneticPr fontId="6" type="noConversion"/>
  </si>
  <si>
    <t>20.  행정구역별 (판매량, 호수, 판매수입)</t>
    <phoneticPr fontId="6" type="noConversion"/>
  </si>
  <si>
    <t>21.  산업분류 및 행정구역별</t>
    <phoneticPr fontId="6" type="noConversion"/>
  </si>
  <si>
    <t>17. 전력판매실적 종합</t>
    <phoneticPr fontId="13" type="noConversion"/>
  </si>
  <si>
    <t xml:space="preserve">      Summary of Customers and Power Sold </t>
    <phoneticPr fontId="13" type="noConversion"/>
  </si>
  <si>
    <t xml:space="preserve"> </t>
  </si>
  <si>
    <t>고 객 호 수  (1,000호)</t>
    <phoneticPr fontId="13" type="noConversion"/>
  </si>
  <si>
    <t>*요금적용
전력(MW)</t>
    <phoneticPr fontId="13" type="noConversion"/>
  </si>
  <si>
    <t xml:space="preserve">       판                  매                  량           </t>
    <phoneticPr fontId="13" type="noConversion"/>
  </si>
  <si>
    <t xml:space="preserve">    (MWh)</t>
    <phoneticPr fontId="13" type="noConversion"/>
  </si>
  <si>
    <t>판      매      수      입     (백만원)</t>
    <phoneticPr fontId="13" type="noConversion"/>
  </si>
  <si>
    <t>판  매  단  가  (원/kWh)</t>
    <phoneticPr fontId="13" type="noConversion"/>
  </si>
  <si>
    <t>저  압</t>
    <phoneticPr fontId="13" type="noConversion"/>
  </si>
  <si>
    <t>고  압</t>
    <phoneticPr fontId="13" type="noConversion"/>
  </si>
  <si>
    <t>전년대비(%)</t>
    <phoneticPr fontId="13" type="noConversion"/>
  </si>
  <si>
    <t xml:space="preserve">   주) 요금적용전력 : 순수주택용 및 심야(갑)을 제외한 그 밖의 종별에 있어서 기본요금의 계산기준이 되는 전력</t>
    <phoneticPr fontId="13" type="noConversion"/>
  </si>
  <si>
    <t>18. 계약종별 판매량</t>
    <phoneticPr fontId="13" type="noConversion"/>
  </si>
  <si>
    <t xml:space="preserve">      Power Sold by Segments </t>
    <phoneticPr fontId="13" type="noConversion"/>
  </si>
  <si>
    <t xml:space="preserve">          (단위 : MWh, %) </t>
    <phoneticPr fontId="13" type="noConversion"/>
  </si>
  <si>
    <t>주 택 용</t>
    <phoneticPr fontId="13" type="noConversion"/>
  </si>
  <si>
    <t>일 반 용</t>
    <phoneticPr fontId="13" type="noConversion"/>
  </si>
  <si>
    <t>교 육 용</t>
    <phoneticPr fontId="13" type="noConversion"/>
  </si>
  <si>
    <t>산 업 용</t>
    <phoneticPr fontId="13" type="noConversion"/>
  </si>
  <si>
    <t>농 사 용</t>
    <phoneticPr fontId="13" type="noConversion"/>
  </si>
  <si>
    <t>가 로 등</t>
    <phoneticPr fontId="13" type="noConversion"/>
  </si>
  <si>
    <t>심    야</t>
    <phoneticPr fontId="13" type="noConversion"/>
  </si>
  <si>
    <t xml:space="preserve">   주)  증감률은 전년동기 대비</t>
    <phoneticPr fontId="13" type="noConversion"/>
  </si>
  <si>
    <t>18-1. 계약종별 수용호수</t>
    <phoneticPr fontId="13" type="noConversion"/>
  </si>
  <si>
    <t xml:space="preserve">         Customers by Segments </t>
    <phoneticPr fontId="13" type="noConversion"/>
  </si>
  <si>
    <t xml:space="preserve">          (단위 : 호, %) </t>
    <phoneticPr fontId="13" type="noConversion"/>
  </si>
  <si>
    <t>18-2. 계약종별 판매수입</t>
    <phoneticPr fontId="13" type="noConversion"/>
  </si>
  <si>
    <t xml:space="preserve">         Revenues from Sales by Segments </t>
    <phoneticPr fontId="13" type="noConversion"/>
  </si>
  <si>
    <t xml:space="preserve">(단위 : 백만원, %) </t>
    <phoneticPr fontId="13" type="noConversion"/>
  </si>
  <si>
    <t>산 업 용</t>
  </si>
  <si>
    <t xml:space="preserve">   주)  증감률은 전년동기 대비,   '02. 1월부터 전력산업기반기금 제외</t>
    <phoneticPr fontId="13" type="noConversion"/>
  </si>
  <si>
    <t>19. 용도별 판매량</t>
    <phoneticPr fontId="13" type="noConversion"/>
  </si>
  <si>
    <t xml:space="preserve">      Power Sold by Use &amp; Industry </t>
    <phoneticPr fontId="13" type="noConversion"/>
  </si>
  <si>
    <t>가정용 (증감률)</t>
  </si>
  <si>
    <t>공 공   및   서 비 스 부 문</t>
    <phoneticPr fontId="13" type="noConversion"/>
  </si>
  <si>
    <t>생               산               부               문</t>
    <phoneticPr fontId="13" type="noConversion"/>
  </si>
  <si>
    <t>합   계  (증감률)</t>
  </si>
  <si>
    <t>공공용 (증감률)</t>
  </si>
  <si>
    <t>서비스업 및 기타 (증감률)</t>
    <phoneticPr fontId="13" type="noConversion"/>
  </si>
  <si>
    <t>소   계  (증감률)</t>
  </si>
  <si>
    <t>농수산업(증감률)</t>
    <phoneticPr fontId="13" type="noConversion"/>
  </si>
  <si>
    <t>광  업 (증감률)</t>
    <phoneticPr fontId="13" type="noConversion"/>
  </si>
  <si>
    <t>제조업 (증감률)</t>
    <phoneticPr fontId="13" type="noConversion"/>
  </si>
  <si>
    <t>소 계  (증감률)</t>
  </si>
  <si>
    <t xml:space="preserve">  주1)  증감률은 전년동기 대비  </t>
    <phoneticPr fontId="13" type="noConversion"/>
  </si>
  <si>
    <t xml:space="preserve">  주2)  제10차 한국표준산업분류 개정으로 새 분류표 적용('18년 이후)</t>
    <phoneticPr fontId="13" type="noConversion"/>
  </si>
  <si>
    <t>19-1. 용도별 수용호수</t>
    <phoneticPr fontId="13" type="noConversion"/>
  </si>
  <si>
    <t xml:space="preserve">         Customers by Use &amp; Industry </t>
    <phoneticPr fontId="13" type="noConversion"/>
  </si>
  <si>
    <t xml:space="preserve">(단위 : 호, %) </t>
    <phoneticPr fontId="13" type="noConversion"/>
  </si>
  <si>
    <t>19-2. 용도별 판매수입</t>
    <phoneticPr fontId="13" type="noConversion"/>
  </si>
  <si>
    <t xml:space="preserve">         Revenues from Sales by Use &amp; Industry </t>
    <phoneticPr fontId="13" type="noConversion"/>
  </si>
  <si>
    <t>20. 행정구역별 판매량</t>
    <phoneticPr fontId="13" type="noConversion"/>
  </si>
  <si>
    <t xml:space="preserve">      Power Sold by Province </t>
    <phoneticPr fontId="13" type="noConversion"/>
  </si>
  <si>
    <t xml:space="preserve">                  (단위 : MWh) </t>
    <phoneticPr fontId="13" type="noConversion"/>
  </si>
  <si>
    <t>서  울</t>
    <phoneticPr fontId="13" type="noConversion"/>
  </si>
  <si>
    <t>부  산</t>
    <phoneticPr fontId="13" type="noConversion"/>
  </si>
  <si>
    <t>대  구</t>
    <phoneticPr fontId="13" type="noConversion"/>
  </si>
  <si>
    <t>인  천</t>
    <phoneticPr fontId="13" type="noConversion"/>
  </si>
  <si>
    <t>광  주</t>
    <phoneticPr fontId="13" type="noConversion"/>
  </si>
  <si>
    <t>대  전</t>
    <phoneticPr fontId="13" type="noConversion"/>
  </si>
  <si>
    <t>울  산</t>
    <phoneticPr fontId="13" type="noConversion"/>
  </si>
  <si>
    <t>세  종</t>
    <phoneticPr fontId="13" type="noConversion"/>
  </si>
  <si>
    <t>경  기</t>
  </si>
  <si>
    <t>강  원</t>
  </si>
  <si>
    <t>충  북</t>
  </si>
  <si>
    <t>충  남</t>
  </si>
  <si>
    <t>전  북</t>
  </si>
  <si>
    <t>전  남</t>
  </si>
  <si>
    <t>경  북</t>
  </si>
  <si>
    <t>경  남</t>
  </si>
  <si>
    <t>제  주</t>
  </si>
  <si>
    <t>황  북</t>
    <phoneticPr fontId="13" type="noConversion"/>
  </si>
  <si>
    <t>합   계</t>
  </si>
  <si>
    <t xml:space="preserve">   주1)  2012년 10월부터 세종시 실적을 충남에서 분리</t>
    <phoneticPr fontId="13" type="noConversion"/>
  </si>
  <si>
    <t>20-1. 행정구역별 수용호수</t>
    <phoneticPr fontId="13" type="noConversion"/>
  </si>
  <si>
    <t xml:space="preserve">         Customers by Province </t>
    <phoneticPr fontId="13" type="noConversion"/>
  </si>
  <si>
    <t xml:space="preserve">                  (단위 : 호) </t>
    <phoneticPr fontId="13" type="noConversion"/>
  </si>
  <si>
    <t>황 북</t>
    <phoneticPr fontId="13" type="noConversion"/>
  </si>
  <si>
    <t>20-2. 행정구역별 판매수입</t>
    <phoneticPr fontId="13" type="noConversion"/>
  </si>
  <si>
    <t xml:space="preserve">         Revenues from Sales by Province </t>
    <phoneticPr fontId="13" type="noConversion"/>
  </si>
  <si>
    <t xml:space="preserve">                   (단위 : 백만원) </t>
    <phoneticPr fontId="13" type="noConversion"/>
  </si>
  <si>
    <t>20-3. 행정구역별 계약종별 판매량</t>
    <phoneticPr fontId="13" type="noConversion"/>
  </si>
  <si>
    <t xml:space="preserve">       Power Sold by Province &amp; Segments</t>
    <phoneticPr fontId="13" type="noConversion"/>
  </si>
  <si>
    <t xml:space="preserve">      (단위 : MWh) </t>
    <phoneticPr fontId="13" type="noConversion"/>
  </si>
  <si>
    <t>구              분</t>
  </si>
  <si>
    <t>서  울</t>
  </si>
  <si>
    <r>
      <t>황 북</t>
    </r>
    <r>
      <rPr>
        <vertAlign val="superscript"/>
        <sz val="8"/>
        <rFont val="맑은 고딕"/>
        <family val="3"/>
        <charset val="129"/>
        <scheme val="minor"/>
      </rPr>
      <t xml:space="preserve"> </t>
    </r>
    <phoneticPr fontId="13" type="noConversion"/>
  </si>
  <si>
    <t>합    계</t>
  </si>
  <si>
    <t>2021.
누계
(01~12)</t>
  </si>
  <si>
    <t>주택용</t>
  </si>
  <si>
    <t>일반용</t>
  </si>
  <si>
    <t>교육용</t>
  </si>
  <si>
    <t>산업용</t>
  </si>
  <si>
    <t>농사용</t>
  </si>
  <si>
    <t>가로등</t>
  </si>
  <si>
    <t>심야</t>
  </si>
  <si>
    <t>2022.
누계
(01~12)</t>
  </si>
  <si>
    <t>2021.
12</t>
  </si>
  <si>
    <t>2022.
12</t>
  </si>
  <si>
    <t>21. 산업분류별 판매량</t>
    <phoneticPr fontId="13" type="noConversion"/>
  </si>
  <si>
    <t xml:space="preserve">      Power Sold by Industry </t>
    <phoneticPr fontId="13" type="noConversion"/>
  </si>
  <si>
    <t>가      정      용</t>
  </si>
  <si>
    <t>공      공      용</t>
    <phoneticPr fontId="13" type="noConversion"/>
  </si>
  <si>
    <t>서비스업 및 기타</t>
    <phoneticPr fontId="13" type="noConversion"/>
  </si>
  <si>
    <t>농   림   어   업</t>
    <phoneticPr fontId="13" type="noConversion"/>
  </si>
  <si>
    <t>광               업</t>
    <phoneticPr fontId="13" type="noConversion"/>
  </si>
  <si>
    <t>소     계</t>
    <phoneticPr fontId="13" type="noConversion"/>
  </si>
  <si>
    <t>식 료 품</t>
    <phoneticPr fontId="13" type="noConversion"/>
  </si>
  <si>
    <t>음     료</t>
    <phoneticPr fontId="13" type="noConversion"/>
  </si>
  <si>
    <t>담     배</t>
    <phoneticPr fontId="13" type="noConversion"/>
  </si>
  <si>
    <t>제</t>
    <phoneticPr fontId="13" type="noConversion"/>
  </si>
  <si>
    <t>섬유제품</t>
    <phoneticPr fontId="13" type="noConversion"/>
  </si>
  <si>
    <t>의복·모피</t>
    <phoneticPr fontId="13" type="noConversion"/>
  </si>
  <si>
    <t>가죽·가방</t>
    <phoneticPr fontId="13" type="noConversion"/>
  </si>
  <si>
    <t>목재·나무</t>
    <phoneticPr fontId="13" type="noConversion"/>
  </si>
  <si>
    <t>펄프·종이</t>
    <phoneticPr fontId="13" type="noConversion"/>
  </si>
  <si>
    <t>인쇄·매체</t>
    <phoneticPr fontId="13" type="noConversion"/>
  </si>
  <si>
    <t>연탄·석유</t>
    <phoneticPr fontId="13" type="noConversion"/>
  </si>
  <si>
    <t>조</t>
    <phoneticPr fontId="13" type="noConversion"/>
  </si>
  <si>
    <t>화     학</t>
    <phoneticPr fontId="13" type="noConversion"/>
  </si>
  <si>
    <t>의료·의약</t>
    <phoneticPr fontId="13" type="noConversion"/>
  </si>
  <si>
    <t>플라스틱</t>
    <phoneticPr fontId="13" type="noConversion"/>
  </si>
  <si>
    <t>비 금 속</t>
    <phoneticPr fontId="13" type="noConversion"/>
  </si>
  <si>
    <t>1차 금속</t>
    <phoneticPr fontId="13" type="noConversion"/>
  </si>
  <si>
    <t>금속가공</t>
    <phoneticPr fontId="13" type="noConversion"/>
  </si>
  <si>
    <t>전자·통신</t>
    <phoneticPr fontId="13" type="noConversion"/>
  </si>
  <si>
    <t>업</t>
    <phoneticPr fontId="13" type="noConversion"/>
  </si>
  <si>
    <t>의료·광학</t>
    <phoneticPr fontId="13" type="noConversion"/>
  </si>
  <si>
    <t>전기장비</t>
    <phoneticPr fontId="13" type="noConversion"/>
  </si>
  <si>
    <t>기타기계</t>
    <phoneticPr fontId="13" type="noConversion"/>
  </si>
  <si>
    <t>자 동 차</t>
    <phoneticPr fontId="13" type="noConversion"/>
  </si>
  <si>
    <t>기타운송</t>
    <phoneticPr fontId="13" type="noConversion"/>
  </si>
  <si>
    <t>가     구</t>
    <phoneticPr fontId="13" type="noConversion"/>
  </si>
  <si>
    <t>기타 제품</t>
    <phoneticPr fontId="13" type="noConversion"/>
  </si>
  <si>
    <t>산업기계</t>
    <phoneticPr fontId="13" type="noConversion"/>
  </si>
  <si>
    <t>합            계</t>
  </si>
  <si>
    <t xml:space="preserve">  주)  제10차 한국표준산업분류 개정으로 새 분류표 적용('18년 이후)</t>
    <phoneticPr fontId="13" type="noConversion"/>
  </si>
  <si>
    <t>21-1. 산업분류별 행정구역별 판매량</t>
    <phoneticPr fontId="13" type="noConversion"/>
  </si>
  <si>
    <t xml:space="preserve">        Power Sold by Industry &amp; Province </t>
    <phoneticPr fontId="13" type="noConversion"/>
  </si>
  <si>
    <t>(2022.12)</t>
    <phoneticPr fontId="13" type="noConversion"/>
  </si>
  <si>
    <t>대  구</t>
  </si>
  <si>
    <t>인  천</t>
  </si>
  <si>
    <t>광  주</t>
  </si>
  <si>
    <t>대  전</t>
  </si>
  <si>
    <t>울  산</t>
  </si>
  <si>
    <r>
      <t xml:space="preserve">황북 </t>
    </r>
    <r>
      <rPr>
        <vertAlign val="superscript"/>
        <sz val="8"/>
        <rFont val="맑은 고딕"/>
        <family val="3"/>
        <charset val="129"/>
        <scheme val="minor"/>
      </rPr>
      <t>2)</t>
    </r>
    <phoneticPr fontId="13" type="noConversion"/>
  </si>
  <si>
    <t xml:space="preserve">  주1)  제10차 한국표준산업분류 개정으로 새 분류표 적용('18년 이후)</t>
    <phoneticPr fontId="13" type="noConversion"/>
  </si>
  <si>
    <t xml:space="preserve">  주2)  개성지사 판매 부분</t>
    <phoneticPr fontId="13" type="noConversion"/>
  </si>
  <si>
    <t>21-2. 산업분류별 행정구역별 판매량(누계)</t>
    <phoneticPr fontId="13" type="noConversion"/>
  </si>
  <si>
    <t>(2022. 01 ∼ 2022. 12)</t>
    <phoneticPr fontId="13" type="noConversion"/>
  </si>
  <si>
    <t>Ⅵ. 기    타</t>
    <phoneticPr fontId="6" type="noConversion"/>
  </si>
  <si>
    <t>22.  전력수급실적</t>
    <phoneticPr fontId="6" type="noConversion"/>
  </si>
  <si>
    <t>23.  인원</t>
    <phoneticPr fontId="6" type="noConversion"/>
  </si>
  <si>
    <t>22. 전력수급실적 (월별)</t>
    <phoneticPr fontId="13" type="noConversion"/>
  </si>
  <si>
    <t xml:space="preserve">     Power Supply &amp; Demand by Month</t>
    <phoneticPr fontId="13" type="noConversion"/>
  </si>
  <si>
    <t xml:space="preserve"> (단위 : MW, %) </t>
    <phoneticPr fontId="13" type="noConversion"/>
  </si>
  <si>
    <t>설비용량</t>
    <phoneticPr fontId="13" type="noConversion"/>
  </si>
  <si>
    <t>공급능력</t>
    <phoneticPr fontId="13" type="noConversion"/>
  </si>
  <si>
    <t>최대전력</t>
    <phoneticPr fontId="13" type="noConversion"/>
  </si>
  <si>
    <t>평균전력</t>
    <phoneticPr fontId="13" type="noConversion"/>
  </si>
  <si>
    <t>평   균
부하율</t>
    <phoneticPr fontId="13" type="noConversion"/>
  </si>
  <si>
    <t>평   균
이용률</t>
    <phoneticPr fontId="13" type="noConversion"/>
  </si>
  <si>
    <t>1.17(월)</t>
  </si>
  <si>
    <t>12.26(수)</t>
  </si>
  <si>
    <t>1.3(목)</t>
  </si>
  <si>
    <t>12.17(수)</t>
  </si>
  <si>
    <t>2.9(월)</t>
  </si>
  <si>
    <t>8.12(금)</t>
  </si>
  <si>
    <t>12.12(화)</t>
  </si>
  <si>
    <t>7. 24(화)</t>
  </si>
  <si>
    <t>8.13(화)</t>
  </si>
  <si>
    <t>8. 26(수)</t>
  </si>
  <si>
    <t xml:space="preserve">   ※  기울임체는 잠정실적</t>
    <phoneticPr fontId="13" type="noConversion"/>
  </si>
  <si>
    <t xml:space="preserve">   주1)  상기 실적은 최대전력 발생시점 기준임. 단, 평균전력, 평균부하율, 평균이용율은 최대전력 발생시점 기준이 아닌 해당월 전체 평균값임</t>
    <phoneticPr fontId="13" type="noConversion"/>
  </si>
  <si>
    <t xml:space="preserve">   주2)  설비예비율[%] = (설비용량-최대전력) / 최대전력×100</t>
    <phoneticPr fontId="13" type="noConversion"/>
  </si>
  <si>
    <t xml:space="preserve">   주3)  공급예비율[%] = (공급능력-최대전력) / 최대전력×100</t>
    <phoneticPr fontId="13" type="noConversion"/>
  </si>
  <si>
    <t xml:space="preserve">   주4)  부하율 [%] = (평균전력 / 최대전력)×100</t>
    <phoneticPr fontId="13" type="noConversion"/>
  </si>
  <si>
    <t xml:space="preserve">   주5)  이용률 [%] = (평균전력 / 설비용량)×100</t>
    <phoneticPr fontId="13" type="noConversion"/>
  </si>
  <si>
    <t>설   비
예비력</t>
    <phoneticPr fontId="13" type="noConversion"/>
  </si>
  <si>
    <t>1. 5(수)</t>
  </si>
  <si>
    <t xml:space="preserve">            2</t>
  </si>
  <si>
    <t xml:space="preserve">            3</t>
  </si>
  <si>
    <t xml:space="preserve">            4</t>
  </si>
  <si>
    <t xml:space="preserve">            5</t>
  </si>
  <si>
    <t xml:space="preserve">            6</t>
  </si>
  <si>
    <t xml:space="preserve">            7</t>
  </si>
  <si>
    <t xml:space="preserve">            8</t>
  </si>
  <si>
    <t xml:space="preserve">            9</t>
  </si>
  <si>
    <t xml:space="preserve">            10</t>
  </si>
  <si>
    <t xml:space="preserve">            11</t>
  </si>
  <si>
    <t xml:space="preserve">            10</t>
    <phoneticPr fontId="13" type="noConversion"/>
  </si>
  <si>
    <t xml:space="preserve">            12</t>
    <phoneticPr fontId="13" type="noConversion"/>
  </si>
  <si>
    <t xml:space="preserve">             4</t>
    <phoneticPr fontId="13" type="noConversion"/>
  </si>
  <si>
    <t xml:space="preserve">             5</t>
    <phoneticPr fontId="13" type="noConversion"/>
  </si>
  <si>
    <t xml:space="preserve">             6</t>
    <phoneticPr fontId="13" type="noConversion"/>
  </si>
  <si>
    <t xml:space="preserve">             7</t>
    <phoneticPr fontId="13" type="noConversion"/>
  </si>
  <si>
    <t xml:space="preserve">             8</t>
    <phoneticPr fontId="13" type="noConversion"/>
  </si>
  <si>
    <t xml:space="preserve">             9</t>
    <phoneticPr fontId="13" type="noConversion"/>
  </si>
  <si>
    <t xml:space="preserve">             10</t>
    <phoneticPr fontId="13" type="noConversion"/>
  </si>
  <si>
    <t xml:space="preserve">             11</t>
    <phoneticPr fontId="13" type="noConversion"/>
  </si>
  <si>
    <t xml:space="preserve">             12</t>
  </si>
  <si>
    <t>최대전력</t>
  </si>
  <si>
    <t xml:space="preserve">             12</t>
    <phoneticPr fontId="13" type="noConversion"/>
  </si>
  <si>
    <t xml:space="preserve">             2</t>
    <phoneticPr fontId="13" type="noConversion"/>
  </si>
  <si>
    <t xml:space="preserve">             3</t>
    <phoneticPr fontId="13" type="noConversion"/>
  </si>
  <si>
    <t xml:space="preserve">             11</t>
  </si>
  <si>
    <t>22-1. 전력수급실적 (일별)</t>
    <phoneticPr fontId="13" type="noConversion"/>
  </si>
  <si>
    <t xml:space="preserve">        Power Supply &amp; Demand by Day</t>
    <phoneticPr fontId="13" type="noConversion"/>
  </si>
  <si>
    <t>설   비
예비율</t>
    <phoneticPr fontId="13" type="noConversion"/>
  </si>
  <si>
    <t>공   급
예비력</t>
    <phoneticPr fontId="13" type="noConversion"/>
  </si>
  <si>
    <t>공   급
예비율</t>
    <phoneticPr fontId="13" type="noConversion"/>
  </si>
  <si>
    <t>구     분</t>
  </si>
  <si>
    <t>12월01일</t>
  </si>
  <si>
    <t>목</t>
  </si>
  <si>
    <t>12월02일</t>
  </si>
  <si>
    <t>금</t>
  </si>
  <si>
    <t>12월03일</t>
  </si>
  <si>
    <t>토</t>
  </si>
  <si>
    <t>12월04일</t>
  </si>
  <si>
    <t>일</t>
  </si>
  <si>
    <t>12월05일</t>
  </si>
  <si>
    <t>월</t>
  </si>
  <si>
    <t>12월06일</t>
  </si>
  <si>
    <t>화</t>
  </si>
  <si>
    <t>12월07일</t>
  </si>
  <si>
    <t>수</t>
  </si>
  <si>
    <t>12월08일</t>
  </si>
  <si>
    <t>12월09일</t>
  </si>
  <si>
    <t>12월10일</t>
  </si>
  <si>
    <t>12월11일</t>
  </si>
  <si>
    <t>12월12일</t>
  </si>
  <si>
    <t>12월13일</t>
  </si>
  <si>
    <t>12월14일</t>
  </si>
  <si>
    <t>12월15일</t>
  </si>
  <si>
    <t>12월16일</t>
  </si>
  <si>
    <t>12월17일</t>
  </si>
  <si>
    <t>12월18일</t>
  </si>
  <si>
    <t>12월19일</t>
  </si>
  <si>
    <t>12월20일</t>
  </si>
  <si>
    <t>12월21일</t>
  </si>
  <si>
    <t>12월22일</t>
  </si>
  <si>
    <t>12월23일</t>
  </si>
  <si>
    <t>12월24일</t>
  </si>
  <si>
    <t>12월25일</t>
  </si>
  <si>
    <t>12월26일</t>
  </si>
  <si>
    <t>12월27일</t>
  </si>
  <si>
    <t>12월28일</t>
  </si>
  <si>
    <t>12월29일</t>
  </si>
  <si>
    <t>12월30일</t>
  </si>
  <si>
    <t>12월31일</t>
  </si>
  <si>
    <t xml:space="preserve">   ※ 음영부분은 일별 최대전력 중 가장 높은 수치임</t>
    <phoneticPr fontId="13" type="noConversion"/>
  </si>
  <si>
    <t>23. 인원 (회사별)</t>
    <phoneticPr fontId="13" type="noConversion"/>
  </si>
  <si>
    <t xml:space="preserve">      Employees  </t>
    <phoneticPr fontId="13" type="noConversion"/>
  </si>
  <si>
    <t xml:space="preserve">(단위 : 명, %) </t>
    <phoneticPr fontId="13" type="noConversion"/>
  </si>
  <si>
    <t>한</t>
  </si>
  <si>
    <t xml:space="preserve">          </t>
    <phoneticPr fontId="13" type="noConversion"/>
  </si>
  <si>
    <t>전</t>
  </si>
  <si>
    <t>발 전 자 회 사   및   거 래 소</t>
    <phoneticPr fontId="13" type="noConversion"/>
  </si>
  <si>
    <t>합  계</t>
  </si>
  <si>
    <t>증감률</t>
  </si>
  <si>
    <t>임원</t>
    <phoneticPr fontId="13" type="noConversion"/>
  </si>
  <si>
    <t>직속기구</t>
    <phoneticPr fontId="13" type="noConversion"/>
  </si>
  <si>
    <t>기획본부</t>
    <phoneticPr fontId="13" type="noConversion"/>
  </si>
  <si>
    <t>관리본부</t>
  </si>
  <si>
    <t>영업본부</t>
  </si>
  <si>
    <t>신성장
동력본부</t>
  </si>
  <si>
    <t>전력
계통본부</t>
  </si>
  <si>
    <t>원전
수출본부</t>
  </si>
  <si>
    <t>해외
사업본부</t>
  </si>
  <si>
    <t>지역본부</t>
  </si>
  <si>
    <t>남 동</t>
    <phoneticPr fontId="13" type="noConversion"/>
  </si>
  <si>
    <t>중 부</t>
    <phoneticPr fontId="13" type="noConversion"/>
  </si>
  <si>
    <t>서 부</t>
    <phoneticPr fontId="13" type="noConversion"/>
  </si>
  <si>
    <t>남 부</t>
    <phoneticPr fontId="13" type="noConversion"/>
  </si>
  <si>
    <t>동 서</t>
    <phoneticPr fontId="13" type="noConversion"/>
  </si>
  <si>
    <t>수력
원자력</t>
    <phoneticPr fontId="13" type="noConversion"/>
  </si>
  <si>
    <t>발전
소계</t>
    <phoneticPr fontId="13" type="noConversion"/>
  </si>
  <si>
    <t>전력
거래소</t>
    <phoneticPr fontId="13" type="noConversion"/>
  </si>
  <si>
    <t>한전</t>
  </si>
  <si>
    <t>전 체</t>
    <phoneticPr fontId="13" type="noConversion"/>
  </si>
  <si>
    <t>관리본부</t>
    <phoneticPr fontId="13" type="noConversion"/>
  </si>
  <si>
    <t>영업본부</t>
    <phoneticPr fontId="13" type="noConversion"/>
  </si>
  <si>
    <t>협력안전본부</t>
    <phoneticPr fontId="13" type="noConversion"/>
  </si>
  <si>
    <t>신성장동력본부</t>
    <phoneticPr fontId="13" type="noConversion"/>
  </si>
  <si>
    <t>전력계통
본부</t>
    <phoneticPr fontId="13" type="noConversion"/>
  </si>
  <si>
    <t>해외
사업본부</t>
    <phoneticPr fontId="13" type="noConversion"/>
  </si>
  <si>
    <t>원전수출
본부</t>
    <phoneticPr fontId="13" type="noConversion"/>
  </si>
  <si>
    <t>지역본부</t>
    <phoneticPr fontId="13" type="noConversion"/>
  </si>
  <si>
    <t>남 동</t>
  </si>
  <si>
    <t>중 부</t>
  </si>
  <si>
    <t>서 부</t>
  </si>
  <si>
    <t>남 부</t>
  </si>
  <si>
    <t>동 서</t>
  </si>
  <si>
    <t>전 체</t>
  </si>
  <si>
    <t>상생협력본부</t>
    <phoneticPr fontId="13" type="noConversion"/>
  </si>
  <si>
    <t>기술본부</t>
    <phoneticPr fontId="13" type="noConversion"/>
  </si>
  <si>
    <t>상생발전본부</t>
    <phoneticPr fontId="13" type="noConversion"/>
  </si>
  <si>
    <t>기술혁신
본부</t>
    <phoneticPr fontId="13" type="noConversion"/>
  </si>
  <si>
    <t>전력그리드
본부</t>
    <phoneticPr fontId="13" type="noConversion"/>
  </si>
  <si>
    <t>원전사업
본부</t>
    <phoneticPr fontId="13" type="noConversion"/>
  </si>
  <si>
    <t>경영지원
총괄본부</t>
    <phoneticPr fontId="13" type="noConversion"/>
  </si>
  <si>
    <t>사업총괄본부</t>
    <phoneticPr fontId="13" type="noConversion"/>
  </si>
  <si>
    <t>상생발전  본부</t>
  </si>
  <si>
    <t>기술혁신
본부</t>
  </si>
  <si>
    <t>전력그리드
본부</t>
  </si>
  <si>
    <t>해외사업
본부</t>
  </si>
  <si>
    <t>직속기구</t>
  </si>
  <si>
    <t>미래전략기획본부</t>
  </si>
  <si>
    <t>전력혁신본부</t>
  </si>
  <si>
    <t>상생관리본부</t>
  </si>
  <si>
    <t>해외원전
본부</t>
    <phoneticPr fontId="13" type="noConversion"/>
  </si>
  <si>
    <t>전력솔루션
본부</t>
  </si>
  <si>
    <t>신성장&amp;해외사업본부</t>
    <phoneticPr fontId="13" type="noConversion"/>
  </si>
  <si>
    <t xml:space="preserve">   주1)  발전부문 및 전력거래소 분리 (2001. 4. 2)</t>
    <phoneticPr fontId="13" type="noConversion"/>
  </si>
  <si>
    <t xml:space="preserve">   주2)  2018년 7월 이후 별정·청경 포함</t>
    <phoneticPr fontId="13" type="noConversion"/>
  </si>
  <si>
    <t>한전 임직원 수는 erp 인사 - 인사통계조회 - 사업소별 인원현황(원소속기준)에서 발췌</t>
    <phoneticPr fontId="13" type="noConversion"/>
  </si>
  <si>
    <t xml:space="preserve">발전자회사는 월보자료 요청시 받은 인원현황 활용. 전력거래소는 전화로 문의. </t>
    <phoneticPr fontId="13" type="noConversion"/>
  </si>
  <si>
    <t>임원</t>
  </si>
  <si>
    <t>전력솔루션
본부</t>
    <phoneticPr fontId="13" type="noConversion"/>
  </si>
  <si>
    <t>해외원전본주</t>
  </si>
  <si>
    <t>수력
원자력</t>
  </si>
  <si>
    <t>발전
소계</t>
  </si>
  <si>
    <t>전력
거래소</t>
  </si>
  <si>
    <t xml:space="preserve">   2022    1</t>
    <phoneticPr fontId="13" type="noConversion"/>
  </si>
  <si>
    <t>상생협력본부</t>
  </si>
  <si>
    <t>해외원전본부</t>
  </si>
  <si>
    <t>경영지원
총괄본부</t>
  </si>
  <si>
    <t>사업총괄본부</t>
  </si>
  <si>
    <t xml:space="preserve">   2021    1</t>
    <phoneticPr fontId="13" type="noConversion"/>
  </si>
  <si>
    <t xml:space="preserve">   2021    2</t>
    <phoneticPr fontId="13" type="noConversion"/>
  </si>
  <si>
    <t xml:space="preserve">   2021    3</t>
    <phoneticPr fontId="13" type="noConversion"/>
  </si>
  <si>
    <t xml:space="preserve">   2021    4</t>
    <phoneticPr fontId="13" type="noConversion"/>
  </si>
  <si>
    <t xml:space="preserve">   2021    5</t>
    <phoneticPr fontId="13" type="noConversion"/>
  </si>
  <si>
    <t xml:space="preserve">   2021    6</t>
    <phoneticPr fontId="13" type="noConversion"/>
  </si>
  <si>
    <t>미래전략기획본부</t>
    <phoneticPr fontId="13" type="noConversion"/>
  </si>
  <si>
    <t>전력혁신본부</t>
    <phoneticPr fontId="13" type="noConversion"/>
  </si>
  <si>
    <t>상생관리본부</t>
    <phoneticPr fontId="13" type="noConversion"/>
  </si>
  <si>
    <t xml:space="preserve">   2021    7</t>
    <phoneticPr fontId="13" type="noConversion"/>
  </si>
  <si>
    <t xml:space="preserve">   2021    8</t>
    <phoneticPr fontId="13" type="noConversion"/>
  </si>
  <si>
    <t xml:space="preserve">   2021    9</t>
    <phoneticPr fontId="13" type="noConversion"/>
  </si>
  <si>
    <t>해외원전본주</t>
    <phoneticPr fontId="13" type="noConversion"/>
  </si>
  <si>
    <t xml:space="preserve">   2021    10</t>
    <phoneticPr fontId="13" type="noConversion"/>
  </si>
  <si>
    <t>기획본부</t>
  </si>
  <si>
    <t xml:space="preserve"> 전력
거래소</t>
    <phoneticPr fontId="13" type="noConversion"/>
  </si>
  <si>
    <t xml:space="preserve">   2020     1</t>
    <phoneticPr fontId="13" type="noConversion"/>
  </si>
  <si>
    <t xml:space="preserve">   2020     2</t>
    <phoneticPr fontId="13" type="noConversion"/>
  </si>
  <si>
    <t xml:space="preserve">   2020     3</t>
    <phoneticPr fontId="13" type="noConversion"/>
  </si>
  <si>
    <t xml:space="preserve">   2020    4</t>
    <phoneticPr fontId="13" type="noConversion"/>
  </si>
  <si>
    <t xml:space="preserve">   2020    5</t>
    <phoneticPr fontId="13" type="noConversion"/>
  </si>
  <si>
    <t xml:space="preserve">   2020    6</t>
    <phoneticPr fontId="13" type="noConversion"/>
  </si>
  <si>
    <t xml:space="preserve">   2020    7</t>
    <phoneticPr fontId="13" type="noConversion"/>
  </si>
  <si>
    <t xml:space="preserve">   2020    8</t>
    <phoneticPr fontId="13" type="noConversion"/>
  </si>
  <si>
    <t xml:space="preserve">   2020    9</t>
    <phoneticPr fontId="13" type="noConversion"/>
  </si>
  <si>
    <t xml:space="preserve">   2020    10</t>
    <phoneticPr fontId="13" type="noConversion"/>
  </si>
  <si>
    <t xml:space="preserve">   2020    11</t>
    <phoneticPr fontId="13" type="noConversion"/>
  </si>
  <si>
    <t xml:space="preserve">   2020    12</t>
    <phoneticPr fontId="13" type="noConversion"/>
  </si>
  <si>
    <t xml:space="preserve">   2019    1</t>
    <phoneticPr fontId="13" type="noConversion"/>
  </si>
  <si>
    <t xml:space="preserve">   2019    2</t>
    <phoneticPr fontId="13" type="noConversion"/>
  </si>
  <si>
    <t xml:space="preserve">   2019    3</t>
    <phoneticPr fontId="13" type="noConversion"/>
  </si>
  <si>
    <t xml:space="preserve">   2019    4</t>
    <phoneticPr fontId="13" type="noConversion"/>
  </si>
  <si>
    <t xml:space="preserve">   2019    5</t>
    <phoneticPr fontId="13" type="noConversion"/>
  </si>
  <si>
    <t xml:space="preserve">   2019    6</t>
    <phoneticPr fontId="13" type="noConversion"/>
  </si>
  <si>
    <t xml:space="preserve">   2019    7</t>
    <phoneticPr fontId="13" type="noConversion"/>
  </si>
  <si>
    <t xml:space="preserve">   2019    8</t>
    <phoneticPr fontId="13" type="noConversion"/>
  </si>
  <si>
    <t xml:space="preserve">   2019    9</t>
    <phoneticPr fontId="13" type="noConversion"/>
  </si>
  <si>
    <t xml:space="preserve">   2019    10</t>
    <phoneticPr fontId="13" type="noConversion"/>
  </si>
  <si>
    <t xml:space="preserve">   2019    11</t>
    <phoneticPr fontId="13" type="noConversion"/>
  </si>
  <si>
    <t xml:space="preserve">   2019    12</t>
    <phoneticPr fontId="13" type="noConversion"/>
  </si>
  <si>
    <t xml:space="preserve">   2018    1</t>
    <phoneticPr fontId="13" type="noConversion"/>
  </si>
  <si>
    <t xml:space="preserve">   2018    2</t>
    <phoneticPr fontId="13" type="noConversion"/>
  </si>
  <si>
    <t xml:space="preserve">   2018    3</t>
    <phoneticPr fontId="13" type="noConversion"/>
  </si>
  <si>
    <t xml:space="preserve">   2018   4</t>
    <phoneticPr fontId="13" type="noConversion"/>
  </si>
  <si>
    <t xml:space="preserve">   2018   5</t>
    <phoneticPr fontId="13" type="noConversion"/>
  </si>
  <si>
    <t xml:space="preserve">   2018   6</t>
    <phoneticPr fontId="13" type="noConversion"/>
  </si>
  <si>
    <t xml:space="preserve">   2018    7</t>
    <phoneticPr fontId="13" type="noConversion"/>
  </si>
  <si>
    <t xml:space="preserve">   2018    8</t>
    <phoneticPr fontId="13" type="noConversion"/>
  </si>
  <si>
    <t xml:space="preserve">   2018    9</t>
    <phoneticPr fontId="13" type="noConversion"/>
  </si>
  <si>
    <t xml:space="preserve">   2018   10</t>
    <phoneticPr fontId="13" type="noConversion"/>
  </si>
  <si>
    <t xml:space="preserve">   2018   11</t>
    <phoneticPr fontId="13" type="noConversion"/>
  </si>
  <si>
    <t xml:space="preserve">   2018   12</t>
    <phoneticPr fontId="13" type="noConversion"/>
  </si>
  <si>
    <t xml:space="preserve">   2017    1</t>
    <phoneticPr fontId="13" type="noConversion"/>
  </si>
  <si>
    <t xml:space="preserve">   2017    2</t>
    <phoneticPr fontId="13" type="noConversion"/>
  </si>
  <si>
    <t xml:space="preserve">   2017    3</t>
    <phoneticPr fontId="13" type="noConversion"/>
  </si>
  <si>
    <t xml:space="preserve">   2017    4</t>
    <phoneticPr fontId="13" type="noConversion"/>
  </si>
  <si>
    <t xml:space="preserve">   2017    5</t>
    <phoneticPr fontId="13" type="noConversion"/>
  </si>
  <si>
    <t xml:space="preserve">   2017   6</t>
    <phoneticPr fontId="13" type="noConversion"/>
  </si>
  <si>
    <t xml:space="preserve">   2017   7</t>
    <phoneticPr fontId="13" type="noConversion"/>
  </si>
  <si>
    <t xml:space="preserve">   2017   8</t>
    <phoneticPr fontId="13" type="noConversion"/>
  </si>
  <si>
    <t xml:space="preserve">   2017   9</t>
    <phoneticPr fontId="13" type="noConversion"/>
  </si>
  <si>
    <t xml:space="preserve">   2017   10</t>
    <phoneticPr fontId="13" type="noConversion"/>
  </si>
  <si>
    <t xml:space="preserve"> 2017   11</t>
    <phoneticPr fontId="13" type="noConversion"/>
  </si>
  <si>
    <t xml:space="preserve"> 2017   12</t>
    <phoneticPr fontId="13" type="noConversion"/>
  </si>
  <si>
    <t xml:space="preserve">   2016    1</t>
    <phoneticPr fontId="13" type="noConversion"/>
  </si>
  <si>
    <t xml:space="preserve">   2016    2</t>
    <phoneticPr fontId="13" type="noConversion"/>
  </si>
  <si>
    <t xml:space="preserve">   2016    3</t>
    <phoneticPr fontId="13" type="noConversion"/>
  </si>
  <si>
    <t xml:space="preserve">   2016    4</t>
    <phoneticPr fontId="13" type="noConversion"/>
  </si>
  <si>
    <t xml:space="preserve">   2016    5</t>
    <phoneticPr fontId="13" type="noConversion"/>
  </si>
  <si>
    <t xml:space="preserve">   2016    6</t>
    <phoneticPr fontId="13" type="noConversion"/>
  </si>
  <si>
    <t xml:space="preserve">   2016    7</t>
    <phoneticPr fontId="13" type="noConversion"/>
  </si>
  <si>
    <t xml:space="preserve">   2016    8</t>
    <phoneticPr fontId="13" type="noConversion"/>
  </si>
  <si>
    <t xml:space="preserve">   2016    9</t>
    <phoneticPr fontId="13" type="noConversion"/>
  </si>
  <si>
    <t>2016. 10</t>
    <phoneticPr fontId="13" type="noConversion"/>
  </si>
  <si>
    <t xml:space="preserve">   2015    1</t>
    <phoneticPr fontId="13" type="noConversion"/>
  </si>
  <si>
    <t xml:space="preserve">   2015    2</t>
    <phoneticPr fontId="13" type="noConversion"/>
  </si>
  <si>
    <t xml:space="preserve">   2015    3</t>
    <phoneticPr fontId="13" type="noConversion"/>
  </si>
  <si>
    <t xml:space="preserve">   2015    4</t>
    <phoneticPr fontId="13" type="noConversion"/>
  </si>
  <si>
    <t xml:space="preserve">   2015   5</t>
    <phoneticPr fontId="13" type="noConversion"/>
  </si>
  <si>
    <t xml:space="preserve">   2015   6</t>
    <phoneticPr fontId="13" type="noConversion"/>
  </si>
  <si>
    <t xml:space="preserve">   2015   12</t>
    <phoneticPr fontId="13" type="noConversion"/>
  </si>
  <si>
    <t xml:space="preserve">   2014    1</t>
    <phoneticPr fontId="13" type="noConversion"/>
  </si>
  <si>
    <t xml:space="preserve">   2014    2</t>
    <phoneticPr fontId="13" type="noConversion"/>
  </si>
  <si>
    <t xml:space="preserve">   2014    3</t>
    <phoneticPr fontId="13" type="noConversion"/>
  </si>
  <si>
    <t xml:space="preserve">   2014    4</t>
    <phoneticPr fontId="13" type="noConversion"/>
  </si>
  <si>
    <t xml:space="preserve">   2014    5</t>
    <phoneticPr fontId="13" type="noConversion"/>
  </si>
  <si>
    <t xml:space="preserve">   2014    6</t>
    <phoneticPr fontId="13" type="noConversion"/>
  </si>
  <si>
    <t xml:space="preserve">   2014    7</t>
    <phoneticPr fontId="13" type="noConversion"/>
  </si>
  <si>
    <t xml:space="preserve">   2014    8</t>
    <phoneticPr fontId="13" type="noConversion"/>
  </si>
  <si>
    <t xml:space="preserve">   2014    9</t>
    <phoneticPr fontId="13" type="noConversion"/>
  </si>
  <si>
    <t xml:space="preserve">   2014    10</t>
    <phoneticPr fontId="13" type="noConversion"/>
  </si>
  <si>
    <t xml:space="preserve">   2014    11</t>
    <phoneticPr fontId="13" type="noConversion"/>
  </si>
  <si>
    <t xml:space="preserve">   2014    12</t>
    <phoneticPr fontId="13" type="noConversion"/>
  </si>
  <si>
    <t xml:space="preserve">   2013    1</t>
    <phoneticPr fontId="13" type="noConversion"/>
  </si>
  <si>
    <t xml:space="preserve">   2013    2</t>
    <phoneticPr fontId="13" type="noConversion"/>
  </si>
  <si>
    <t xml:space="preserve">   2013    3</t>
    <phoneticPr fontId="13" type="noConversion"/>
  </si>
  <si>
    <t xml:space="preserve">   2013    4</t>
    <phoneticPr fontId="13" type="noConversion"/>
  </si>
  <si>
    <t xml:space="preserve">   2013    5</t>
    <phoneticPr fontId="13" type="noConversion"/>
  </si>
  <si>
    <t xml:space="preserve">   2013    6</t>
    <phoneticPr fontId="13" type="noConversion"/>
  </si>
  <si>
    <t xml:space="preserve">   2013    7</t>
    <phoneticPr fontId="13" type="noConversion"/>
  </si>
  <si>
    <t xml:space="preserve">   2013    8</t>
    <phoneticPr fontId="13" type="noConversion"/>
  </si>
  <si>
    <t xml:space="preserve">   2013    9</t>
    <phoneticPr fontId="13" type="noConversion"/>
  </si>
  <si>
    <t xml:space="preserve">   2013    10</t>
    <phoneticPr fontId="13" type="noConversion"/>
  </si>
  <si>
    <t xml:space="preserve">   2013    11</t>
    <phoneticPr fontId="13" type="noConversion"/>
  </si>
  <si>
    <t xml:space="preserve">   2013    12</t>
    <phoneticPr fontId="13" type="noConversion"/>
  </si>
  <si>
    <t xml:space="preserve">   2012    1</t>
    <phoneticPr fontId="13" type="noConversion"/>
  </si>
  <si>
    <t xml:space="preserve">   2012    2</t>
    <phoneticPr fontId="13" type="noConversion"/>
  </si>
  <si>
    <t xml:space="preserve">   2012    3</t>
    <phoneticPr fontId="13" type="noConversion"/>
  </si>
  <si>
    <t xml:space="preserve">   2012    4</t>
    <phoneticPr fontId="13" type="noConversion"/>
  </si>
  <si>
    <t xml:space="preserve">   2012    5</t>
    <phoneticPr fontId="13" type="noConversion"/>
  </si>
  <si>
    <t xml:space="preserve">   2012    6</t>
    <phoneticPr fontId="13" type="noConversion"/>
  </si>
  <si>
    <t xml:space="preserve">   2012    7</t>
    <phoneticPr fontId="13" type="noConversion"/>
  </si>
  <si>
    <t xml:space="preserve">   2012    8</t>
    <phoneticPr fontId="13" type="noConversion"/>
  </si>
  <si>
    <t xml:space="preserve">   2012    9</t>
    <phoneticPr fontId="13" type="noConversion"/>
  </si>
  <si>
    <t xml:space="preserve">   2012    10</t>
    <phoneticPr fontId="13" type="noConversion"/>
  </si>
  <si>
    <t xml:space="preserve">   2012    11</t>
    <phoneticPr fontId="13" type="noConversion"/>
  </si>
  <si>
    <t xml:space="preserve">   2012    12</t>
    <phoneticPr fontId="13" type="noConversion"/>
  </si>
  <si>
    <t xml:space="preserve">   2011       1</t>
    <phoneticPr fontId="13" type="noConversion"/>
  </si>
  <si>
    <t xml:space="preserve">   2011       2</t>
    <phoneticPr fontId="13" type="noConversion"/>
  </si>
  <si>
    <t xml:space="preserve">   2011       3</t>
    <phoneticPr fontId="13" type="noConversion"/>
  </si>
  <si>
    <t xml:space="preserve">   2011       4</t>
    <phoneticPr fontId="13" type="noConversion"/>
  </si>
  <si>
    <t xml:space="preserve">   2011       5</t>
    <phoneticPr fontId="13" type="noConversion"/>
  </si>
  <si>
    <t xml:space="preserve">   2011       6</t>
    <phoneticPr fontId="13" type="noConversion"/>
  </si>
  <si>
    <t xml:space="preserve">   2011       7</t>
    <phoneticPr fontId="13" type="noConversion"/>
  </si>
  <si>
    <t xml:space="preserve">   2011       8</t>
    <phoneticPr fontId="13" type="noConversion"/>
  </si>
  <si>
    <t xml:space="preserve">   2011       9</t>
    <phoneticPr fontId="13" type="noConversion"/>
  </si>
  <si>
    <t xml:space="preserve">   2011      10</t>
    <phoneticPr fontId="13" type="noConversion"/>
  </si>
  <si>
    <t xml:space="preserve">  2011    11</t>
    <phoneticPr fontId="13" type="noConversion"/>
  </si>
  <si>
    <t xml:space="preserve">   2010       1</t>
    <phoneticPr fontId="13" type="noConversion"/>
  </si>
  <si>
    <t xml:space="preserve">   2010       2</t>
    <phoneticPr fontId="13" type="noConversion"/>
  </si>
  <si>
    <t xml:space="preserve">   2010       3</t>
    <phoneticPr fontId="13" type="noConversion"/>
  </si>
  <si>
    <t xml:space="preserve">   2010       4</t>
    <phoneticPr fontId="13" type="noConversion"/>
  </si>
  <si>
    <t xml:space="preserve">   2010       5</t>
    <phoneticPr fontId="13" type="noConversion"/>
  </si>
  <si>
    <t xml:space="preserve">   2010       6</t>
    <phoneticPr fontId="13" type="noConversion"/>
  </si>
  <si>
    <t xml:space="preserve">   2010       7</t>
    <phoneticPr fontId="13" type="noConversion"/>
  </si>
  <si>
    <t xml:space="preserve">   2010       8</t>
    <phoneticPr fontId="13" type="noConversion"/>
  </si>
  <si>
    <t xml:space="preserve">   2010       9</t>
    <phoneticPr fontId="13" type="noConversion"/>
  </si>
  <si>
    <t xml:space="preserve">   2010       10</t>
    <phoneticPr fontId="13" type="noConversion"/>
  </si>
  <si>
    <t xml:space="preserve">   2010       11</t>
    <phoneticPr fontId="13" type="noConversion"/>
  </si>
  <si>
    <t xml:space="preserve">   2010       </t>
    <phoneticPr fontId="13" type="noConversion"/>
  </si>
  <si>
    <t xml:space="preserve">   2009       1</t>
    <phoneticPr fontId="13" type="noConversion"/>
  </si>
  <si>
    <t xml:space="preserve">   2009       2</t>
    <phoneticPr fontId="13" type="noConversion"/>
  </si>
  <si>
    <t xml:space="preserve">   2009       3</t>
    <phoneticPr fontId="13" type="noConversion"/>
  </si>
  <si>
    <t xml:space="preserve">   2009       4</t>
    <phoneticPr fontId="13" type="noConversion"/>
  </si>
  <si>
    <t xml:space="preserve">   2009       5</t>
    <phoneticPr fontId="13" type="noConversion"/>
  </si>
  <si>
    <t xml:space="preserve">   2009       6</t>
    <phoneticPr fontId="13" type="noConversion"/>
  </si>
  <si>
    <t xml:space="preserve">   2009       7</t>
    <phoneticPr fontId="13" type="noConversion"/>
  </si>
  <si>
    <t xml:space="preserve">   2009       8</t>
    <phoneticPr fontId="13" type="noConversion"/>
  </si>
  <si>
    <t xml:space="preserve">   2009       9</t>
    <phoneticPr fontId="13" type="noConversion"/>
  </si>
  <si>
    <t xml:space="preserve">   2009      10</t>
    <phoneticPr fontId="13" type="noConversion"/>
  </si>
  <si>
    <t xml:space="preserve">   2009      11</t>
    <phoneticPr fontId="13" type="noConversion"/>
  </si>
  <si>
    <t xml:space="preserve">   2009      </t>
    <phoneticPr fontId="13" type="noConversion"/>
  </si>
  <si>
    <t xml:space="preserve">   2008       1</t>
    <phoneticPr fontId="13" type="noConversion"/>
  </si>
  <si>
    <t xml:space="preserve">   2008       2</t>
    <phoneticPr fontId="13" type="noConversion"/>
  </si>
  <si>
    <t xml:space="preserve">   2008       3</t>
    <phoneticPr fontId="13" type="noConversion"/>
  </si>
  <si>
    <t xml:space="preserve">   2008       4</t>
    <phoneticPr fontId="13" type="noConversion"/>
  </si>
  <si>
    <t xml:space="preserve">   2008       5</t>
    <phoneticPr fontId="13" type="noConversion"/>
  </si>
  <si>
    <t xml:space="preserve">   2008       6</t>
    <phoneticPr fontId="13" type="noConversion"/>
  </si>
  <si>
    <t xml:space="preserve">   2008       7</t>
    <phoneticPr fontId="13" type="noConversion"/>
  </si>
  <si>
    <t xml:space="preserve">   2008       8</t>
    <phoneticPr fontId="13" type="noConversion"/>
  </si>
  <si>
    <t xml:space="preserve">   2008       9</t>
    <phoneticPr fontId="13" type="noConversion"/>
  </si>
  <si>
    <t xml:space="preserve">   2008       10</t>
    <phoneticPr fontId="13" type="noConversion"/>
  </si>
  <si>
    <t xml:space="preserve">   2008       11</t>
    <phoneticPr fontId="13" type="noConversion"/>
  </si>
  <si>
    <t xml:space="preserve">   2008       12</t>
    <phoneticPr fontId="13" type="noConversion"/>
  </si>
  <si>
    <t xml:space="preserve">   2007       1</t>
    <phoneticPr fontId="13" type="noConversion"/>
  </si>
  <si>
    <t xml:space="preserve">   2007       2</t>
    <phoneticPr fontId="13" type="noConversion"/>
  </si>
  <si>
    <t xml:space="preserve">   2007       3</t>
    <phoneticPr fontId="13" type="noConversion"/>
  </si>
  <si>
    <t xml:space="preserve">   2007       4</t>
    <phoneticPr fontId="13" type="noConversion"/>
  </si>
  <si>
    <t xml:space="preserve">   2007       5</t>
    <phoneticPr fontId="13" type="noConversion"/>
  </si>
  <si>
    <t xml:space="preserve">   2007       6</t>
    <phoneticPr fontId="13" type="noConversion"/>
  </si>
  <si>
    <t xml:space="preserve">   2007       7</t>
    <phoneticPr fontId="13" type="noConversion"/>
  </si>
  <si>
    <t xml:space="preserve">   2007       8</t>
    <phoneticPr fontId="13" type="noConversion"/>
  </si>
  <si>
    <t xml:space="preserve">   2007       9</t>
    <phoneticPr fontId="13" type="noConversion"/>
  </si>
  <si>
    <t xml:space="preserve">   2007      10</t>
    <phoneticPr fontId="13" type="noConversion"/>
  </si>
  <si>
    <t xml:space="preserve">   2007      11</t>
    <phoneticPr fontId="13" type="noConversion"/>
  </si>
  <si>
    <t xml:space="preserve">   2007      12</t>
    <phoneticPr fontId="13" type="noConversion"/>
  </si>
  <si>
    <t xml:space="preserve">   2006       1</t>
    <phoneticPr fontId="13" type="noConversion"/>
  </si>
  <si>
    <t xml:space="preserve">   2006       2</t>
    <phoneticPr fontId="13" type="noConversion"/>
  </si>
  <si>
    <t xml:space="preserve">   2006       3</t>
    <phoneticPr fontId="13" type="noConversion"/>
  </si>
  <si>
    <t xml:space="preserve">   2006       4</t>
    <phoneticPr fontId="13" type="noConversion"/>
  </si>
  <si>
    <t xml:space="preserve">   2006       5</t>
    <phoneticPr fontId="13" type="noConversion"/>
  </si>
  <si>
    <t xml:space="preserve">   2006       6</t>
    <phoneticPr fontId="13" type="noConversion"/>
  </si>
  <si>
    <t xml:space="preserve">   2006       7</t>
    <phoneticPr fontId="13" type="noConversion"/>
  </si>
  <si>
    <t xml:space="preserve">   2006       8</t>
    <phoneticPr fontId="13" type="noConversion"/>
  </si>
  <si>
    <t xml:space="preserve">   2006       9</t>
    <phoneticPr fontId="13" type="noConversion"/>
  </si>
  <si>
    <t xml:space="preserve">   2006      10</t>
    <phoneticPr fontId="13" type="noConversion"/>
  </si>
  <si>
    <t xml:space="preserve">   2006      11</t>
    <phoneticPr fontId="13" type="noConversion"/>
  </si>
  <si>
    <t xml:space="preserve">   2006      12</t>
    <phoneticPr fontId="13" type="noConversion"/>
  </si>
  <si>
    <t xml:space="preserve">   2005       1</t>
  </si>
  <si>
    <t xml:space="preserve">   2005       2</t>
    <phoneticPr fontId="13" type="noConversion"/>
  </si>
  <si>
    <t xml:space="preserve">   2005       3</t>
    <phoneticPr fontId="13" type="noConversion"/>
  </si>
  <si>
    <t xml:space="preserve">   2005       4</t>
    <phoneticPr fontId="13" type="noConversion"/>
  </si>
  <si>
    <t xml:space="preserve">   2005       5</t>
    <phoneticPr fontId="13" type="noConversion"/>
  </si>
  <si>
    <t xml:space="preserve">   2005       6</t>
    <phoneticPr fontId="13" type="noConversion"/>
  </si>
  <si>
    <t xml:space="preserve">   2005       7</t>
    <phoneticPr fontId="13" type="noConversion"/>
  </si>
  <si>
    <t xml:space="preserve">   2005       8</t>
    <phoneticPr fontId="13" type="noConversion"/>
  </si>
  <si>
    <t xml:space="preserve">   2005       9</t>
    <phoneticPr fontId="13" type="noConversion"/>
  </si>
  <si>
    <t xml:space="preserve">   2005      10</t>
    <phoneticPr fontId="13" type="noConversion"/>
  </si>
  <si>
    <t xml:space="preserve">   2005      11</t>
    <phoneticPr fontId="13" type="noConversion"/>
  </si>
  <si>
    <t xml:space="preserve">   2005      12</t>
    <phoneticPr fontId="13" type="noConversion"/>
  </si>
  <si>
    <t xml:space="preserve">   2004       1</t>
    <phoneticPr fontId="13" type="noConversion"/>
  </si>
  <si>
    <t xml:space="preserve">   2004       2</t>
    <phoneticPr fontId="13" type="noConversion"/>
  </si>
  <si>
    <t xml:space="preserve">   2004       3</t>
    <phoneticPr fontId="13" type="noConversion"/>
  </si>
  <si>
    <t xml:space="preserve">   2004       4</t>
    <phoneticPr fontId="13" type="noConversion"/>
  </si>
  <si>
    <t xml:space="preserve">   2004       5</t>
    <phoneticPr fontId="13" type="noConversion"/>
  </si>
  <si>
    <t xml:space="preserve">   2004       6</t>
    <phoneticPr fontId="13" type="noConversion"/>
  </si>
  <si>
    <t xml:space="preserve">   2004       7</t>
    <phoneticPr fontId="13" type="noConversion"/>
  </si>
  <si>
    <t xml:space="preserve">   2004       8</t>
    <phoneticPr fontId="13" type="noConversion"/>
  </si>
  <si>
    <t xml:space="preserve">   2004       9</t>
    <phoneticPr fontId="13" type="noConversion"/>
  </si>
  <si>
    <t xml:space="preserve">   2004      10</t>
    <phoneticPr fontId="13" type="noConversion"/>
  </si>
  <si>
    <t xml:space="preserve">   2004      11</t>
    <phoneticPr fontId="13" type="noConversion"/>
  </si>
  <si>
    <t xml:space="preserve">   2004      12</t>
    <phoneticPr fontId="13" type="noConversion"/>
  </si>
  <si>
    <t xml:space="preserve">   2003       1</t>
    <phoneticPr fontId="13" type="noConversion"/>
  </si>
  <si>
    <t xml:space="preserve">   2003       2</t>
    <phoneticPr fontId="13" type="noConversion"/>
  </si>
  <si>
    <t xml:space="preserve">   2003       3</t>
    <phoneticPr fontId="13" type="noConversion"/>
  </si>
  <si>
    <t xml:space="preserve">   2003       4</t>
    <phoneticPr fontId="13" type="noConversion"/>
  </si>
  <si>
    <t xml:space="preserve">   2003       5</t>
    <phoneticPr fontId="13" type="noConversion"/>
  </si>
  <si>
    <t xml:space="preserve">   2003       6</t>
    <phoneticPr fontId="13" type="noConversion"/>
  </si>
  <si>
    <t xml:space="preserve">   2003       7</t>
    <phoneticPr fontId="13" type="noConversion"/>
  </si>
  <si>
    <t xml:space="preserve">   2003       8</t>
    <phoneticPr fontId="13" type="noConversion"/>
  </si>
  <si>
    <t xml:space="preserve">   2003       9</t>
    <phoneticPr fontId="13" type="noConversion"/>
  </si>
  <si>
    <t xml:space="preserve">   2003      10</t>
    <phoneticPr fontId="13" type="noConversion"/>
  </si>
  <si>
    <t xml:space="preserve">   2003      11</t>
    <phoneticPr fontId="13" type="noConversion"/>
  </si>
  <si>
    <t xml:space="preserve">   2003      12</t>
    <phoneticPr fontId="13" type="noConversion"/>
  </si>
  <si>
    <t xml:space="preserve">     2002     1</t>
    <phoneticPr fontId="13" type="noConversion"/>
  </si>
  <si>
    <t xml:space="preserve">                  2</t>
    <phoneticPr fontId="13" type="noConversion"/>
  </si>
  <si>
    <t xml:space="preserve">                  3</t>
    <phoneticPr fontId="13" type="noConversion"/>
  </si>
  <si>
    <t xml:space="preserve">                  4</t>
    <phoneticPr fontId="13" type="noConversion"/>
  </si>
  <si>
    <t xml:space="preserve"> 2002         5</t>
    <phoneticPr fontId="13" type="noConversion"/>
  </si>
  <si>
    <t xml:space="preserve"> 2002         6</t>
    <phoneticPr fontId="13" type="noConversion"/>
  </si>
  <si>
    <t xml:space="preserve"> 2002         7</t>
    <phoneticPr fontId="13" type="noConversion"/>
  </si>
  <si>
    <t>2002         8</t>
    <phoneticPr fontId="13" type="noConversion"/>
  </si>
  <si>
    <t>2002          9</t>
    <phoneticPr fontId="13" type="noConversion"/>
  </si>
  <si>
    <t>2003         10</t>
    <phoneticPr fontId="13" type="noConversion"/>
  </si>
  <si>
    <t xml:space="preserve">   2003     11</t>
    <phoneticPr fontId="13" type="noConversion"/>
  </si>
  <si>
    <t xml:space="preserve">   2002     12</t>
    <phoneticPr fontId="13" type="noConversion"/>
  </si>
  <si>
    <t>任員</t>
    <phoneticPr fontId="13" type="noConversion"/>
  </si>
  <si>
    <t>直屬機構</t>
  </si>
  <si>
    <t>構造調整</t>
  </si>
  <si>
    <t>管理本부</t>
  </si>
  <si>
    <t>販     賣</t>
  </si>
  <si>
    <t>送 變 전</t>
  </si>
  <si>
    <t>전     力</t>
  </si>
  <si>
    <t>발   전   事   업   團</t>
  </si>
  <si>
    <t>原 子 力</t>
  </si>
  <si>
    <t>本       부</t>
  </si>
  <si>
    <t>事 업 團</t>
  </si>
  <si>
    <t>去 來 所</t>
  </si>
  <si>
    <t>南東</t>
  </si>
  <si>
    <t>中부</t>
  </si>
  <si>
    <t>西부</t>
  </si>
  <si>
    <t>南부</t>
  </si>
  <si>
    <t>東西</t>
  </si>
  <si>
    <t xml:space="preserve">     2001     1</t>
  </si>
  <si>
    <t xml:space="preserve">                  3</t>
  </si>
  <si>
    <t xml:space="preserve">     2001     4</t>
    <phoneticPr fontId="13" type="noConversion"/>
  </si>
  <si>
    <t xml:space="preserve">     2001     5</t>
    <phoneticPr fontId="13" type="noConversion"/>
  </si>
  <si>
    <t xml:space="preserve">     2001     6</t>
    <phoneticPr fontId="13" type="noConversion"/>
  </si>
  <si>
    <t xml:space="preserve">     2001     7</t>
    <phoneticPr fontId="13" type="noConversion"/>
  </si>
  <si>
    <t xml:space="preserve">     2001     8</t>
    <phoneticPr fontId="13" type="noConversion"/>
  </si>
  <si>
    <t xml:space="preserve">     2001     9</t>
    <phoneticPr fontId="13" type="noConversion"/>
  </si>
  <si>
    <t xml:space="preserve">     2001    10</t>
    <phoneticPr fontId="13" type="noConversion"/>
  </si>
  <si>
    <t xml:space="preserve">     2001    11</t>
    <phoneticPr fontId="13" type="noConversion"/>
  </si>
  <si>
    <t xml:space="preserve">     2001    12</t>
    <phoneticPr fontId="13" type="noConversion"/>
  </si>
  <si>
    <t>9901</t>
  </si>
  <si>
    <t>9902</t>
  </si>
  <si>
    <t xml:space="preserve">     2000     1</t>
  </si>
  <si>
    <t>9903</t>
  </si>
  <si>
    <t xml:space="preserve">                  2</t>
  </si>
  <si>
    <t>9904</t>
  </si>
  <si>
    <t>9905</t>
  </si>
  <si>
    <t xml:space="preserve">                  4</t>
  </si>
  <si>
    <t>9906</t>
  </si>
  <si>
    <t xml:space="preserve">                  5</t>
  </si>
  <si>
    <t>9907</t>
  </si>
  <si>
    <t xml:space="preserve">                  6</t>
  </si>
  <si>
    <t>9908</t>
  </si>
  <si>
    <t xml:space="preserve">                  7</t>
  </si>
  <si>
    <t>9909</t>
  </si>
  <si>
    <t xml:space="preserve">                  8</t>
  </si>
  <si>
    <t>9910</t>
  </si>
  <si>
    <t xml:space="preserve">                  9</t>
  </si>
  <si>
    <t>9911</t>
  </si>
  <si>
    <t xml:space="preserve">                 10</t>
  </si>
  <si>
    <t>9912</t>
  </si>
  <si>
    <t xml:space="preserve">                 11</t>
  </si>
  <si>
    <t xml:space="preserve">                 12</t>
  </si>
  <si>
    <t xml:space="preserve"> 한전(도서)계      [0.1 %]</t>
  </si>
  <si>
    <t xml:space="preserve"> 자회사 계         [59.9 %]</t>
  </si>
  <si>
    <t xml:space="preserve"> 한전,자회사 계   [59.9 %]</t>
  </si>
  <si>
    <t xml:space="preserve"> 타사발전계        [40.1 %]</t>
  </si>
  <si>
    <t xml:space="preserve"> 발전  총계         [100 %]</t>
  </si>
  <si>
    <t xml:space="preserve">            1</t>
  </si>
  <si>
    <t>2. 7(월)</t>
  </si>
  <si>
    <t>3. 23(수)</t>
  </si>
  <si>
    <t>4. 13(수)</t>
  </si>
  <si>
    <t>5. 30(월)</t>
  </si>
  <si>
    <t>6. 27(월)</t>
  </si>
  <si>
    <t>7. 7(목)</t>
  </si>
  <si>
    <t>8. 8(월)</t>
  </si>
  <si>
    <t>9. 16(금)</t>
  </si>
  <si>
    <t>10. 4(화)</t>
  </si>
  <si>
    <t>11. 30(수)</t>
  </si>
  <si>
    <t xml:space="preserve">  주2) 기타 : 증류탑폐열, 여열회수, 천연가스압터빈, 부생가스, 폐기물에너지('20년 1월 이후 신재생에서 기타로 분류)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</si>
</sst>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_ "/>
    <numFmt numFmtId="178" formatCode="\(0.0\);\(\-0.0\)"/>
    <numFmt numFmtId="179" formatCode="_-* #,##0.0_-;\-* #,##0.0_-;_-* &quot;-&quot;_-;_-@_-"/>
    <numFmt numFmtId="180" formatCode="#,##0.0"/>
    <numFmt numFmtId="181" formatCode="0_);[Red]\(0\)"/>
    <numFmt numFmtId="182" formatCode="0.0%"/>
    <numFmt numFmtId="183" formatCode="#,##0.00_ "/>
    <numFmt numFmtId="184" formatCode="_(* #,##0_);_(* \(#,##0\);_(* &quot;-&quot;_);_(@_)"/>
    <numFmt numFmtId="185" formatCode="_-* #,##0.00_-;\-* #,##0.00_-;_-* &quot;-&quot;_-;_-@_-"/>
    <numFmt numFmtId="186" formatCode="#,##0.00_);[Red]\(#,##0.00\)"/>
    <numFmt numFmtId="187" formatCode="_-* #,##0.0_-;\-* #,##0.0_-;_-* &quot;-&quot;?_-;_-@_-"/>
    <numFmt numFmtId="188" formatCode="0.0"/>
    <numFmt numFmtId="189" formatCode="#,##0_);[Red]\(#,##0\)"/>
    <numFmt numFmtId="190" formatCode="0.0_ "/>
    <numFmt numFmtId="191" formatCode="_-* #,##0.0000_-;\-* #,##0.0000_-;_-* &quot;-&quot;_-;_-@_-"/>
    <numFmt numFmtId="192" formatCode="#,##0.000_ "/>
    <numFmt numFmtId="193" formatCode="_-* #,##0.000_-;\-* #,##0.000_-;_-* &quot;-&quot;??_-;_-@_-"/>
    <numFmt numFmtId="194" formatCode="_ * #,##0_ ;_ * \-#,##0_ ;_ * &quot;-&quot;_ ;_ @_ "/>
    <numFmt numFmtId="195" formatCode="0.0_);[Red]\(0.0\)"/>
    <numFmt numFmtId="196" formatCode="0_ "/>
    <numFmt numFmtId="197" formatCode="0.00_ "/>
    <numFmt numFmtId="198" formatCode="#,##0.000000_ "/>
    <numFmt numFmtId="199" formatCode="_-* #,##0.000_-;\-* #,##0.000_-;_-* &quot;-&quot;_-;_-@_-"/>
    <numFmt numFmtId="200" formatCode="#,##0.000_);[Red]\(#,##0.000\)"/>
    <numFmt numFmtId="201" formatCode="mm&quot;월&quot;\ dd&quot;일&quot;"/>
    <numFmt numFmtId="202" formatCode="#,##0.0_);[Red]\(#,##0.0\)"/>
    <numFmt numFmtId="203" formatCode="_ * #,##0.00_ ;_ * \-#,##0.00_ ;_ * &quot;-&quot;_ ;_ @_ "/>
    <numFmt numFmtId="204" formatCode="_-* #,##0_-;\-* #,##0_-;_-* &quot;-&quot;??_-;_-@_-"/>
    <numFmt numFmtId="205" formatCode="#,##0_);\(#,##0\)"/>
    <numFmt numFmtId="206" formatCode="#,##0.000000_);[Red]\(#,##0.000000\)"/>
    <numFmt numFmtId="207" formatCode="#,##0.0000_);[Red]\(#,##0.0000\)"/>
  </numFmts>
  <fonts count="10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"/>
      <color rgb="FF000000"/>
      <name val="맑은 고딕"/>
      <family val="3"/>
      <charset val="129"/>
      <scheme val="minor"/>
    </font>
    <font>
      <b/>
      <sz val="2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6"/>
      <color theme="1"/>
      <name val="KoPub돋움체 Bold"/>
      <family val="1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22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.5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8.5"/>
      <name val="맑은 고딕"/>
      <family val="3"/>
      <charset val="129"/>
      <scheme val="minor"/>
    </font>
    <font>
      <b/>
      <i/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i/>
      <sz val="1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2"/>
      <name val="뼻뮝"/>
      <family val="3"/>
      <charset val="129"/>
    </font>
    <font>
      <sz val="8"/>
      <color theme="1"/>
      <name val="맑은 고딕"/>
      <family val="3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KoPub돋움체 Bold"/>
      <family val="1"/>
      <charset val="129"/>
    </font>
    <font>
      <sz val="11"/>
      <name val="바탕"/>
      <family val="1"/>
      <charset val="129"/>
    </font>
    <font>
      <sz val="12"/>
      <name val="돋움"/>
      <family val="3"/>
      <charset val="129"/>
    </font>
    <font>
      <sz val="7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9"/>
      <name val="바탕"/>
      <family val="1"/>
      <charset val="129"/>
    </font>
    <font>
      <sz val="10"/>
      <name val="돋움"/>
      <family val="3"/>
      <charset val="129"/>
    </font>
    <font>
      <sz val="6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2"/>
      <name val="돋움체"/>
      <family val="3"/>
      <charset val="129"/>
    </font>
    <font>
      <b/>
      <sz val="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6"/>
      <name val="바탕"/>
      <family val="1"/>
      <charset val="129"/>
    </font>
    <font>
      <sz val="9"/>
      <name val="돋움"/>
      <family val="3"/>
      <charset val="129"/>
    </font>
    <font>
      <sz val="7"/>
      <name val="바탕"/>
      <family val="1"/>
      <charset val="129"/>
    </font>
    <font>
      <sz val="10"/>
      <color theme="1"/>
      <name val="맑은 고딕"/>
      <family val="2"/>
      <charset val="129"/>
    </font>
    <font>
      <sz val="7"/>
      <name val="돋움"/>
      <family val="3"/>
      <charset val="129"/>
    </font>
    <font>
      <i/>
      <sz val="11"/>
      <name val="돋움"/>
      <family val="3"/>
      <charset val="129"/>
    </font>
    <font>
      <i/>
      <sz val="11"/>
      <color rgb="FFFF0000"/>
      <name val="돋움"/>
      <family val="3"/>
      <charset val="129"/>
    </font>
    <font>
      <i/>
      <sz val="7"/>
      <name val="맑은 고딕"/>
      <family val="3"/>
      <charset val="129"/>
      <scheme val="minor"/>
    </font>
    <font>
      <sz val="11"/>
      <name val="Times New Roman"/>
      <family val="1"/>
    </font>
    <font>
      <sz val="8"/>
      <name val="바탕"/>
      <family val="1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6"/>
      <name val="돋움"/>
      <family val="3"/>
      <charset val="129"/>
    </font>
    <font>
      <sz val="7"/>
      <name val="맑은 고딕"/>
      <family val="3"/>
      <charset val="129"/>
    </font>
    <font>
      <b/>
      <sz val="7"/>
      <name val="맑은 고딕"/>
      <family val="3"/>
      <charset val="129"/>
    </font>
    <font>
      <b/>
      <sz val="8"/>
      <name val="바탕"/>
      <family val="1"/>
      <charset val="129"/>
    </font>
    <font>
      <sz val="7.5"/>
      <name val="Times New Roman"/>
      <family val="1"/>
    </font>
    <font>
      <sz val="5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2"/>
      <name val="굴림체"/>
      <family val="3"/>
      <charset val="129"/>
    </font>
    <font>
      <i/>
      <sz val="9"/>
      <name val="맑은 고딕"/>
      <family val="3"/>
      <charset val="129"/>
      <scheme val="minor"/>
    </font>
    <font>
      <sz val="9"/>
      <name val="Times New Roman"/>
      <family val="1"/>
    </font>
    <font>
      <sz val="10"/>
      <color rgb="FFFF0000"/>
      <name val="맑은 고딕"/>
      <family val="3"/>
      <charset val="129"/>
      <scheme val="minor"/>
    </font>
    <font>
      <i/>
      <sz val="8"/>
      <name val="맑은 고딕"/>
      <family val="3"/>
      <charset val="129"/>
    </font>
    <font>
      <sz val="13"/>
      <color theme="1"/>
      <name val="KoPub돋움체 Bold"/>
      <family val="1"/>
      <charset val="129"/>
    </font>
    <font>
      <b/>
      <sz val="18"/>
      <color indexed="8"/>
      <name val="궁서체"/>
      <family val="1"/>
      <charset val="129"/>
    </font>
    <font>
      <sz val="12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u/>
      <sz val="11"/>
      <name val="맑은 고딕"/>
      <family val="3"/>
      <charset val="129"/>
      <scheme val="minor"/>
    </font>
    <font>
      <sz val="14"/>
      <name val="맑은 고딕"/>
      <family val="3"/>
      <charset val="129"/>
    </font>
    <font>
      <sz val="12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22"/>
      <color theme="0"/>
      <name val="돋움"/>
      <family val="3"/>
      <charset val="129"/>
    </font>
    <font>
      <sz val="16"/>
      <color theme="1"/>
      <name val="KBIZ한마음고딕 M"/>
      <family val="1"/>
      <charset val="129"/>
    </font>
    <font>
      <sz val="14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vertAlign val="superscript"/>
      <sz val="8"/>
      <name val="맑은 고딕"/>
      <family val="3"/>
      <charset val="129"/>
      <scheme val="minor"/>
    </font>
    <font>
      <sz val="9.5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9DCC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67">
    <border>
      <left/>
      <right/>
      <top/>
      <bottom/>
      <diagonal/>
    </border>
    <border>
      <left style="thin">
        <color rgb="FF9DCCF7"/>
      </left>
      <right style="thin">
        <color rgb="FF9DCCF7"/>
      </right>
      <top style="thin">
        <color rgb="FF9DCCF7"/>
      </top>
      <bottom style="thin">
        <color rgb="FF9DCCF7"/>
      </bottom>
      <diagonal/>
    </border>
    <border>
      <left style="thin">
        <color rgb="FF9DCCF7"/>
      </left>
      <right/>
      <top style="thin">
        <color rgb="FF9DCCF7"/>
      </top>
      <bottom style="thin">
        <color rgb="FF9DCCF7"/>
      </bottom>
      <diagonal/>
    </border>
    <border>
      <left/>
      <right/>
      <top style="thin">
        <color rgb="FF9DCCF7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theme="1"/>
      </bottom>
      <diagonal/>
    </border>
    <border>
      <left style="hair">
        <color indexed="64"/>
      </left>
      <right style="thin">
        <color indexed="64"/>
      </right>
      <top/>
      <bottom style="thin">
        <color theme="1"/>
      </bottom>
      <diagonal/>
    </border>
    <border>
      <left style="hair">
        <color theme="1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thin">
        <color indexed="64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theme="1"/>
      </right>
      <top style="thin">
        <color auto="1"/>
      </top>
      <bottom/>
      <diagonal/>
    </border>
    <border>
      <left style="hair">
        <color auto="1"/>
      </left>
      <right style="thin">
        <color theme="1"/>
      </right>
      <top/>
      <bottom style="thin">
        <color indexed="64"/>
      </bottom>
      <diagonal/>
    </border>
    <border>
      <left style="hair">
        <color auto="1"/>
      </left>
      <right style="thin">
        <color theme="1"/>
      </right>
      <top/>
      <bottom/>
      <diagonal/>
    </border>
    <border>
      <left style="hair">
        <color auto="1"/>
      </left>
      <right style="thin">
        <color theme="1"/>
      </right>
      <top/>
      <bottom style="hair">
        <color indexed="64"/>
      </bottom>
      <diagonal/>
    </border>
    <border>
      <left style="hair">
        <color auto="1"/>
      </left>
      <right style="thin">
        <color theme="1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11" fillId="0" borderId="0"/>
    <xf numFmtId="0" fontId="2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84" fontId="1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0" fontId="55" fillId="0" borderId="0"/>
    <xf numFmtId="194" fontId="5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55" fillId="0" borderId="0"/>
    <xf numFmtId="0" fontId="55" fillId="0" borderId="0"/>
    <xf numFmtId="0" fontId="63" fillId="0" borderId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184" fontId="11" fillId="0" borderId="0" applyFont="0" applyFill="0" applyBorder="0" applyAlignment="0" applyProtection="0"/>
    <xf numFmtId="0" fontId="1" fillId="0" borderId="0">
      <alignment vertical="center"/>
    </xf>
    <xf numFmtId="0" fontId="11" fillId="0" borderId="0"/>
  </cellStyleXfs>
  <cellXfs count="3196">
    <xf numFmtId="0" fontId="0" fillId="0" borderId="0" xfId="0">
      <alignment vertical="center"/>
    </xf>
    <xf numFmtId="0" fontId="2" fillId="0" borderId="0" xfId="1">
      <alignment vertical="center"/>
    </xf>
    <xf numFmtId="0" fontId="4" fillId="2" borderId="1" xfId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4" fillId="0" borderId="3" xfId="1" applyFont="1" applyBorder="1" applyAlignment="1">
      <alignment horizontal="justify" vertical="center" wrapText="1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2" fillId="3" borderId="0" xfId="1" applyFill="1">
      <alignment vertical="center"/>
    </xf>
    <xf numFmtId="0" fontId="10" fillId="0" borderId="0" xfId="1" applyFont="1" applyFill="1">
      <alignment vertical="center"/>
    </xf>
    <xf numFmtId="0" fontId="2" fillId="0" borderId="0" xfId="1" applyFont="1">
      <alignment vertical="center"/>
    </xf>
    <xf numFmtId="0" fontId="9" fillId="0" borderId="0" xfId="2" applyFont="1"/>
    <xf numFmtId="0" fontId="11" fillId="0" borderId="0" xfId="2"/>
    <xf numFmtId="0" fontId="9" fillId="0" borderId="0" xfId="2" applyFont="1" applyFill="1"/>
    <xf numFmtId="0" fontId="11" fillId="0" borderId="0" xfId="2" applyFill="1"/>
    <xf numFmtId="0" fontId="12" fillId="0" borderId="0" xfId="2" applyFont="1" applyFill="1" applyAlignment="1">
      <alignment horizontal="left"/>
    </xf>
    <xf numFmtId="0" fontId="8" fillId="0" borderId="0" xfId="2" applyFont="1" applyFill="1"/>
    <xf numFmtId="0" fontId="14" fillId="0" borderId="0" xfId="1" applyFont="1">
      <alignment vertical="center"/>
    </xf>
    <xf numFmtId="0" fontId="9" fillId="0" borderId="0" xfId="1" applyFont="1">
      <alignment vertical="center"/>
    </xf>
    <xf numFmtId="0" fontId="16" fillId="0" borderId="0" xfId="1" applyFont="1">
      <alignment vertical="center"/>
    </xf>
    <xf numFmtId="0" fontId="17" fillId="0" borderId="0" xfId="1" applyFont="1" applyFill="1">
      <alignment vertical="center"/>
    </xf>
    <xf numFmtId="0" fontId="18" fillId="0" borderId="0" xfId="1" applyFont="1" applyFill="1" applyAlignment="1">
      <alignment horizontal="right" vertical="center"/>
    </xf>
    <xf numFmtId="0" fontId="18" fillId="0" borderId="4" xfId="1" applyFont="1" applyFill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6" xfId="1" applyNumberFormat="1" applyFont="1" applyFill="1" applyBorder="1" applyAlignment="1">
      <alignment horizontal="center" vertical="center"/>
    </xf>
    <xf numFmtId="0" fontId="19" fillId="0" borderId="0" xfId="1" applyFont="1" applyFill="1" applyBorder="1">
      <alignment vertical="center"/>
    </xf>
    <xf numFmtId="0" fontId="20" fillId="4" borderId="4" xfId="1" applyFont="1" applyFill="1" applyBorder="1" applyAlignment="1">
      <alignment horizontal="center" vertical="center"/>
    </xf>
    <xf numFmtId="176" fontId="21" fillId="4" borderId="7" xfId="1" applyNumberFormat="1" applyFont="1" applyFill="1" applyBorder="1">
      <alignment vertical="center"/>
    </xf>
    <xf numFmtId="176" fontId="21" fillId="4" borderId="8" xfId="1" applyNumberFormat="1" applyFont="1" applyFill="1" applyBorder="1">
      <alignment vertical="center"/>
    </xf>
    <xf numFmtId="177" fontId="21" fillId="4" borderId="0" xfId="1" applyNumberFormat="1" applyFont="1" applyFill="1" applyBorder="1">
      <alignment vertical="center"/>
    </xf>
    <xf numFmtId="0" fontId="18" fillId="4" borderId="9" xfId="1" applyFont="1" applyFill="1" applyBorder="1" applyAlignment="1">
      <alignment horizontal="center" vertical="center"/>
    </xf>
    <xf numFmtId="178" fontId="6" fillId="4" borderId="10" xfId="3" applyNumberFormat="1" applyFont="1" applyFill="1" applyBorder="1" applyAlignment="1">
      <alignment horizontal="right" vertical="center"/>
    </xf>
    <xf numFmtId="178" fontId="6" fillId="4" borderId="11" xfId="3" applyNumberFormat="1" applyFont="1" applyFill="1" applyBorder="1" applyAlignment="1">
      <alignment horizontal="right" vertical="center"/>
    </xf>
    <xf numFmtId="176" fontId="6" fillId="0" borderId="12" xfId="3" applyNumberFormat="1" applyFont="1" applyFill="1" applyBorder="1" applyAlignment="1">
      <alignment horizontal="right" vertical="center"/>
    </xf>
    <xf numFmtId="176" fontId="6" fillId="0" borderId="13" xfId="3" applyNumberFormat="1" applyFont="1" applyFill="1" applyBorder="1" applyAlignment="1">
      <alignment horizontal="right" vertical="center"/>
    </xf>
    <xf numFmtId="0" fontId="18" fillId="0" borderId="14" xfId="1" applyFont="1" applyFill="1" applyBorder="1" applyAlignment="1">
      <alignment horizontal="center" vertical="center"/>
    </xf>
    <xf numFmtId="178" fontId="6" fillId="0" borderId="15" xfId="3" applyNumberFormat="1" applyFont="1" applyFill="1" applyBorder="1" applyAlignment="1">
      <alignment horizontal="right" vertical="center"/>
    </xf>
    <xf numFmtId="178" fontId="6" fillId="0" borderId="16" xfId="3" applyNumberFormat="1" applyFont="1" applyFill="1" applyBorder="1" applyAlignment="1">
      <alignment horizontal="right" vertical="center"/>
    </xf>
    <xf numFmtId="0" fontId="18" fillId="0" borderId="17" xfId="1" applyFont="1" applyFill="1" applyBorder="1" applyAlignment="1">
      <alignment horizontal="center" vertical="center"/>
    </xf>
    <xf numFmtId="176" fontId="6" fillId="0" borderId="18" xfId="3" applyNumberFormat="1" applyFont="1" applyFill="1" applyBorder="1" applyAlignment="1">
      <alignment horizontal="right" vertical="center"/>
    </xf>
    <xf numFmtId="176" fontId="6" fillId="0" borderId="19" xfId="3" applyNumberFormat="1" applyFont="1" applyFill="1" applyBorder="1" applyAlignment="1">
      <alignment horizontal="right" vertical="center"/>
    </xf>
    <xf numFmtId="0" fontId="18" fillId="0" borderId="9" xfId="1" applyFont="1" applyFill="1" applyBorder="1" applyAlignment="1">
      <alignment horizontal="center" vertical="center"/>
    </xf>
    <xf numFmtId="178" fontId="6" fillId="0" borderId="20" xfId="3" applyNumberFormat="1" applyFont="1" applyFill="1" applyBorder="1" applyAlignment="1">
      <alignment horizontal="right" vertical="center"/>
    </xf>
    <xf numFmtId="178" fontId="6" fillId="0" borderId="21" xfId="3" applyNumberFormat="1" applyFont="1" applyFill="1" applyBorder="1" applyAlignment="1">
      <alignment horizontal="right" vertical="center"/>
    </xf>
    <xf numFmtId="0" fontId="22" fillId="0" borderId="0" xfId="1" applyFont="1" applyFill="1" applyBorder="1" applyAlignment="1">
      <alignment vertical="center"/>
    </xf>
    <xf numFmtId="178" fontId="6" fillId="0" borderId="0" xfId="3" applyNumberFormat="1" applyFont="1" applyFill="1" applyBorder="1" applyAlignment="1">
      <alignment horizontal="right" vertical="center"/>
    </xf>
    <xf numFmtId="0" fontId="22" fillId="0" borderId="0" xfId="1" applyFont="1" applyFill="1">
      <alignment vertical="center"/>
    </xf>
    <xf numFmtId="0" fontId="18" fillId="0" borderId="0" xfId="1" applyFont="1" applyFill="1">
      <alignment vertical="center"/>
    </xf>
    <xf numFmtId="0" fontId="9" fillId="0" borderId="0" xfId="3" applyFont="1">
      <alignment vertical="center"/>
    </xf>
    <xf numFmtId="0" fontId="16" fillId="0" borderId="0" xfId="3" applyFont="1" applyFill="1">
      <alignment vertical="center"/>
    </xf>
    <xf numFmtId="0" fontId="9" fillId="0" borderId="0" xfId="3" applyFont="1" applyFill="1">
      <alignment vertical="center"/>
    </xf>
    <xf numFmtId="0" fontId="17" fillId="0" borderId="0" xfId="3" applyFont="1" applyFill="1">
      <alignment vertical="center"/>
    </xf>
    <xf numFmtId="0" fontId="18" fillId="0" borderId="0" xfId="3" applyFont="1" applyFill="1" applyAlignment="1">
      <alignment horizontal="right" vertical="center"/>
    </xf>
    <xf numFmtId="0" fontId="8" fillId="0" borderId="0" xfId="3" applyFont="1" applyFill="1">
      <alignment vertical="center"/>
    </xf>
    <xf numFmtId="0" fontId="18" fillId="0" borderId="4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6" xfId="3" applyNumberFormat="1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20" fillId="4" borderId="4" xfId="3" applyFont="1" applyFill="1" applyBorder="1" applyAlignment="1">
      <alignment horizontal="center" vertical="center"/>
    </xf>
    <xf numFmtId="176" fontId="21" fillId="4" borderId="7" xfId="3" applyNumberFormat="1" applyFont="1" applyFill="1" applyBorder="1">
      <alignment vertical="center"/>
    </xf>
    <xf numFmtId="176" fontId="21" fillId="4" borderId="8" xfId="3" applyNumberFormat="1" applyFont="1" applyFill="1" applyBorder="1">
      <alignment vertical="center"/>
    </xf>
    <xf numFmtId="176" fontId="21" fillId="4" borderId="0" xfId="3" applyNumberFormat="1" applyFont="1" applyFill="1" applyBorder="1">
      <alignment vertical="center"/>
    </xf>
    <xf numFmtId="0" fontId="18" fillId="4" borderId="9" xfId="3" applyFont="1" applyFill="1" applyBorder="1" applyAlignment="1">
      <alignment horizontal="center" vertical="center"/>
    </xf>
    <xf numFmtId="177" fontId="21" fillId="4" borderId="0" xfId="3" applyNumberFormat="1" applyFont="1" applyFill="1" applyBorder="1">
      <alignment vertical="center"/>
    </xf>
    <xf numFmtId="176" fontId="6" fillId="0" borderId="0" xfId="3" applyNumberFormat="1" applyFont="1" applyFill="1" applyBorder="1">
      <alignment vertical="center"/>
    </xf>
    <xf numFmtId="0" fontId="18" fillId="0" borderId="14" xfId="3" applyFont="1" applyFill="1" applyBorder="1" applyAlignment="1">
      <alignment horizontal="center" vertical="center"/>
    </xf>
    <xf numFmtId="0" fontId="18" fillId="0" borderId="17" xfId="3" applyFont="1" applyFill="1" applyBorder="1" applyAlignment="1">
      <alignment horizontal="center" vertical="center"/>
    </xf>
    <xf numFmtId="178" fontId="6" fillId="0" borderId="22" xfId="3" applyNumberFormat="1" applyFont="1" applyFill="1" applyBorder="1" applyAlignment="1">
      <alignment horizontal="right" vertical="center"/>
    </xf>
    <xf numFmtId="178" fontId="6" fillId="0" borderId="23" xfId="3" applyNumberFormat="1" applyFont="1" applyFill="1" applyBorder="1" applyAlignment="1">
      <alignment horizontal="right" vertical="center"/>
    </xf>
    <xf numFmtId="178" fontId="6" fillId="0" borderId="24" xfId="3" applyNumberFormat="1" applyFont="1" applyFill="1" applyBorder="1" applyAlignment="1">
      <alignment horizontal="right" vertical="center"/>
    </xf>
    <xf numFmtId="0" fontId="18" fillId="0" borderId="25" xfId="3" applyFont="1" applyFill="1" applyBorder="1" applyAlignment="1">
      <alignment horizontal="center" vertical="center"/>
    </xf>
    <xf numFmtId="176" fontId="6" fillId="0" borderId="12" xfId="3" quotePrefix="1" applyNumberFormat="1" applyFont="1" applyFill="1" applyBorder="1" applyAlignment="1">
      <alignment horizontal="right" vertical="center"/>
    </xf>
    <xf numFmtId="0" fontId="18" fillId="0" borderId="9" xfId="3" applyFont="1" applyFill="1" applyBorder="1" applyAlignment="1">
      <alignment horizontal="center" vertical="center"/>
    </xf>
    <xf numFmtId="178" fontId="6" fillId="0" borderId="20" xfId="3" quotePrefix="1" applyNumberFormat="1" applyFont="1" applyFill="1" applyBorder="1" applyAlignment="1">
      <alignment horizontal="right" vertical="center"/>
    </xf>
    <xf numFmtId="178" fontId="6" fillId="0" borderId="21" xfId="3" quotePrefix="1" applyNumberFormat="1" applyFont="1" applyFill="1" applyBorder="1" applyAlignment="1">
      <alignment horizontal="right" vertical="center"/>
    </xf>
    <xf numFmtId="0" fontId="22" fillId="0" borderId="0" xfId="3" applyFont="1" applyFill="1">
      <alignment vertical="center"/>
    </xf>
    <xf numFmtId="0" fontId="19" fillId="0" borderId="26" xfId="3" applyFont="1" applyFill="1" applyBorder="1" applyAlignment="1">
      <alignment horizontal="center" vertical="center"/>
    </xf>
    <xf numFmtId="2" fontId="6" fillId="0" borderId="27" xfId="3" applyNumberFormat="1" applyFont="1" applyFill="1" applyBorder="1" applyAlignment="1">
      <alignment horizontal="center" vertical="center"/>
    </xf>
    <xf numFmtId="2" fontId="23" fillId="0" borderId="27" xfId="3" applyNumberFormat="1" applyFont="1" applyFill="1" applyBorder="1" applyAlignment="1">
      <alignment horizontal="center" vertical="center"/>
    </xf>
    <xf numFmtId="2" fontId="23" fillId="0" borderId="28" xfId="3" applyNumberFormat="1" applyFont="1" applyFill="1" applyBorder="1" applyAlignment="1">
      <alignment horizontal="center" vertical="center"/>
    </xf>
    <xf numFmtId="0" fontId="24" fillId="0" borderId="0" xfId="3" applyFont="1">
      <alignment vertical="center"/>
    </xf>
    <xf numFmtId="0" fontId="25" fillId="4" borderId="26" xfId="3" applyFont="1" applyFill="1" applyBorder="1" applyAlignment="1">
      <alignment horizontal="center" vertical="center"/>
    </xf>
    <xf numFmtId="176" fontId="21" fillId="4" borderId="27" xfId="3" applyNumberFormat="1" applyFont="1" applyFill="1" applyBorder="1" applyAlignment="1">
      <alignment horizontal="right" vertical="center"/>
    </xf>
    <xf numFmtId="176" fontId="26" fillId="4" borderId="27" xfId="3" applyNumberFormat="1" applyFont="1" applyFill="1" applyBorder="1" applyAlignment="1">
      <alignment horizontal="right" vertical="center"/>
    </xf>
    <xf numFmtId="176" fontId="26" fillId="4" borderId="29" xfId="3" applyNumberFormat="1" applyFont="1" applyFill="1" applyBorder="1" applyAlignment="1">
      <alignment horizontal="right" vertical="center"/>
    </xf>
    <xf numFmtId="0" fontId="19" fillId="4" borderId="30" xfId="3" applyFont="1" applyFill="1" applyBorder="1" applyAlignment="1">
      <alignment horizontal="center" vertical="center"/>
    </xf>
    <xf numFmtId="178" fontId="23" fillId="4" borderId="10" xfId="3" applyNumberFormat="1" applyFont="1" applyFill="1" applyBorder="1" applyAlignment="1">
      <alignment horizontal="right" vertical="center"/>
    </xf>
    <xf numFmtId="178" fontId="23" fillId="4" borderId="11" xfId="3" applyNumberFormat="1" applyFont="1" applyFill="1" applyBorder="1" applyAlignment="1">
      <alignment horizontal="right" vertical="center"/>
    </xf>
    <xf numFmtId="177" fontId="9" fillId="0" borderId="0" xfId="4" applyNumberFormat="1" applyFont="1">
      <alignment vertical="center"/>
    </xf>
    <xf numFmtId="0" fontId="19" fillId="0" borderId="31" xfId="3" applyFont="1" applyFill="1" applyBorder="1" applyAlignment="1">
      <alignment horizontal="center" vertical="center"/>
    </xf>
    <xf numFmtId="176" fontId="23" fillId="0" borderId="12" xfId="3" applyNumberFormat="1" applyFont="1" applyFill="1" applyBorder="1" applyAlignment="1">
      <alignment horizontal="right" vertical="center"/>
    </xf>
    <xf numFmtId="176" fontId="23" fillId="0" borderId="13" xfId="3" applyNumberFormat="1" applyFont="1" applyFill="1" applyBorder="1" applyAlignment="1">
      <alignment horizontal="right" vertical="center"/>
    </xf>
    <xf numFmtId="0" fontId="19" fillId="0" borderId="32" xfId="3" applyFont="1" applyFill="1" applyBorder="1" applyAlignment="1">
      <alignment horizontal="center" vertical="center"/>
    </xf>
    <xf numFmtId="178" fontId="23" fillId="0" borderId="15" xfId="3" applyNumberFormat="1" applyFont="1" applyFill="1" applyBorder="1" applyAlignment="1">
      <alignment horizontal="right" vertical="center"/>
    </xf>
    <xf numFmtId="178" fontId="23" fillId="0" borderId="16" xfId="3" applyNumberFormat="1" applyFont="1" applyFill="1" applyBorder="1" applyAlignment="1">
      <alignment horizontal="right" vertical="center"/>
    </xf>
    <xf numFmtId="0" fontId="19" fillId="0" borderId="33" xfId="3" applyFont="1" applyFill="1" applyBorder="1" applyAlignment="1">
      <alignment horizontal="center" vertical="center"/>
    </xf>
    <xf numFmtId="176" fontId="23" fillId="0" borderId="18" xfId="3" applyNumberFormat="1" applyFont="1" applyFill="1" applyBorder="1" applyAlignment="1">
      <alignment horizontal="right" vertical="center"/>
    </xf>
    <xf numFmtId="176" fontId="23" fillId="0" borderId="19" xfId="3" applyNumberFormat="1" applyFont="1" applyFill="1" applyBorder="1" applyAlignment="1">
      <alignment horizontal="right" vertical="center"/>
    </xf>
    <xf numFmtId="178" fontId="6" fillId="0" borderId="12" xfId="3" applyNumberFormat="1" applyFont="1" applyFill="1" applyBorder="1" applyAlignment="1">
      <alignment horizontal="right" vertical="center"/>
    </xf>
    <xf numFmtId="178" fontId="23" fillId="0" borderId="12" xfId="3" applyNumberFormat="1" applyFont="1" applyFill="1" applyBorder="1" applyAlignment="1">
      <alignment horizontal="right" vertical="center"/>
    </xf>
    <xf numFmtId="178" fontId="23" fillId="0" borderId="13" xfId="3" applyNumberFormat="1" applyFont="1" applyFill="1" applyBorder="1" applyAlignment="1">
      <alignment horizontal="right" vertical="center"/>
    </xf>
    <xf numFmtId="0" fontId="19" fillId="0" borderId="30" xfId="3" applyFont="1" applyFill="1" applyBorder="1" applyAlignment="1">
      <alignment horizontal="center" vertical="center"/>
    </xf>
    <xf numFmtId="178" fontId="6" fillId="0" borderId="10" xfId="3" applyNumberFormat="1" applyFont="1" applyFill="1" applyBorder="1" applyAlignment="1">
      <alignment horizontal="right" vertical="center"/>
    </xf>
    <xf numFmtId="178" fontId="23" fillId="0" borderId="10" xfId="3" applyNumberFormat="1" applyFont="1" applyFill="1" applyBorder="1" applyAlignment="1">
      <alignment horizontal="right" vertical="center"/>
    </xf>
    <xf numFmtId="178" fontId="23" fillId="0" borderId="11" xfId="3" applyNumberFormat="1" applyFont="1" applyFill="1" applyBorder="1" applyAlignment="1">
      <alignment horizontal="right" vertical="center"/>
    </xf>
    <xf numFmtId="0" fontId="22" fillId="0" borderId="0" xfId="3" applyFont="1">
      <alignment vertical="center"/>
    </xf>
    <xf numFmtId="179" fontId="9" fillId="0" borderId="0" xfId="4" applyNumberFormat="1" applyFont="1">
      <alignment vertical="center"/>
    </xf>
    <xf numFmtId="0" fontId="18" fillId="0" borderId="0" xfId="3" applyFont="1">
      <alignment vertical="center"/>
    </xf>
    <xf numFmtId="176" fontId="9" fillId="0" borderId="0" xfId="3" applyNumberFormat="1" applyFont="1">
      <alignment vertical="center"/>
    </xf>
    <xf numFmtId="0" fontId="16" fillId="0" borderId="0" xfId="3" applyFont="1">
      <alignment vertical="center"/>
    </xf>
    <xf numFmtId="0" fontId="6" fillId="0" borderId="27" xfId="3" applyFont="1" applyFill="1" applyBorder="1" applyAlignment="1">
      <alignment horizontal="center" vertical="center"/>
    </xf>
    <xf numFmtId="49" fontId="23" fillId="0" borderId="27" xfId="3" applyNumberFormat="1" applyFont="1" applyFill="1" applyBorder="1" applyAlignment="1">
      <alignment horizontal="center" vertical="center"/>
    </xf>
    <xf numFmtId="2" fontId="23" fillId="0" borderId="34" xfId="3" applyNumberFormat="1" applyFont="1" applyFill="1" applyBorder="1" applyAlignment="1">
      <alignment horizontal="center" vertical="center"/>
    </xf>
    <xf numFmtId="176" fontId="26" fillId="4" borderId="35" xfId="3" applyNumberFormat="1" applyFont="1" applyFill="1" applyBorder="1" applyAlignment="1">
      <alignment horizontal="right" vertical="center"/>
    </xf>
    <xf numFmtId="176" fontId="23" fillId="4" borderId="0" xfId="3" applyNumberFormat="1" applyFont="1" applyFill="1" applyBorder="1" applyAlignment="1">
      <alignment horizontal="right" vertical="center"/>
    </xf>
    <xf numFmtId="178" fontId="23" fillId="4" borderId="36" xfId="3" applyNumberFormat="1" applyFont="1" applyFill="1" applyBorder="1" applyAlignment="1">
      <alignment horizontal="right" vertical="center"/>
    </xf>
    <xf numFmtId="176" fontId="23" fillId="0" borderId="37" xfId="3" applyNumberFormat="1" applyFont="1" applyFill="1" applyBorder="1" applyAlignment="1">
      <alignment horizontal="right" vertical="center"/>
    </xf>
    <xf numFmtId="178" fontId="23" fillId="0" borderId="38" xfId="3" applyNumberFormat="1" applyFont="1" applyFill="1" applyBorder="1" applyAlignment="1">
      <alignment horizontal="right" vertical="center"/>
    </xf>
    <xf numFmtId="176" fontId="23" fillId="0" borderId="39" xfId="3" applyNumberFormat="1" applyFont="1" applyFill="1" applyBorder="1" applyAlignment="1">
      <alignment horizontal="right" vertical="center"/>
    </xf>
    <xf numFmtId="0" fontId="19" fillId="0" borderId="32" xfId="3" applyFont="1" applyBorder="1" applyAlignment="1">
      <alignment horizontal="center" vertical="center"/>
    </xf>
    <xf numFmtId="178" fontId="6" fillId="0" borderId="15" xfId="3" applyNumberFormat="1" applyFont="1" applyBorder="1" applyAlignment="1">
      <alignment horizontal="right" vertical="center"/>
    </xf>
    <xf numFmtId="178" fontId="23" fillId="0" borderId="15" xfId="3" applyNumberFormat="1" applyFont="1" applyBorder="1" applyAlignment="1">
      <alignment horizontal="right" vertical="center"/>
    </xf>
    <xf numFmtId="178" fontId="23" fillId="0" borderId="38" xfId="3" applyNumberFormat="1" applyFont="1" applyBorder="1" applyAlignment="1">
      <alignment horizontal="right" vertical="center"/>
    </xf>
    <xf numFmtId="176" fontId="23" fillId="0" borderId="12" xfId="3" quotePrefix="1" applyNumberFormat="1" applyFont="1" applyFill="1" applyBorder="1" applyAlignment="1">
      <alignment horizontal="right" vertical="center"/>
    </xf>
    <xf numFmtId="178" fontId="23" fillId="0" borderId="20" xfId="3" quotePrefix="1" applyNumberFormat="1" applyFont="1" applyFill="1" applyBorder="1" applyAlignment="1">
      <alignment horizontal="right" vertical="center"/>
    </xf>
    <xf numFmtId="178" fontId="23" fillId="0" borderId="36" xfId="3" applyNumberFormat="1" applyFont="1" applyFill="1" applyBorder="1" applyAlignment="1">
      <alignment horizontal="right" vertical="center"/>
    </xf>
    <xf numFmtId="0" fontId="28" fillId="0" borderId="0" xfId="3" applyFont="1">
      <alignment vertical="center"/>
    </xf>
    <xf numFmtId="49" fontId="9" fillId="0" borderId="0" xfId="3" applyNumberFormat="1" applyFont="1">
      <alignment vertical="center"/>
    </xf>
    <xf numFmtId="2" fontId="6" fillId="0" borderId="28" xfId="3" applyNumberFormat="1" applyFont="1" applyFill="1" applyBorder="1" applyAlignment="1">
      <alignment horizontal="center" vertical="center"/>
    </xf>
    <xf numFmtId="176" fontId="21" fillId="4" borderId="40" xfId="3" applyNumberFormat="1" applyFont="1" applyFill="1" applyBorder="1" applyAlignment="1">
      <alignment horizontal="right" vertical="center"/>
    </xf>
    <xf numFmtId="178" fontId="6" fillId="4" borderId="11" xfId="5" applyNumberFormat="1" applyFont="1" applyFill="1" applyBorder="1" applyAlignment="1">
      <alignment horizontal="right" vertical="center"/>
    </xf>
    <xf numFmtId="179" fontId="9" fillId="0" borderId="0" xfId="5" applyNumberFormat="1" applyFont="1">
      <alignment vertical="center"/>
    </xf>
    <xf numFmtId="0" fontId="19" fillId="0" borderId="30" xfId="3" applyFont="1" applyBorder="1" applyAlignment="1">
      <alignment horizontal="center" vertical="center"/>
    </xf>
    <xf numFmtId="178" fontId="6" fillId="0" borderId="10" xfId="3" applyNumberFormat="1" applyFont="1" applyBorder="1" applyAlignment="1">
      <alignment horizontal="right" vertical="center"/>
    </xf>
    <xf numFmtId="178" fontId="6" fillId="0" borderId="11" xfId="3" applyNumberFormat="1" applyFont="1" applyFill="1" applyBorder="1" applyAlignment="1">
      <alignment horizontal="right" vertical="center"/>
    </xf>
    <xf numFmtId="49" fontId="6" fillId="0" borderId="41" xfId="3" applyNumberFormat="1" applyFont="1" applyFill="1" applyBorder="1" applyAlignment="1">
      <alignment horizontal="right" vertical="center"/>
    </xf>
    <xf numFmtId="49" fontId="6" fillId="0" borderId="27" xfId="3" applyNumberFormat="1" applyFont="1" applyFill="1" applyBorder="1" applyAlignment="1">
      <alignment horizontal="center" vertical="center"/>
    </xf>
    <xf numFmtId="178" fontId="6" fillId="0" borderId="13" xfId="3" applyNumberFormat="1" applyFont="1" applyFill="1" applyBorder="1" applyAlignment="1">
      <alignment horizontal="right" vertical="center"/>
    </xf>
    <xf numFmtId="0" fontId="19" fillId="0" borderId="33" xfId="3" applyFont="1" applyBorder="1" applyAlignment="1">
      <alignment horizontal="center" vertical="center"/>
    </xf>
    <xf numFmtId="176" fontId="6" fillId="0" borderId="18" xfId="3" applyNumberFormat="1" applyFont="1" applyBorder="1" applyAlignment="1">
      <alignment horizontal="right" vertical="center"/>
    </xf>
    <xf numFmtId="176" fontId="6" fillId="0" borderId="19" xfId="3" applyNumberFormat="1" applyFont="1" applyBorder="1" applyAlignment="1">
      <alignment horizontal="right" vertical="center"/>
    </xf>
    <xf numFmtId="0" fontId="2" fillId="0" borderId="0" xfId="3" applyFont="1">
      <alignment vertical="center"/>
    </xf>
    <xf numFmtId="0" fontId="29" fillId="0" borderId="0" xfId="3" applyFont="1" applyAlignment="1">
      <alignment vertical="center"/>
    </xf>
    <xf numFmtId="2" fontId="6" fillId="0" borderId="7" xfId="3" applyNumberFormat="1" applyFont="1" applyFill="1" applyBorder="1" applyAlignment="1">
      <alignment horizontal="center" vertical="center"/>
    </xf>
    <xf numFmtId="2" fontId="6" fillId="0" borderId="42" xfId="3" applyNumberFormat="1" applyFont="1" applyFill="1" applyBorder="1" applyAlignment="1">
      <alignment horizontal="center" vertical="center"/>
    </xf>
    <xf numFmtId="0" fontId="20" fillId="4" borderId="45" xfId="3" applyFont="1" applyFill="1" applyBorder="1" applyAlignment="1">
      <alignment horizontal="center" vertical="center"/>
    </xf>
    <xf numFmtId="176" fontId="21" fillId="4" borderId="5" xfId="3" applyNumberFormat="1" applyFont="1" applyFill="1" applyBorder="1">
      <alignment vertical="center"/>
    </xf>
    <xf numFmtId="176" fontId="21" fillId="4" borderId="42" xfId="3" applyNumberFormat="1" applyFont="1" applyFill="1" applyBorder="1">
      <alignment vertical="center"/>
    </xf>
    <xf numFmtId="176" fontId="6" fillId="0" borderId="49" xfId="3" applyNumberFormat="1" applyFont="1" applyFill="1" applyBorder="1">
      <alignment vertical="center"/>
    </xf>
    <xf numFmtId="176" fontId="6" fillId="0" borderId="50" xfId="3" applyNumberFormat="1" applyFont="1" applyFill="1" applyBorder="1">
      <alignment vertical="center"/>
    </xf>
    <xf numFmtId="41" fontId="6" fillId="0" borderId="31" xfId="6" applyFont="1" applyBorder="1" applyAlignment="1">
      <alignment vertical="center"/>
    </xf>
    <xf numFmtId="41" fontId="6" fillId="0" borderId="12" xfId="6" applyFont="1" applyBorder="1" applyAlignment="1">
      <alignment vertical="center"/>
    </xf>
    <xf numFmtId="41" fontId="6" fillId="0" borderId="12" xfId="6" applyFont="1" applyBorder="1" applyAlignment="1">
      <alignment horizontal="center" vertical="center"/>
    </xf>
    <xf numFmtId="20" fontId="6" fillId="0" borderId="12" xfId="6" quotePrefix="1" applyNumberFormat="1" applyFont="1" applyBorder="1" applyAlignment="1">
      <alignment horizontal="right" vertical="center"/>
    </xf>
    <xf numFmtId="41" fontId="6" fillId="0" borderId="12" xfId="6" quotePrefix="1" applyFont="1" applyFill="1" applyBorder="1" applyAlignment="1">
      <alignment horizontal="right" vertical="center"/>
    </xf>
    <xf numFmtId="177" fontId="6" fillId="0" borderId="12" xfId="6" quotePrefix="1" applyNumberFormat="1" applyFont="1" applyFill="1" applyBorder="1" applyAlignment="1">
      <alignment horizontal="right" vertical="center"/>
    </xf>
    <xf numFmtId="179" fontId="6" fillId="0" borderId="12" xfId="6" quotePrefix="1" applyNumberFormat="1" applyFont="1" applyFill="1" applyBorder="1" applyAlignment="1">
      <alignment horizontal="right" vertical="center"/>
    </xf>
    <xf numFmtId="179" fontId="6" fillId="0" borderId="13" xfId="6" quotePrefix="1" applyNumberFormat="1" applyFont="1" applyFill="1" applyBorder="1" applyAlignment="1">
      <alignment horizontal="right" vertical="center"/>
    </xf>
    <xf numFmtId="0" fontId="18" fillId="0" borderId="51" xfId="3" applyFont="1" applyFill="1" applyBorder="1" applyAlignment="1">
      <alignment horizontal="center" vertical="center"/>
    </xf>
    <xf numFmtId="176" fontId="6" fillId="0" borderId="52" xfId="3" applyNumberFormat="1" applyFont="1" applyFill="1" applyBorder="1">
      <alignment vertical="center"/>
    </xf>
    <xf numFmtId="176" fontId="6" fillId="0" borderId="53" xfId="3" applyNumberFormat="1" applyFont="1" applyFill="1" applyBorder="1">
      <alignment vertical="center"/>
    </xf>
    <xf numFmtId="176" fontId="23" fillId="0" borderId="52" xfId="3" applyNumberFormat="1" applyFont="1" applyFill="1" applyBorder="1">
      <alignment vertical="center"/>
    </xf>
    <xf numFmtId="176" fontId="23" fillId="0" borderId="53" xfId="3" applyNumberFormat="1" applyFont="1" applyFill="1" applyBorder="1">
      <alignment vertical="center"/>
    </xf>
    <xf numFmtId="177" fontId="6" fillId="0" borderId="54" xfId="3" applyNumberFormat="1" applyFont="1" applyFill="1" applyBorder="1">
      <alignment vertical="center"/>
    </xf>
    <xf numFmtId="177" fontId="6" fillId="0" borderId="55" xfId="3" applyNumberFormat="1" applyFont="1" applyFill="1" applyBorder="1">
      <alignment vertical="center"/>
    </xf>
    <xf numFmtId="0" fontId="18" fillId="0" borderId="56" xfId="3" applyFont="1" applyFill="1" applyBorder="1" applyAlignment="1">
      <alignment horizontal="center" vertical="center"/>
    </xf>
    <xf numFmtId="177" fontId="6" fillId="0" borderId="57" xfId="3" applyNumberFormat="1" applyFont="1" applyFill="1" applyBorder="1">
      <alignment vertical="center"/>
    </xf>
    <xf numFmtId="177" fontId="23" fillId="0" borderId="57" xfId="3" applyNumberFormat="1" applyFont="1" applyFill="1" applyBorder="1">
      <alignment vertical="center"/>
    </xf>
    <xf numFmtId="177" fontId="23" fillId="0" borderId="58" xfId="3" applyNumberFormat="1" applyFont="1" applyFill="1" applyBorder="1">
      <alignment vertical="center"/>
    </xf>
    <xf numFmtId="0" fontId="17" fillId="0" borderId="0" xfId="3" applyFont="1">
      <alignment vertical="center"/>
    </xf>
    <xf numFmtId="2" fontId="22" fillId="0" borderId="63" xfId="3" applyNumberFormat="1" applyFont="1" applyBorder="1" applyAlignment="1">
      <alignment horizontal="center" vertical="center"/>
    </xf>
    <xf numFmtId="2" fontId="22" fillId="0" borderId="64" xfId="3" applyNumberFormat="1" applyFont="1" applyBorder="1" applyAlignment="1">
      <alignment horizontal="center" vertical="center"/>
    </xf>
    <xf numFmtId="0" fontId="22" fillId="0" borderId="64" xfId="3" applyFont="1" applyBorder="1" applyAlignment="1">
      <alignment horizontal="center" vertical="center"/>
    </xf>
    <xf numFmtId="0" fontId="22" fillId="0" borderId="65" xfId="3" applyFont="1" applyBorder="1" applyAlignment="1">
      <alignment horizontal="center" vertical="center"/>
    </xf>
    <xf numFmtId="0" fontId="22" fillId="0" borderId="66" xfId="3" applyFont="1" applyBorder="1" applyAlignment="1">
      <alignment horizontal="center" vertical="center"/>
    </xf>
    <xf numFmtId="0" fontId="22" fillId="0" borderId="16" xfId="3" applyFont="1" applyBorder="1" applyAlignment="1">
      <alignment horizontal="center" vertical="center"/>
    </xf>
    <xf numFmtId="41" fontId="22" fillId="0" borderId="32" xfId="5" applyFont="1" applyBorder="1" applyAlignment="1">
      <alignment horizontal="center" vertical="center"/>
    </xf>
    <xf numFmtId="41" fontId="22" fillId="0" borderId="15" xfId="5" applyFont="1" applyBorder="1" applyAlignment="1">
      <alignment horizontal="center" vertical="center"/>
    </xf>
    <xf numFmtId="182" fontId="22" fillId="0" borderId="16" xfId="7" applyNumberFormat="1" applyFont="1" applyBorder="1" applyAlignment="1">
      <alignment horizontal="center" vertical="center"/>
    </xf>
    <xf numFmtId="41" fontId="22" fillId="0" borderId="67" xfId="5" applyFont="1" applyBorder="1" applyAlignment="1">
      <alignment horizontal="center" vertical="center"/>
    </xf>
    <xf numFmtId="0" fontId="22" fillId="0" borderId="70" xfId="3" applyFont="1" applyBorder="1" applyAlignment="1">
      <alignment horizontal="center" vertical="center"/>
    </xf>
    <xf numFmtId="41" fontId="22" fillId="0" borderId="68" xfId="5" applyFont="1" applyBorder="1" applyAlignment="1">
      <alignment horizontal="center" vertical="center"/>
    </xf>
    <xf numFmtId="41" fontId="22" fillId="0" borderId="69" xfId="5" applyFont="1" applyBorder="1" applyAlignment="1">
      <alignment horizontal="center" vertical="center"/>
    </xf>
    <xf numFmtId="182" fontId="22" fillId="0" borderId="70" xfId="7" applyNumberFormat="1" applyFont="1" applyBorder="1" applyAlignment="1">
      <alignment horizontal="center" vertical="center"/>
    </xf>
    <xf numFmtId="41" fontId="22" fillId="0" borderId="68" xfId="5" applyFont="1" applyFill="1" applyBorder="1" applyAlignment="1">
      <alignment horizontal="center" vertical="center"/>
    </xf>
    <xf numFmtId="41" fontId="22" fillId="0" borderId="71" xfId="5" applyFont="1" applyFill="1" applyBorder="1" applyAlignment="1">
      <alignment horizontal="center" vertical="center"/>
    </xf>
    <xf numFmtId="0" fontId="22" fillId="5" borderId="32" xfId="3" applyFont="1" applyFill="1" applyBorder="1" applyAlignment="1">
      <alignment horizontal="center" vertical="center"/>
    </xf>
    <xf numFmtId="0" fontId="22" fillId="0" borderId="69" xfId="3" applyFont="1" applyBorder="1" applyAlignment="1">
      <alignment horizontal="left" vertical="center"/>
    </xf>
    <xf numFmtId="179" fontId="22" fillId="0" borderId="68" xfId="5" applyNumberFormat="1" applyFont="1" applyBorder="1" applyAlignment="1">
      <alignment horizontal="center" vertical="center"/>
    </xf>
    <xf numFmtId="179" fontId="22" fillId="0" borderId="69" xfId="5" applyNumberFormat="1" applyFont="1" applyBorder="1" applyAlignment="1">
      <alignment horizontal="center" vertical="center"/>
    </xf>
    <xf numFmtId="179" fontId="22" fillId="0" borderId="68" xfId="5" applyNumberFormat="1" applyFont="1" applyFill="1" applyBorder="1" applyAlignment="1">
      <alignment horizontal="center" vertical="center"/>
    </xf>
    <xf numFmtId="179" fontId="22" fillId="0" borderId="71" xfId="5" applyNumberFormat="1" applyFont="1" applyFill="1" applyBorder="1" applyAlignment="1">
      <alignment horizontal="center" vertical="center"/>
    </xf>
    <xf numFmtId="176" fontId="22" fillId="0" borderId="69" xfId="5" applyNumberFormat="1" applyFont="1" applyBorder="1" applyAlignment="1">
      <alignment horizontal="right" vertical="center"/>
    </xf>
    <xf numFmtId="0" fontId="22" fillId="5" borderId="30" xfId="3" applyFont="1" applyFill="1" applyBorder="1" applyAlignment="1">
      <alignment horizontal="center" vertical="center"/>
    </xf>
    <xf numFmtId="0" fontId="22" fillId="0" borderId="64" xfId="3" applyFont="1" applyBorder="1" applyAlignment="1">
      <alignment horizontal="left" vertical="center"/>
    </xf>
    <xf numFmtId="179" fontId="22" fillId="0" borderId="63" xfId="5" applyNumberFormat="1" applyFont="1" applyBorder="1" applyAlignment="1">
      <alignment horizontal="center" vertical="center"/>
    </xf>
    <xf numFmtId="179" fontId="22" fillId="0" borderId="64" xfId="5" applyNumberFormat="1" applyFont="1" applyBorder="1" applyAlignment="1">
      <alignment horizontal="center" vertical="center"/>
    </xf>
    <xf numFmtId="182" fontId="22" fillId="0" borderId="65" xfId="7" applyNumberFormat="1" applyFont="1" applyBorder="1" applyAlignment="1">
      <alignment horizontal="center" vertical="center"/>
    </xf>
    <xf numFmtId="179" fontId="22" fillId="0" borderId="63" xfId="5" applyNumberFormat="1" applyFont="1" applyFill="1" applyBorder="1" applyAlignment="1">
      <alignment horizontal="center" vertical="center"/>
    </xf>
    <xf numFmtId="179" fontId="22" fillId="0" borderId="66" xfId="5" applyNumberFormat="1" applyFont="1" applyFill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41" fontId="22" fillId="0" borderId="0" xfId="5" applyFont="1">
      <alignment vertical="center"/>
    </xf>
    <xf numFmtId="41" fontId="22" fillId="0" borderId="76" xfId="5" applyFont="1" applyBorder="1">
      <alignment vertical="center"/>
    </xf>
    <xf numFmtId="182" fontId="22" fillId="0" borderId="76" xfId="7" applyNumberFormat="1" applyFont="1" applyBorder="1">
      <alignment vertical="center"/>
    </xf>
    <xf numFmtId="0" fontId="22" fillId="0" borderId="61" xfId="3" applyFont="1" applyBorder="1" applyAlignment="1">
      <alignment horizontal="center" vertical="center"/>
    </xf>
    <xf numFmtId="41" fontId="22" fillId="0" borderId="59" xfId="5" applyFont="1" applyBorder="1">
      <alignment vertical="center"/>
    </xf>
    <xf numFmtId="41" fontId="22" fillId="0" borderId="60" xfId="5" applyFont="1" applyBorder="1">
      <alignment vertical="center"/>
    </xf>
    <xf numFmtId="41" fontId="22" fillId="0" borderId="68" xfId="5" applyFont="1" applyBorder="1">
      <alignment vertical="center"/>
    </xf>
    <xf numFmtId="41" fontId="22" fillId="0" borderId="69" xfId="5" applyFont="1" applyBorder="1">
      <alignment vertical="center"/>
    </xf>
    <xf numFmtId="41" fontId="22" fillId="0" borderId="71" xfId="5" applyFont="1" applyBorder="1" applyAlignment="1">
      <alignment horizontal="center" vertical="center"/>
    </xf>
    <xf numFmtId="0" fontId="22" fillId="5" borderId="31" xfId="3" applyFont="1" applyFill="1" applyBorder="1">
      <alignment vertical="center"/>
    </xf>
    <xf numFmtId="0" fontId="22" fillId="0" borderId="69" xfId="3" applyFont="1" applyBorder="1">
      <alignment vertical="center"/>
    </xf>
    <xf numFmtId="179" fontId="22" fillId="0" borderId="68" xfId="5" applyNumberFormat="1" applyFont="1" applyBorder="1">
      <alignment vertical="center"/>
    </xf>
    <xf numFmtId="179" fontId="22" fillId="0" borderId="69" xfId="5" applyNumberFormat="1" applyFont="1" applyBorder="1">
      <alignment vertical="center"/>
    </xf>
    <xf numFmtId="179" fontId="22" fillId="0" borderId="71" xfId="5" applyNumberFormat="1" applyFont="1" applyBorder="1" applyAlignment="1">
      <alignment horizontal="center" vertical="center"/>
    </xf>
    <xf numFmtId="0" fontId="22" fillId="5" borderId="32" xfId="3" applyFont="1" applyFill="1" applyBorder="1">
      <alignment vertical="center"/>
    </xf>
    <xf numFmtId="41" fontId="22" fillId="0" borderId="63" xfId="5" applyFont="1" applyBorder="1">
      <alignment vertical="center"/>
    </xf>
    <xf numFmtId="41" fontId="22" fillId="0" borderId="64" xfId="5" applyFont="1" applyBorder="1">
      <alignment vertical="center"/>
    </xf>
    <xf numFmtId="41" fontId="22" fillId="0" borderId="64" xfId="5" applyFont="1" applyBorder="1" applyAlignment="1">
      <alignment horizontal="center" vertical="center"/>
    </xf>
    <xf numFmtId="41" fontId="22" fillId="0" borderId="63" xfId="5" applyFont="1" applyBorder="1" applyAlignment="1">
      <alignment horizontal="center" vertical="center"/>
    </xf>
    <xf numFmtId="41" fontId="22" fillId="0" borderId="66" xfId="5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2" fillId="0" borderId="0" xfId="3" applyFont="1" applyBorder="1" applyAlignment="1">
      <alignment horizontal="center" vertical="center"/>
    </xf>
    <xf numFmtId="0" fontId="9" fillId="0" borderId="0" xfId="3" applyFont="1" applyBorder="1">
      <alignment vertical="center"/>
    </xf>
    <xf numFmtId="0" fontId="36" fillId="0" borderId="0" xfId="3" applyFont="1">
      <alignment vertical="center"/>
    </xf>
    <xf numFmtId="0" fontId="30" fillId="3" borderId="59" xfId="3" applyFont="1" applyFill="1" applyBorder="1" applyAlignment="1">
      <alignment horizontal="center" vertical="center"/>
    </xf>
    <xf numFmtId="0" fontId="30" fillId="3" borderId="60" xfId="3" applyFont="1" applyFill="1" applyBorder="1" applyAlignment="1">
      <alignment horizontal="center" vertical="center"/>
    </xf>
    <xf numFmtId="0" fontId="30" fillId="3" borderId="78" xfId="3" applyFont="1" applyFill="1" applyBorder="1" applyAlignment="1">
      <alignment horizontal="center" vertical="center"/>
    </xf>
    <xf numFmtId="0" fontId="30" fillId="3" borderId="61" xfId="3" applyFont="1" applyFill="1" applyBorder="1" applyAlignment="1">
      <alignment horizontal="center" vertical="center" wrapText="1"/>
    </xf>
    <xf numFmtId="0" fontId="22" fillId="3" borderId="31" xfId="3" applyFont="1" applyFill="1" applyBorder="1">
      <alignment vertical="center"/>
    </xf>
    <xf numFmtId="0" fontId="22" fillId="0" borderId="79" xfId="3" applyFont="1" applyBorder="1" applyAlignment="1">
      <alignment horizontal="center" vertical="center" wrapText="1"/>
    </xf>
    <xf numFmtId="185" fontId="22" fillId="0" borderId="68" xfId="5" applyNumberFormat="1" applyFont="1" applyBorder="1">
      <alignment vertical="center"/>
    </xf>
    <xf numFmtId="185" fontId="22" fillId="0" borderId="71" xfId="5" applyNumberFormat="1" applyFont="1" applyBorder="1">
      <alignment vertical="center"/>
    </xf>
    <xf numFmtId="4" fontId="22" fillId="0" borderId="69" xfId="3" applyNumberFormat="1" applyFont="1" applyBorder="1">
      <alignment vertical="center"/>
    </xf>
    <xf numFmtId="185" fontId="22" fillId="0" borderId="80" xfId="5" applyNumberFormat="1" applyFont="1" applyBorder="1">
      <alignment vertical="center"/>
    </xf>
    <xf numFmtId="0" fontId="22" fillId="3" borderId="30" xfId="3" applyFont="1" applyFill="1" applyBorder="1">
      <alignment vertical="center"/>
    </xf>
    <xf numFmtId="0" fontId="22" fillId="0" borderId="81" xfId="3" applyFont="1" applyBorder="1" applyAlignment="1">
      <alignment horizontal="center" vertical="center" wrapText="1"/>
    </xf>
    <xf numFmtId="185" fontId="22" fillId="0" borderId="63" xfId="5" applyNumberFormat="1" applyFont="1" applyBorder="1">
      <alignment vertical="center"/>
    </xf>
    <xf numFmtId="185" fontId="22" fillId="0" borderId="66" xfId="5" applyNumberFormat="1" applyFont="1" applyBorder="1">
      <alignment vertical="center"/>
    </xf>
    <xf numFmtId="4" fontId="22" fillId="0" borderId="64" xfId="3" applyNumberFormat="1" applyFont="1" applyBorder="1">
      <alignment vertical="center"/>
    </xf>
    <xf numFmtId="185" fontId="22" fillId="0" borderId="75" xfId="5" applyNumberFormat="1" applyFont="1" applyBorder="1">
      <alignment vertical="center"/>
    </xf>
    <xf numFmtId="0" fontId="4" fillId="2" borderId="1" xfId="3" applyFont="1" applyFill="1" applyBorder="1" applyAlignment="1">
      <alignment horizontal="right" vertical="center" wrapText="1"/>
    </xf>
    <xf numFmtId="0" fontId="4" fillId="2" borderId="2" xfId="3" applyFont="1" applyFill="1" applyBorder="1" applyAlignment="1">
      <alignment horizontal="right" vertical="center" wrapText="1"/>
    </xf>
    <xf numFmtId="0" fontId="4" fillId="0" borderId="3" xfId="3" applyFont="1" applyBorder="1" applyAlignment="1">
      <alignment horizontal="justify" vertical="center" wrapText="1"/>
    </xf>
    <xf numFmtId="0" fontId="5" fillId="0" borderId="0" xfId="3" applyFont="1">
      <alignment vertical="center"/>
    </xf>
    <xf numFmtId="0" fontId="7" fillId="0" borderId="0" xfId="3" applyFont="1">
      <alignment vertical="center"/>
    </xf>
    <xf numFmtId="0" fontId="40" fillId="0" borderId="0" xfId="3" applyFont="1">
      <alignment vertical="center"/>
    </xf>
    <xf numFmtId="0" fontId="16" fillId="0" borderId="0" xfId="2" applyFont="1" applyAlignment="1" applyProtection="1">
      <alignment vertical="center"/>
      <protection locked="0"/>
    </xf>
    <xf numFmtId="0" fontId="9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76" fontId="17" fillId="0" borderId="0" xfId="2" applyNumberFormat="1" applyFont="1" applyAlignment="1">
      <alignment vertical="center"/>
    </xf>
    <xf numFmtId="0" fontId="42" fillId="0" borderId="0" xfId="2" applyFont="1" applyAlignment="1">
      <alignment vertical="center"/>
    </xf>
    <xf numFmtId="41" fontId="22" fillId="0" borderId="0" xfId="2" applyNumberFormat="1" applyFont="1" applyAlignment="1">
      <alignment vertical="center"/>
    </xf>
    <xf numFmtId="43" fontId="22" fillId="0" borderId="0" xfId="2" applyNumberFormat="1" applyFont="1" applyAlignment="1">
      <alignment vertical="center"/>
    </xf>
    <xf numFmtId="176" fontId="22" fillId="0" borderId="0" xfId="2" applyNumberFormat="1" applyFont="1" applyAlignment="1">
      <alignment vertical="center"/>
    </xf>
    <xf numFmtId="0" fontId="22" fillId="0" borderId="0" xfId="2" applyFont="1" applyAlignment="1">
      <alignment vertical="top"/>
    </xf>
    <xf numFmtId="0" fontId="6" fillId="0" borderId="0" xfId="2" applyFont="1" applyAlignment="1">
      <alignment horizontal="right" vertical="center"/>
    </xf>
    <xf numFmtId="0" fontId="11" fillId="0" borderId="0" xfId="2" applyFont="1" applyAlignment="1">
      <alignment vertical="center"/>
    </xf>
    <xf numFmtId="0" fontId="6" fillId="0" borderId="64" xfId="2" applyFont="1" applyBorder="1" applyAlignment="1">
      <alignment horizontal="center" vertical="center"/>
    </xf>
    <xf numFmtId="0" fontId="34" fillId="0" borderId="84" xfId="2" quotePrefix="1" applyFont="1" applyBorder="1" applyAlignment="1">
      <alignment horizontal="center" vertical="center"/>
    </xf>
    <xf numFmtId="41" fontId="43" fillId="0" borderId="31" xfId="6" quotePrefix="1" applyFont="1" applyBorder="1" applyAlignment="1">
      <alignment horizontal="right" vertical="center"/>
    </xf>
    <xf numFmtId="41" fontId="43" fillId="0" borderId="12" xfId="6" quotePrefix="1" applyFont="1" applyBorder="1" applyAlignment="1">
      <alignment horizontal="right" vertical="center"/>
    </xf>
    <xf numFmtId="41" fontId="44" fillId="0" borderId="12" xfId="6" applyFont="1" applyBorder="1" applyAlignment="1">
      <alignment horizontal="right" vertical="center"/>
    </xf>
    <xf numFmtId="41" fontId="43" fillId="0" borderId="13" xfId="6" quotePrefix="1" applyFont="1" applyBorder="1" applyAlignment="1">
      <alignment horizontal="right" vertical="center"/>
    </xf>
    <xf numFmtId="41" fontId="43" fillId="0" borderId="82" xfId="6" quotePrefix="1" applyFont="1" applyBorder="1" applyAlignment="1">
      <alignment horizontal="right" vertical="center"/>
    </xf>
    <xf numFmtId="41" fontId="43" fillId="0" borderId="88" xfId="6" quotePrefix="1" applyFont="1" applyBorder="1" applyAlignment="1">
      <alignment horizontal="right" vertical="center"/>
    </xf>
    <xf numFmtId="41" fontId="43" fillId="0" borderId="0" xfId="6" quotePrefix="1" applyFont="1" applyBorder="1" applyAlignment="1">
      <alignment horizontal="right" vertical="center"/>
    </xf>
    <xf numFmtId="41" fontId="43" fillId="0" borderId="31" xfId="6" applyFont="1" applyBorder="1" applyAlignment="1">
      <alignment vertical="center"/>
    </xf>
    <xf numFmtId="41" fontId="43" fillId="0" borderId="12" xfId="6" applyFont="1" applyBorder="1" applyAlignment="1">
      <alignment vertical="center"/>
    </xf>
    <xf numFmtId="41" fontId="43" fillId="0" borderId="13" xfId="6" applyFont="1" applyBorder="1" applyAlignment="1">
      <alignment vertical="center"/>
    </xf>
    <xf numFmtId="41" fontId="43" fillId="0" borderId="82" xfId="6" applyFont="1" applyBorder="1" applyAlignment="1">
      <alignment vertical="center"/>
    </xf>
    <xf numFmtId="41" fontId="43" fillId="0" borderId="88" xfId="6" applyFont="1" applyBorder="1" applyAlignment="1">
      <alignment vertical="center"/>
    </xf>
    <xf numFmtId="0" fontId="6" fillId="0" borderId="84" xfId="2" quotePrefix="1" applyFont="1" applyBorder="1" applyAlignment="1">
      <alignment horizontal="center" vertical="center"/>
    </xf>
    <xf numFmtId="41" fontId="44" fillId="0" borderId="31" xfId="6" applyFont="1" applyBorder="1" applyAlignment="1">
      <alignment vertical="center"/>
    </xf>
    <xf numFmtId="41" fontId="44" fillId="0" borderId="12" xfId="6" applyFont="1" applyBorder="1" applyAlignment="1">
      <alignment vertical="center"/>
    </xf>
    <xf numFmtId="41" fontId="44" fillId="0" borderId="13" xfId="6" applyFont="1" applyBorder="1" applyAlignment="1">
      <alignment vertical="center"/>
    </xf>
    <xf numFmtId="41" fontId="44" fillId="0" borderId="82" xfId="6" applyFont="1" applyBorder="1" applyAlignment="1">
      <alignment vertical="center"/>
    </xf>
    <xf numFmtId="41" fontId="44" fillId="0" borderId="88" xfId="6" applyFont="1" applyBorder="1" applyAlignment="1">
      <alignment vertical="center"/>
    </xf>
    <xf numFmtId="49" fontId="6" fillId="0" borderId="84" xfId="2" quotePrefix="1" applyNumberFormat="1" applyFont="1" applyBorder="1" applyAlignment="1">
      <alignment horizontal="center" vertical="center"/>
    </xf>
    <xf numFmtId="49" fontId="6" fillId="0" borderId="89" xfId="2" quotePrefix="1" applyNumberFormat="1" applyFont="1" applyBorder="1" applyAlignment="1">
      <alignment horizontal="center" vertical="center"/>
    </xf>
    <xf numFmtId="41" fontId="44" fillId="0" borderId="32" xfId="6" applyFont="1" applyBorder="1" applyAlignment="1">
      <alignment vertical="center"/>
    </xf>
    <xf numFmtId="41" fontId="44" fillId="0" borderId="15" xfId="6" applyFont="1" applyBorder="1" applyAlignment="1">
      <alignment vertical="center"/>
    </xf>
    <xf numFmtId="41" fontId="43" fillId="0" borderId="15" xfId="6" quotePrefix="1" applyFont="1" applyBorder="1" applyAlignment="1">
      <alignment horizontal="right" vertical="center"/>
    </xf>
    <xf numFmtId="41" fontId="44" fillId="0" borderId="90" xfId="6" applyFont="1" applyBorder="1" applyAlignment="1">
      <alignment vertical="center"/>
    </xf>
    <xf numFmtId="41" fontId="44" fillId="0" borderId="16" xfId="6" applyFont="1" applyBorder="1" applyAlignment="1">
      <alignment vertical="center"/>
    </xf>
    <xf numFmtId="41" fontId="44" fillId="0" borderId="67" xfId="6" applyFont="1" applyBorder="1" applyAlignment="1">
      <alignment vertical="center"/>
    </xf>
    <xf numFmtId="2" fontId="6" fillId="0" borderId="91" xfId="2" quotePrefix="1" applyNumberFormat="1" applyFont="1" applyBorder="1" applyAlignment="1">
      <alignment horizontal="center" vertical="center"/>
    </xf>
    <xf numFmtId="41" fontId="44" fillId="0" borderId="68" xfId="6" applyFont="1" applyBorder="1" applyAlignment="1">
      <alignment vertical="center"/>
    </xf>
    <xf numFmtId="41" fontId="44" fillId="0" borderId="69" xfId="6" applyFont="1" applyBorder="1" applyAlignment="1">
      <alignment vertical="center"/>
    </xf>
    <xf numFmtId="41" fontId="43" fillId="0" borderId="69" xfId="6" quotePrefix="1" applyFont="1" applyBorder="1" applyAlignment="1">
      <alignment horizontal="right" vertical="center"/>
    </xf>
    <xf numFmtId="41" fontId="44" fillId="0" borderId="79" xfId="6" applyFont="1" applyBorder="1" applyAlignment="1">
      <alignment vertical="center"/>
    </xf>
    <xf numFmtId="41" fontId="44" fillId="0" borderId="70" xfId="6" applyFont="1" applyBorder="1" applyAlignment="1">
      <alignment vertical="center"/>
    </xf>
    <xf numFmtId="41" fontId="44" fillId="0" borderId="71" xfId="6" applyFont="1" applyBorder="1" applyAlignment="1">
      <alignment vertical="center"/>
    </xf>
    <xf numFmtId="2" fontId="6" fillId="0" borderId="84" xfId="2" quotePrefix="1" applyNumberFormat="1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2" fontId="6" fillId="0" borderId="46" xfId="2" quotePrefix="1" applyNumberFormat="1" applyFont="1" applyBorder="1" applyAlignment="1">
      <alignment horizontal="center" vertical="center"/>
    </xf>
    <xf numFmtId="41" fontId="44" fillId="0" borderId="47" xfId="6" applyFont="1" applyBorder="1" applyAlignment="1">
      <alignment vertical="center"/>
    </xf>
    <xf numFmtId="41" fontId="44" fillId="0" borderId="10" xfId="6" applyFont="1" applyBorder="1" applyAlignment="1">
      <alignment vertical="center"/>
    </xf>
    <xf numFmtId="41" fontId="43" fillId="0" borderId="10" xfId="6" quotePrefix="1" applyFont="1" applyBorder="1" applyAlignment="1">
      <alignment horizontal="right" vertical="center"/>
    </xf>
    <xf numFmtId="41" fontId="44" fillId="0" borderId="92" xfId="6" applyFont="1" applyBorder="1" applyAlignment="1">
      <alignment vertical="center"/>
    </xf>
    <xf numFmtId="41" fontId="44" fillId="0" borderId="11" xfId="6" applyFont="1" applyBorder="1" applyAlignment="1">
      <alignment vertical="center"/>
    </xf>
    <xf numFmtId="41" fontId="44" fillId="0" borderId="30" xfId="6" applyFont="1" applyBorder="1" applyAlignment="1">
      <alignment vertical="center"/>
    </xf>
    <xf numFmtId="0" fontId="6" fillId="0" borderId="0" xfId="2" applyFont="1" applyAlignment="1">
      <alignment vertical="center"/>
    </xf>
    <xf numFmtId="176" fontId="22" fillId="0" borderId="0" xfId="2" applyNumberFormat="1" applyFont="1" applyBorder="1" applyAlignment="1">
      <alignment horizontal="right" vertical="center"/>
    </xf>
    <xf numFmtId="0" fontId="22" fillId="0" borderId="0" xfId="2" applyFont="1" applyBorder="1" applyAlignment="1">
      <alignment vertical="center"/>
    </xf>
    <xf numFmtId="187" fontId="22" fillId="0" borderId="0" xfId="2" applyNumberFormat="1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176" fontId="9" fillId="0" borderId="0" xfId="2" applyNumberFormat="1" applyFont="1" applyAlignment="1">
      <alignment vertical="center"/>
    </xf>
    <xf numFmtId="0" fontId="11" fillId="0" borderId="0" xfId="2" applyFont="1" applyAlignment="1"/>
    <xf numFmtId="0" fontId="45" fillId="0" borderId="0" xfId="2" applyFont="1" applyAlignment="1">
      <alignment vertical="center"/>
    </xf>
    <xf numFmtId="0" fontId="11" fillId="0" borderId="0" xfId="2" applyFont="1"/>
    <xf numFmtId="0" fontId="45" fillId="0" borderId="0" xfId="2" applyFont="1" applyAlignment="1">
      <alignment horizontal="left" vertical="center" wrapText="1"/>
    </xf>
    <xf numFmtId="0" fontId="46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2" fontId="6" fillId="0" borderId="48" xfId="2" quotePrefix="1" applyNumberFormat="1" applyFont="1" applyBorder="1" applyAlignment="1">
      <alignment horizontal="center" vertical="center"/>
    </xf>
    <xf numFmtId="2" fontId="6" fillId="0" borderId="100" xfId="2" quotePrefix="1" applyNumberFormat="1" applyFont="1" applyBorder="1" applyAlignment="1">
      <alignment horizontal="center" vertical="center"/>
    </xf>
    <xf numFmtId="176" fontId="6" fillId="0" borderId="62" xfId="2" quotePrefix="1" applyNumberFormat="1" applyFont="1" applyBorder="1" applyAlignment="1">
      <alignment horizontal="right" vertical="center"/>
    </xf>
    <xf numFmtId="176" fontId="6" fillId="0" borderId="60" xfId="2" quotePrefix="1" applyNumberFormat="1" applyFont="1" applyBorder="1" applyAlignment="1">
      <alignment horizontal="right" vertical="center"/>
    </xf>
    <xf numFmtId="176" fontId="6" fillId="0" borderId="61" xfId="2" quotePrefix="1" applyNumberFormat="1" applyFont="1" applyBorder="1" applyAlignment="1">
      <alignment horizontal="right" vertical="center"/>
    </xf>
    <xf numFmtId="176" fontId="6" fillId="0" borderId="73" xfId="2" quotePrefix="1" applyNumberFormat="1" applyFont="1" applyBorder="1" applyAlignment="1">
      <alignment horizontal="right" vertical="center"/>
    </xf>
    <xf numFmtId="176" fontId="6" fillId="0" borderId="71" xfId="2" quotePrefix="1" applyNumberFormat="1" applyFont="1" applyBorder="1" applyAlignment="1">
      <alignment horizontal="right" vertical="center"/>
    </xf>
    <xf numFmtId="176" fontId="6" fillId="0" borderId="69" xfId="2" quotePrefix="1" applyNumberFormat="1" applyFont="1" applyBorder="1" applyAlignment="1">
      <alignment horizontal="right" vertical="center"/>
    </xf>
    <xf numFmtId="176" fontId="6" fillId="0" borderId="70" xfId="2" quotePrefix="1" applyNumberFormat="1" applyFont="1" applyBorder="1" applyAlignment="1">
      <alignment horizontal="right" vertical="center"/>
    </xf>
    <xf numFmtId="176" fontId="6" fillId="0" borderId="80" xfId="2" quotePrefix="1" applyNumberFormat="1" applyFont="1" applyBorder="1" applyAlignment="1">
      <alignment horizontal="right" vertical="center"/>
    </xf>
    <xf numFmtId="2" fontId="6" fillId="6" borderId="91" xfId="2" quotePrefix="1" applyNumberFormat="1" applyFont="1" applyFill="1" applyBorder="1" applyAlignment="1">
      <alignment horizontal="center" vertical="center"/>
    </xf>
    <xf numFmtId="176" fontId="6" fillId="6" borderId="71" xfId="2" quotePrefix="1" applyNumberFormat="1" applyFont="1" applyFill="1" applyBorder="1" applyAlignment="1">
      <alignment horizontal="right" vertical="center"/>
    </xf>
    <xf numFmtId="176" fontId="6" fillId="6" borderId="69" xfId="2" quotePrefix="1" applyNumberFormat="1" applyFont="1" applyFill="1" applyBorder="1" applyAlignment="1">
      <alignment horizontal="right" vertical="center"/>
    </xf>
    <xf numFmtId="176" fontId="6" fillId="6" borderId="70" xfId="2" quotePrefix="1" applyNumberFormat="1" applyFont="1" applyFill="1" applyBorder="1" applyAlignment="1">
      <alignment horizontal="right" vertical="center"/>
    </xf>
    <xf numFmtId="176" fontId="6" fillId="6" borderId="80" xfId="2" quotePrefix="1" applyNumberFormat="1" applyFont="1" applyFill="1" applyBorder="1" applyAlignment="1">
      <alignment horizontal="right" vertical="center"/>
    </xf>
    <xf numFmtId="2" fontId="6" fillId="6" borderId="101" xfId="2" quotePrefix="1" applyNumberFormat="1" applyFont="1" applyFill="1" applyBorder="1" applyAlignment="1">
      <alignment horizontal="center" vertical="center"/>
    </xf>
    <xf numFmtId="176" fontId="6" fillId="6" borderId="66" xfId="2" quotePrefix="1" applyNumberFormat="1" applyFont="1" applyFill="1" applyBorder="1" applyAlignment="1">
      <alignment horizontal="right" vertical="center"/>
    </xf>
    <xf numFmtId="176" fontId="6" fillId="6" borderId="64" xfId="2" quotePrefix="1" applyNumberFormat="1" applyFont="1" applyFill="1" applyBorder="1" applyAlignment="1">
      <alignment horizontal="right" vertical="center"/>
    </xf>
    <xf numFmtId="176" fontId="6" fillId="6" borderId="65" xfId="2" quotePrefix="1" applyNumberFormat="1" applyFont="1" applyFill="1" applyBorder="1" applyAlignment="1">
      <alignment horizontal="right" vertical="center"/>
    </xf>
    <xf numFmtId="176" fontId="6" fillId="6" borderId="75" xfId="2" quotePrefix="1" applyNumberFormat="1" applyFont="1" applyFill="1" applyBorder="1" applyAlignment="1">
      <alignment horizontal="right" vertical="center"/>
    </xf>
    <xf numFmtId="2" fontId="6" fillId="7" borderId="46" xfId="2" quotePrefix="1" applyNumberFormat="1" applyFont="1" applyFill="1" applyBorder="1" applyAlignment="1">
      <alignment horizontal="center" vertical="center"/>
    </xf>
    <xf numFmtId="176" fontId="6" fillId="7" borderId="48" xfId="2" quotePrefix="1" applyNumberFormat="1" applyFont="1" applyFill="1" applyBorder="1" applyAlignment="1">
      <alignment horizontal="right" vertical="center"/>
    </xf>
    <xf numFmtId="176" fontId="6" fillId="7" borderId="46" xfId="2" quotePrefix="1" applyNumberFormat="1" applyFont="1" applyFill="1" applyBorder="1" applyAlignment="1">
      <alignment horizontal="right" vertical="center"/>
    </xf>
    <xf numFmtId="2" fontId="6" fillId="0" borderId="41" xfId="2" quotePrefix="1" applyNumberFormat="1" applyFont="1" applyBorder="1" applyAlignment="1">
      <alignment horizontal="center" vertical="center"/>
    </xf>
    <xf numFmtId="2" fontId="22" fillId="0" borderId="0" xfId="2" quotePrefix="1" applyNumberFormat="1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2" fontId="18" fillId="0" borderId="59" xfId="2" quotePrefix="1" applyNumberFormat="1" applyFont="1" applyBorder="1" applyAlignment="1">
      <alignment horizontal="center" vertical="center"/>
    </xf>
    <xf numFmtId="2" fontId="18" fillId="0" borderId="60" xfId="2" quotePrefix="1" applyNumberFormat="1" applyFont="1" applyBorder="1" applyAlignment="1">
      <alignment horizontal="center" vertical="center"/>
    </xf>
    <xf numFmtId="2" fontId="18" fillId="0" borderId="61" xfId="2" quotePrefix="1" applyNumberFormat="1" applyFont="1" applyBorder="1" applyAlignment="1">
      <alignment horizontal="center" vertical="center"/>
    </xf>
    <xf numFmtId="0" fontId="20" fillId="0" borderId="0" xfId="2" applyFont="1" applyAlignment="1"/>
    <xf numFmtId="2" fontId="18" fillId="0" borderId="0" xfId="2" quotePrefix="1" applyNumberFormat="1" applyFont="1" applyBorder="1" applyAlignment="1">
      <alignment horizontal="center" vertical="center"/>
    </xf>
    <xf numFmtId="176" fontId="20" fillId="0" borderId="0" xfId="2" applyNumberFormat="1" applyFont="1" applyAlignment="1">
      <alignment horizontal="right"/>
    </xf>
    <xf numFmtId="2" fontId="18" fillId="0" borderId="68" xfId="2" quotePrefix="1" applyNumberFormat="1" applyFont="1" applyBorder="1" applyAlignment="1">
      <alignment horizontal="center" vertical="center"/>
    </xf>
    <xf numFmtId="176" fontId="18" fillId="0" borderId="69" xfId="6" quotePrefix="1" applyNumberFormat="1" applyFont="1" applyBorder="1" applyAlignment="1">
      <alignment vertical="center" shrinkToFit="1"/>
    </xf>
    <xf numFmtId="176" fontId="18" fillId="0" borderId="70" xfId="6" quotePrefix="1" applyNumberFormat="1" applyFont="1" applyBorder="1" applyAlignment="1">
      <alignment vertical="center" shrinkToFit="1"/>
    </xf>
    <xf numFmtId="0" fontId="6" fillId="0" borderId="0" xfId="2" applyFont="1" applyAlignment="1">
      <alignment horizontal="left" vertical="center" indent="1"/>
    </xf>
    <xf numFmtId="176" fontId="6" fillId="0" borderId="0" xfId="6" quotePrefix="1" applyNumberFormat="1" applyFont="1" applyBorder="1" applyAlignment="1">
      <alignment horizontal="left" vertical="center"/>
    </xf>
    <xf numFmtId="0" fontId="6" fillId="0" borderId="0" xfId="2" applyNumberFormat="1" applyFont="1" applyAlignment="1">
      <alignment horizontal="left" vertical="center" shrinkToFit="1"/>
    </xf>
    <xf numFmtId="0" fontId="6" fillId="0" borderId="0" xfId="2" quotePrefix="1" applyNumberFormat="1" applyFont="1" applyAlignment="1">
      <alignment horizontal="left" vertical="center" shrinkToFit="1"/>
    </xf>
    <xf numFmtId="2" fontId="18" fillId="0" borderId="63" xfId="2" quotePrefix="1" applyNumberFormat="1" applyFont="1" applyBorder="1" applyAlignment="1">
      <alignment horizontal="center" vertical="center"/>
    </xf>
    <xf numFmtId="188" fontId="18" fillId="0" borderId="64" xfId="2" quotePrefix="1" applyNumberFormat="1" applyFont="1" applyBorder="1" applyAlignment="1">
      <alignment horizontal="center" vertical="center"/>
    </xf>
    <xf numFmtId="188" fontId="18" fillId="0" borderId="65" xfId="2" quotePrefix="1" applyNumberFormat="1" applyFont="1" applyBorder="1" applyAlignment="1">
      <alignment horizontal="center" vertical="center"/>
    </xf>
    <xf numFmtId="0" fontId="30" fillId="0" borderId="0" xfId="2" quotePrefix="1" applyFont="1" applyAlignment="1">
      <alignment vertical="center"/>
    </xf>
    <xf numFmtId="0" fontId="6" fillId="0" borderId="0" xfId="2" applyFont="1" applyAlignment="1">
      <alignment horizontal="left" vertical="center" indent="1" shrinkToFit="1"/>
    </xf>
    <xf numFmtId="0" fontId="6" fillId="0" borderId="0" xfId="2" applyFont="1" applyAlignment="1">
      <alignment horizontal="left" vertical="center" shrinkToFit="1"/>
    </xf>
    <xf numFmtId="41" fontId="18" fillId="0" borderId="69" xfId="6" quotePrefix="1" applyFont="1" applyBorder="1" applyAlignment="1">
      <alignment horizontal="center" vertical="center" shrinkToFit="1"/>
    </xf>
    <xf numFmtId="41" fontId="18" fillId="0" borderId="70" xfId="6" quotePrefix="1" applyFont="1" applyBorder="1" applyAlignment="1">
      <alignment horizontal="center" vertical="center" shrinkToFit="1"/>
    </xf>
    <xf numFmtId="0" fontId="6" fillId="0" borderId="0" xfId="2" applyNumberFormat="1" applyFont="1" applyAlignment="1">
      <alignment vertical="center"/>
    </xf>
    <xf numFmtId="188" fontId="18" fillId="0" borderId="0" xfId="2" quotePrefix="1" applyNumberFormat="1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shrinkToFit="1"/>
    </xf>
    <xf numFmtId="0" fontId="18" fillId="0" borderId="0" xfId="2" quotePrefix="1" applyFont="1" applyAlignment="1">
      <alignment horizontal="left" vertical="center" indent="1"/>
    </xf>
    <xf numFmtId="176" fontId="22" fillId="0" borderId="0" xfId="6" quotePrefix="1" applyNumberFormat="1" applyFont="1" applyBorder="1" applyAlignment="1">
      <alignment horizontal="left" vertical="center"/>
    </xf>
    <xf numFmtId="0" fontId="16" fillId="0" borderId="0" xfId="9" applyFont="1"/>
    <xf numFmtId="176" fontId="44" fillId="0" borderId="0" xfId="9" applyNumberFormat="1" applyFont="1" applyFill="1"/>
    <xf numFmtId="0" fontId="44" fillId="0" borderId="0" xfId="9" applyFont="1" applyFill="1"/>
    <xf numFmtId="0" fontId="9" fillId="0" borderId="0" xfId="9" applyFont="1" applyFill="1"/>
    <xf numFmtId="0" fontId="9" fillId="0" borderId="0" xfId="9" applyFont="1" applyFill="1" applyBorder="1"/>
    <xf numFmtId="0" fontId="17" fillId="0" borderId="0" xfId="9" applyFont="1" applyAlignment="1">
      <alignment vertical="center"/>
    </xf>
    <xf numFmtId="0" fontId="6" fillId="0" borderId="0" xfId="9" applyFont="1" applyFill="1" applyAlignment="1">
      <alignment vertical="top"/>
    </xf>
    <xf numFmtId="176" fontId="6" fillId="0" borderId="0" xfId="9" applyNumberFormat="1" applyFont="1" applyFill="1" applyAlignment="1">
      <alignment vertical="top"/>
    </xf>
    <xf numFmtId="0" fontId="6" fillId="0" borderId="0" xfId="9" quotePrefix="1" applyFont="1" applyFill="1" applyAlignment="1">
      <alignment vertical="top"/>
    </xf>
    <xf numFmtId="41" fontId="6" fillId="0" borderId="0" xfId="9" applyNumberFormat="1" applyFont="1" applyFill="1" applyAlignment="1">
      <alignment vertical="top"/>
    </xf>
    <xf numFmtId="41" fontId="6" fillId="0" borderId="0" xfId="9" applyNumberFormat="1" applyFont="1" applyFill="1" applyBorder="1" applyAlignment="1">
      <alignment vertical="top"/>
    </xf>
    <xf numFmtId="0" fontId="6" fillId="0" borderId="0" xfId="9" quotePrefix="1" applyFont="1" applyFill="1" applyAlignment="1">
      <alignment horizontal="right" vertical="top"/>
    </xf>
    <xf numFmtId="0" fontId="6" fillId="0" borderId="0" xfId="2" applyFont="1" applyFill="1" applyAlignment="1">
      <alignment vertical="top"/>
    </xf>
    <xf numFmtId="41" fontId="18" fillId="0" borderId="26" xfId="6" applyFont="1" applyFill="1" applyBorder="1" applyAlignment="1">
      <alignment horizontal="center" vertical="center"/>
    </xf>
    <xf numFmtId="41" fontId="18" fillId="0" borderId="27" xfId="6" applyFont="1" applyFill="1" applyBorder="1" applyAlignment="1">
      <alignment horizontal="center" vertical="center"/>
    </xf>
    <xf numFmtId="41" fontId="18" fillId="0" borderId="30" xfId="6" applyFont="1" applyFill="1" applyBorder="1" applyAlignment="1">
      <alignment horizontal="center" vertical="center"/>
    </xf>
    <xf numFmtId="41" fontId="18" fillId="0" borderId="64" xfId="6" applyFont="1" applyFill="1" applyBorder="1" applyAlignment="1">
      <alignment horizontal="center" vertical="center"/>
    </xf>
    <xf numFmtId="41" fontId="18" fillId="0" borderId="10" xfId="6" applyFont="1" applyFill="1" applyBorder="1" applyAlignment="1">
      <alignment horizontal="center" vertical="center"/>
    </xf>
    <xf numFmtId="41" fontId="18" fillId="0" borderId="64" xfId="6" applyFont="1" applyBorder="1" applyAlignment="1">
      <alignment horizontal="center" vertical="center"/>
    </xf>
    <xf numFmtId="41" fontId="18" fillId="0" borderId="65" xfId="6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41" fontId="18" fillId="0" borderId="31" xfId="10" applyFont="1" applyFill="1" applyBorder="1" applyAlignment="1">
      <alignment horizontal="center" vertical="center"/>
    </xf>
    <xf numFmtId="41" fontId="6" fillId="0" borderId="12" xfId="10" applyFont="1" applyFill="1" applyBorder="1" applyAlignment="1">
      <alignment horizontal="center" vertical="center" shrinkToFit="1"/>
    </xf>
    <xf numFmtId="176" fontId="6" fillId="0" borderId="12" xfId="10" applyNumberFormat="1" applyFont="1" applyFill="1" applyBorder="1" applyAlignment="1">
      <alignment horizontal="right" vertical="center"/>
    </xf>
    <xf numFmtId="41" fontId="6" fillId="0" borderId="12" xfId="10" applyFont="1" applyFill="1" applyBorder="1" applyAlignment="1">
      <alignment horizontal="center" vertical="center"/>
    </xf>
    <xf numFmtId="41" fontId="6" fillId="0" borderId="12" xfId="10" applyFont="1" applyFill="1" applyBorder="1" applyAlignment="1">
      <alignment horizontal="right" vertical="center"/>
    </xf>
    <xf numFmtId="41" fontId="6" fillId="0" borderId="18" xfId="10" applyFont="1" applyFill="1" applyBorder="1" applyAlignment="1">
      <alignment horizontal="center" vertical="center"/>
    </xf>
    <xf numFmtId="41" fontId="6" fillId="0" borderId="18" xfId="10" applyFont="1" applyFill="1" applyBorder="1" applyAlignment="1">
      <alignment horizontal="right" vertical="center"/>
    </xf>
    <xf numFmtId="41" fontId="6" fillId="0" borderId="27" xfId="10" applyFont="1" applyFill="1" applyBorder="1" applyAlignment="1">
      <alignment horizontal="right" vertical="center"/>
    </xf>
    <xf numFmtId="41" fontId="18" fillId="0" borderId="27" xfId="10" applyFont="1" applyFill="1" applyBorder="1" applyAlignment="1">
      <alignment horizontal="center" vertical="center"/>
    </xf>
    <xf numFmtId="41" fontId="6" fillId="0" borderId="82" xfId="10" applyFont="1" applyFill="1" applyBorder="1" applyAlignment="1">
      <alignment horizontal="center" vertical="center"/>
    </xf>
    <xf numFmtId="41" fontId="6" fillId="0" borderId="12" xfId="6" quotePrefix="1" applyFont="1" applyBorder="1" applyAlignment="1">
      <alignment horizontal="left" vertical="center" shrinkToFit="1"/>
    </xf>
    <xf numFmtId="41" fontId="6" fillId="0" borderId="82" xfId="10" applyFont="1" applyFill="1" applyBorder="1" applyAlignment="1">
      <alignment horizontal="center" vertical="center" shrinkToFit="1"/>
    </xf>
    <xf numFmtId="41" fontId="6" fillId="0" borderId="27" xfId="10" applyFont="1" applyFill="1" applyBorder="1" applyAlignment="1">
      <alignment horizontal="center" vertical="center"/>
    </xf>
    <xf numFmtId="41" fontId="6" fillId="0" borderId="82" xfId="6" applyFont="1" applyBorder="1" applyAlignment="1">
      <alignment horizontal="center" vertical="center" shrinkToFit="1"/>
    </xf>
    <xf numFmtId="41" fontId="6" fillId="0" borderId="29" xfId="10" applyFont="1" applyFill="1" applyBorder="1" applyAlignment="1">
      <alignment horizontal="center" vertical="center"/>
    </xf>
    <xf numFmtId="0" fontId="47" fillId="0" borderId="0" xfId="2" applyFont="1" applyFill="1"/>
    <xf numFmtId="189" fontId="6" fillId="0" borderId="12" xfId="10" applyNumberFormat="1" applyFont="1" applyFill="1" applyBorder="1" applyAlignment="1">
      <alignment horizontal="right" vertical="center"/>
    </xf>
    <xf numFmtId="41" fontId="18" fillId="0" borderId="12" xfId="10" applyFont="1" applyFill="1" applyBorder="1" applyAlignment="1">
      <alignment horizontal="center" vertical="center"/>
    </xf>
    <xf numFmtId="41" fontId="6" fillId="0" borderId="82" xfId="10" quotePrefix="1" applyFont="1" applyFill="1" applyBorder="1" applyAlignment="1">
      <alignment horizontal="left" vertical="center" shrinkToFit="1"/>
    </xf>
    <xf numFmtId="41" fontId="6" fillId="0" borderId="12" xfId="10" quotePrefix="1" applyFont="1" applyFill="1" applyBorder="1" applyAlignment="1">
      <alignment horizontal="center" vertical="center"/>
    </xf>
    <xf numFmtId="41" fontId="6" fillId="0" borderId="13" xfId="10" applyFont="1" applyFill="1" applyBorder="1" applyAlignment="1">
      <alignment horizontal="center" vertical="center"/>
    </xf>
    <xf numFmtId="0" fontId="24" fillId="0" borderId="0" xfId="2" applyFont="1" applyFill="1"/>
    <xf numFmtId="41" fontId="6" fillId="0" borderId="12" xfId="6" applyFont="1" applyBorder="1" applyAlignment="1">
      <alignment horizontal="center" vertical="center" shrinkToFit="1"/>
    </xf>
    <xf numFmtId="41" fontId="6" fillId="0" borderId="82" xfId="6" applyFont="1" applyBorder="1" applyAlignment="1">
      <alignment horizontal="center" vertical="center"/>
    </xf>
    <xf numFmtId="41" fontId="6" fillId="0" borderId="13" xfId="6" applyFont="1" applyBorder="1" applyAlignment="1">
      <alignment horizontal="center" vertical="center"/>
    </xf>
    <xf numFmtId="0" fontId="6" fillId="0" borderId="12" xfId="9" applyFont="1" applyFill="1" applyBorder="1" applyAlignment="1">
      <alignment horizontal="center" vertical="center"/>
    </xf>
    <xf numFmtId="189" fontId="6" fillId="0" borderId="12" xfId="9" applyNumberFormat="1" applyFont="1" applyFill="1" applyBorder="1" applyAlignment="1">
      <alignment horizontal="right" vertical="center"/>
    </xf>
    <xf numFmtId="41" fontId="6" fillId="8" borderId="69" xfId="10" applyFont="1" applyFill="1" applyBorder="1" applyAlignment="1">
      <alignment horizontal="center" vertical="center"/>
    </xf>
    <xf numFmtId="176" fontId="6" fillId="8" borderId="69" xfId="10" applyNumberFormat="1" applyFont="1" applyFill="1" applyBorder="1" applyAlignment="1">
      <alignment horizontal="right" vertical="center"/>
    </xf>
    <xf numFmtId="41" fontId="6" fillId="8" borderId="69" xfId="10" applyFont="1" applyFill="1" applyBorder="1" applyAlignment="1">
      <alignment horizontal="right" vertical="center"/>
    </xf>
    <xf numFmtId="41" fontId="6" fillId="0" borderId="12" xfId="6" quotePrefix="1" applyFont="1" applyBorder="1" applyAlignment="1">
      <alignment horizontal="center" vertical="center"/>
    </xf>
    <xf numFmtId="41" fontId="6" fillId="0" borderId="82" xfId="10" quotePrefix="1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41" fontId="44" fillId="0" borderId="12" xfId="6" applyFont="1" applyBorder="1" applyAlignment="1">
      <alignment horizontal="center" vertical="center" shrinkToFit="1"/>
    </xf>
    <xf numFmtId="41" fontId="48" fillId="0" borderId="31" xfId="10" applyFont="1" applyFill="1" applyBorder="1" applyAlignment="1">
      <alignment horizontal="center" vertical="center"/>
    </xf>
    <xf numFmtId="41" fontId="34" fillId="0" borderId="12" xfId="10" applyFont="1" applyFill="1" applyBorder="1" applyAlignment="1">
      <alignment horizontal="center" vertical="center"/>
    </xf>
    <xf numFmtId="41" fontId="6" fillId="9" borderId="69" xfId="10" applyFont="1" applyFill="1" applyBorder="1" applyAlignment="1">
      <alignment horizontal="center" vertical="center" shrinkToFit="1"/>
    </xf>
    <xf numFmtId="176" fontId="6" fillId="9" borderId="69" xfId="10" applyNumberFormat="1" applyFont="1" applyFill="1" applyBorder="1" applyAlignment="1">
      <alignment horizontal="right" vertical="center"/>
    </xf>
    <xf numFmtId="41" fontId="48" fillId="0" borderId="12" xfId="10" applyFont="1" applyFill="1" applyBorder="1" applyAlignment="1">
      <alignment horizontal="center" vertical="center"/>
    </xf>
    <xf numFmtId="41" fontId="20" fillId="0" borderId="31" xfId="10" applyFont="1" applyFill="1" applyBorder="1" applyAlignment="1">
      <alignment horizontal="center" vertical="center"/>
    </xf>
    <xf numFmtId="41" fontId="20" fillId="0" borderId="12" xfId="10" applyFont="1" applyFill="1" applyBorder="1" applyAlignment="1">
      <alignment horizontal="center" vertical="center"/>
    </xf>
    <xf numFmtId="0" fontId="6" fillId="0" borderId="82" xfId="9" applyFont="1" applyFill="1" applyBorder="1" applyAlignment="1">
      <alignment horizontal="center" vertical="center"/>
    </xf>
    <xf numFmtId="41" fontId="6" fillId="8" borderId="71" xfId="10" applyFont="1" applyFill="1" applyBorder="1" applyAlignment="1">
      <alignment horizontal="center" vertical="center" shrinkToFit="1"/>
    </xf>
    <xf numFmtId="0" fontId="20" fillId="0" borderId="12" xfId="9" applyFont="1" applyFill="1" applyBorder="1"/>
    <xf numFmtId="41" fontId="6" fillId="8" borderId="71" xfId="10" applyFont="1" applyFill="1" applyBorder="1" applyAlignment="1">
      <alignment horizontal="center" vertical="center"/>
    </xf>
    <xf numFmtId="176" fontId="6" fillId="0" borderId="15" xfId="10" applyNumberFormat="1" applyFont="1" applyFill="1" applyBorder="1" applyAlignment="1">
      <alignment horizontal="right" vertical="center"/>
    </xf>
    <xf numFmtId="189" fontId="6" fillId="0" borderId="12" xfId="2" applyNumberFormat="1" applyFont="1" applyFill="1" applyBorder="1" applyAlignment="1">
      <alignment horizontal="right" vertical="center"/>
    </xf>
    <xf numFmtId="0" fontId="6" fillId="0" borderId="12" xfId="2" applyFont="1" applyFill="1" applyBorder="1" applyAlignment="1">
      <alignment horizontal="right" vertical="center"/>
    </xf>
    <xf numFmtId="41" fontId="6" fillId="0" borderId="12" xfId="10" applyFont="1" applyBorder="1" applyAlignment="1">
      <alignment horizontal="center" vertical="center"/>
    </xf>
    <xf numFmtId="0" fontId="6" fillId="0" borderId="12" xfId="9" applyFont="1" applyFill="1" applyBorder="1" applyAlignment="1">
      <alignment horizontal="right" vertical="center"/>
    </xf>
    <xf numFmtId="41" fontId="6" fillId="0" borderId="82" xfId="6" quotePrefix="1" applyFont="1" applyBorder="1" applyAlignment="1">
      <alignment horizontal="center" vertical="center"/>
    </xf>
    <xf numFmtId="41" fontId="6" fillId="0" borderId="15" xfId="10" applyFont="1" applyFill="1" applyBorder="1" applyAlignment="1">
      <alignment horizontal="center" vertical="center"/>
    </xf>
    <xf numFmtId="0" fontId="6" fillId="0" borderId="15" xfId="9" applyFont="1" applyFill="1" applyBorder="1" applyAlignment="1">
      <alignment horizontal="center" vertical="center"/>
    </xf>
    <xf numFmtId="0" fontId="6" fillId="0" borderId="15" xfId="9" applyFont="1" applyFill="1" applyBorder="1" applyAlignment="1">
      <alignment horizontal="right" vertical="center"/>
    </xf>
    <xf numFmtId="41" fontId="6" fillId="8" borderId="69" xfId="10" applyFont="1" applyFill="1" applyBorder="1" applyAlignment="1">
      <alignment horizontal="center" vertical="center" shrinkToFit="1"/>
    </xf>
    <xf numFmtId="41" fontId="32" fillId="0" borderId="12" xfId="10" applyFont="1" applyFill="1" applyBorder="1" applyAlignment="1">
      <alignment horizontal="center" vertical="center"/>
    </xf>
    <xf numFmtId="41" fontId="32" fillId="0" borderId="102" xfId="10" applyFont="1" applyFill="1" applyBorder="1" applyAlignment="1">
      <alignment horizontal="center" vertical="center"/>
    </xf>
    <xf numFmtId="176" fontId="6" fillId="0" borderId="12" xfId="9" applyNumberFormat="1" applyFont="1" applyFill="1" applyBorder="1" applyAlignment="1">
      <alignment horizontal="right" vertical="center"/>
    </xf>
    <xf numFmtId="41" fontId="6" fillId="0" borderId="12" xfId="6" applyFont="1" applyFill="1" applyBorder="1" applyAlignment="1">
      <alignment horizontal="center" vertical="center"/>
    </xf>
    <xf numFmtId="0" fontId="49" fillId="0" borderId="12" xfId="9" applyFont="1" applyFill="1" applyBorder="1" applyAlignment="1">
      <alignment horizontal="center" vertical="center"/>
    </xf>
    <xf numFmtId="0" fontId="49" fillId="0" borderId="12" xfId="9" applyFont="1" applyFill="1" applyBorder="1" applyAlignment="1">
      <alignment horizontal="right" vertical="center"/>
    </xf>
    <xf numFmtId="0" fontId="49" fillId="0" borderId="12" xfId="9" applyFont="1" applyFill="1" applyBorder="1" applyAlignment="1">
      <alignment horizontal="center" vertical="center" shrinkToFit="1"/>
    </xf>
    <xf numFmtId="0" fontId="32" fillId="0" borderId="82" xfId="9" applyFont="1" applyFill="1" applyBorder="1" applyAlignment="1">
      <alignment horizontal="center" vertical="center"/>
    </xf>
    <xf numFmtId="41" fontId="32" fillId="0" borderId="82" xfId="10" applyFont="1" applyFill="1" applyBorder="1" applyAlignment="1">
      <alignment horizontal="center" vertical="center"/>
    </xf>
    <xf numFmtId="41" fontId="32" fillId="0" borderId="13" xfId="10" applyFont="1" applyFill="1" applyBorder="1" applyAlignment="1">
      <alignment horizontal="center" vertical="center"/>
    </xf>
    <xf numFmtId="41" fontId="18" fillId="0" borderId="30" xfId="10" applyFont="1" applyFill="1" applyBorder="1" applyAlignment="1">
      <alignment horizontal="center" vertical="center"/>
    </xf>
    <xf numFmtId="41" fontId="6" fillId="8" borderId="64" xfId="10" applyFont="1" applyFill="1" applyBorder="1" applyAlignment="1">
      <alignment horizontal="center" vertical="center"/>
    </xf>
    <xf numFmtId="41" fontId="6" fillId="8" borderId="64" xfId="10" applyFont="1" applyFill="1" applyBorder="1" applyAlignment="1">
      <alignment horizontal="right" vertical="center"/>
    </xf>
    <xf numFmtId="41" fontId="6" fillId="0" borderId="10" xfId="10" applyFont="1" applyFill="1" applyBorder="1" applyAlignment="1">
      <alignment horizontal="center" vertical="center"/>
    </xf>
    <xf numFmtId="41" fontId="6" fillId="0" borderId="10" xfId="10" applyFont="1" applyFill="1" applyBorder="1" applyAlignment="1">
      <alignment horizontal="right" vertical="center"/>
    </xf>
    <xf numFmtId="176" fontId="6" fillId="8" borderId="64" xfId="10" applyNumberFormat="1" applyFont="1" applyFill="1" applyBorder="1" applyAlignment="1">
      <alignment horizontal="right" vertical="center"/>
    </xf>
    <xf numFmtId="41" fontId="18" fillId="0" borderId="10" xfId="10" applyFont="1" applyFill="1" applyBorder="1" applyAlignment="1">
      <alignment horizontal="center" vertical="center"/>
    </xf>
    <xf numFmtId="41" fontId="6" fillId="8" borderId="66" xfId="10" applyFont="1" applyFill="1" applyBorder="1" applyAlignment="1">
      <alignment horizontal="center" vertical="center"/>
    </xf>
    <xf numFmtId="0" fontId="6" fillId="0" borderId="10" xfId="9" applyFont="1" applyFill="1" applyBorder="1" applyAlignment="1">
      <alignment horizontal="center" vertical="center"/>
    </xf>
    <xf numFmtId="41" fontId="6" fillId="8" borderId="65" xfId="10" applyFont="1" applyFill="1" applyBorder="1" applyAlignment="1">
      <alignment horizontal="center" vertical="center"/>
    </xf>
    <xf numFmtId="41" fontId="6" fillId="0" borderId="0" xfId="10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76" fontId="6" fillId="0" borderId="41" xfId="2" applyNumberFormat="1" applyFont="1" applyFill="1" applyBorder="1" applyAlignment="1">
      <alignment horizontal="center" vertical="center"/>
    </xf>
    <xf numFmtId="41" fontId="6" fillId="0" borderId="41" xfId="1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41" fontId="6" fillId="0" borderId="0" xfId="2" applyNumberFormat="1" applyFont="1" applyFill="1" applyBorder="1" applyAlignment="1">
      <alignment horizontal="center" vertical="center"/>
    </xf>
    <xf numFmtId="0" fontId="6" fillId="0" borderId="0" xfId="2" applyFont="1" applyFill="1"/>
    <xf numFmtId="41" fontId="6" fillId="0" borderId="103" xfId="10" applyFont="1" applyFill="1" applyBorder="1" applyAlignment="1">
      <alignment horizontal="center" vertical="center"/>
    </xf>
    <xf numFmtId="0" fontId="6" fillId="0" borderId="103" xfId="9" applyFont="1" applyBorder="1" applyAlignment="1">
      <alignment horizontal="center" vertical="center"/>
    </xf>
    <xf numFmtId="0" fontId="6" fillId="0" borderId="0" xfId="9" applyFont="1" applyFill="1" applyAlignment="1">
      <alignment horizontal="center" vertical="center"/>
    </xf>
    <xf numFmtId="0" fontId="6" fillId="0" borderId="103" xfId="9" applyFont="1" applyFill="1" applyBorder="1" applyAlignment="1">
      <alignment horizontal="center" vertical="center"/>
    </xf>
    <xf numFmtId="0" fontId="6" fillId="0" borderId="0" xfId="9" applyFont="1" applyFill="1" applyBorder="1"/>
    <xf numFmtId="0" fontId="6" fillId="0" borderId="0" xfId="9" applyFont="1" applyFill="1" applyBorder="1" applyAlignment="1">
      <alignment horizontal="center" vertical="center"/>
    </xf>
    <xf numFmtId="0" fontId="47" fillId="0" borderId="0" xfId="2" applyFont="1" applyFill="1" applyBorder="1"/>
    <xf numFmtId="41" fontId="20" fillId="10" borderId="61" xfId="10" applyFont="1" applyFill="1" applyBorder="1" applyAlignment="1">
      <alignment horizontal="center" vertical="center" shrinkToFit="1"/>
    </xf>
    <xf numFmtId="41" fontId="18" fillId="10" borderId="43" xfId="10" applyFont="1" applyFill="1" applyBorder="1" applyAlignment="1">
      <alignment horizontal="center" vertical="center" shrinkToFit="1"/>
    </xf>
    <xf numFmtId="41" fontId="18" fillId="10" borderId="68" xfId="10" applyFont="1" applyFill="1" applyBorder="1" applyAlignment="1">
      <alignment horizontal="center" vertical="center" shrinkToFit="1"/>
    </xf>
    <xf numFmtId="41" fontId="18" fillId="10" borderId="69" xfId="10" applyFont="1" applyFill="1" applyBorder="1" applyAlignment="1">
      <alignment horizontal="center" vertical="center"/>
    </xf>
    <xf numFmtId="41" fontId="18" fillId="10" borderId="79" xfId="10" applyFont="1" applyFill="1" applyBorder="1" applyAlignment="1">
      <alignment horizontal="center" vertical="center"/>
    </xf>
    <xf numFmtId="41" fontId="20" fillId="10" borderId="70" xfId="10" applyFont="1" applyFill="1" applyBorder="1" applyAlignment="1">
      <alignment horizontal="center" vertical="center" shrinkToFit="1"/>
    </xf>
    <xf numFmtId="41" fontId="20" fillId="10" borderId="79" xfId="10" applyFont="1" applyFill="1" applyBorder="1" applyAlignment="1">
      <alignment horizontal="center" vertical="center"/>
    </xf>
    <xf numFmtId="41" fontId="18" fillId="10" borderId="89" xfId="10" applyFont="1" applyFill="1" applyBorder="1" applyAlignment="1">
      <alignment horizontal="center" vertical="center" shrinkToFit="1"/>
    </xf>
    <xf numFmtId="41" fontId="6" fillId="0" borderId="68" xfId="10" applyFont="1" applyFill="1" applyBorder="1" applyAlignment="1">
      <alignment horizontal="center" vertical="center"/>
    </xf>
    <xf numFmtId="41" fontId="6" fillId="0" borderId="69" xfId="10" applyFont="1" applyFill="1" applyBorder="1" applyAlignment="1">
      <alignment horizontal="center" vertical="center"/>
    </xf>
    <xf numFmtId="176" fontId="6" fillId="0" borderId="69" xfId="10" applyNumberFormat="1" applyFont="1" applyFill="1" applyBorder="1" applyAlignment="1">
      <alignment horizontal="right" vertical="center"/>
    </xf>
    <xf numFmtId="41" fontId="6" fillId="0" borderId="79" xfId="10" applyFont="1" applyFill="1" applyBorder="1" applyAlignment="1">
      <alignment horizontal="center" vertical="center"/>
    </xf>
    <xf numFmtId="176" fontId="6" fillId="0" borderId="67" xfId="10" applyNumberFormat="1" applyFont="1" applyFill="1" applyBorder="1" applyAlignment="1">
      <alignment vertical="center"/>
    </xf>
    <xf numFmtId="176" fontId="6" fillId="0" borderId="69" xfId="10" applyNumberFormat="1" applyFont="1" applyFill="1" applyBorder="1" applyAlignment="1">
      <alignment vertical="center"/>
    </xf>
    <xf numFmtId="41" fontId="6" fillId="0" borderId="79" xfId="10" applyFont="1" applyFill="1" applyBorder="1" applyAlignment="1">
      <alignment vertical="center"/>
    </xf>
    <xf numFmtId="41" fontId="21" fillId="0" borderId="70" xfId="10" applyFont="1" applyFill="1" applyBorder="1" applyAlignment="1">
      <alignment horizontal="center" vertical="center"/>
    </xf>
    <xf numFmtId="176" fontId="6" fillId="0" borderId="69" xfId="10" applyNumberFormat="1" applyFont="1" applyFill="1" applyBorder="1" applyAlignment="1">
      <alignment horizontal="center" vertical="center"/>
    </xf>
    <xf numFmtId="41" fontId="21" fillId="0" borderId="79" xfId="10" applyFont="1" applyFill="1" applyBorder="1" applyAlignment="1">
      <alignment horizontal="center" vertical="center"/>
    </xf>
    <xf numFmtId="41" fontId="21" fillId="0" borderId="91" xfId="10" applyFont="1" applyFill="1" applyBorder="1" applyAlignment="1">
      <alignment horizontal="center" vertical="center"/>
    </xf>
    <xf numFmtId="41" fontId="6" fillId="0" borderId="102" xfId="10" applyFont="1" applyFill="1" applyBorder="1" applyAlignment="1">
      <alignment horizontal="center" vertical="center"/>
    </xf>
    <xf numFmtId="190" fontId="6" fillId="0" borderId="30" xfId="2" applyNumberFormat="1" applyFont="1" applyFill="1" applyBorder="1" applyAlignment="1">
      <alignment vertical="center"/>
    </xf>
    <xf numFmtId="190" fontId="6" fillId="0" borderId="10" xfId="2" applyNumberFormat="1" applyFont="1" applyFill="1" applyBorder="1" applyAlignment="1">
      <alignment vertical="center"/>
    </xf>
    <xf numFmtId="0" fontId="47" fillId="0" borderId="0" xfId="2" applyFont="1" applyFill="1" applyAlignment="1">
      <alignment vertical="center"/>
    </xf>
    <xf numFmtId="190" fontId="6" fillId="0" borderId="81" xfId="2" applyNumberFormat="1" applyFont="1" applyFill="1" applyBorder="1" applyAlignment="1">
      <alignment vertical="center"/>
    </xf>
    <xf numFmtId="190" fontId="21" fillId="0" borderId="65" xfId="2" applyNumberFormat="1" applyFont="1" applyFill="1" applyBorder="1" applyAlignment="1">
      <alignment vertical="center"/>
    </xf>
    <xf numFmtId="190" fontId="21" fillId="0" borderId="92" xfId="2" applyNumberFormat="1" applyFont="1" applyFill="1" applyBorder="1" applyAlignment="1">
      <alignment vertical="center"/>
    </xf>
    <xf numFmtId="190" fontId="21" fillId="0" borderId="46" xfId="2" applyNumberFormat="1" applyFont="1" applyFill="1" applyBorder="1" applyAlignment="1">
      <alignment vertical="center"/>
    </xf>
    <xf numFmtId="41" fontId="6" fillId="0" borderId="0" xfId="10" applyFont="1" applyFill="1" applyBorder="1" applyAlignment="1">
      <alignment horizontal="left" vertical="center" wrapText="1"/>
    </xf>
    <xf numFmtId="41" fontId="6" fillId="0" borderId="0" xfId="10" applyFont="1" applyAlignment="1">
      <alignment horizontal="left" vertical="center"/>
    </xf>
    <xf numFmtId="41" fontId="6" fillId="0" borderId="0" xfId="10" applyFont="1" applyFill="1" applyAlignment="1">
      <alignment horizontal="center" vertical="center"/>
    </xf>
    <xf numFmtId="41" fontId="6" fillId="0" borderId="0" xfId="6" applyFont="1" applyFill="1" applyBorder="1" applyAlignment="1">
      <alignment horizontal="center" vertical="center"/>
    </xf>
    <xf numFmtId="41" fontId="6" fillId="0" borderId="0" xfId="10" applyFont="1" applyBorder="1" applyAlignment="1">
      <alignment horizontal="center" vertical="center"/>
    </xf>
    <xf numFmtId="41" fontId="44" fillId="0" borderId="0" xfId="10" applyFont="1" applyFill="1"/>
    <xf numFmtId="41" fontId="44" fillId="0" borderId="0" xfId="10" applyFont="1" applyAlignment="1">
      <alignment horizontal="left" vertical="center"/>
    </xf>
    <xf numFmtId="41" fontId="44" fillId="0" borderId="0" xfId="10" applyFont="1" applyFill="1" applyBorder="1" applyAlignment="1">
      <alignment horizontal="center" vertical="center" wrapText="1"/>
    </xf>
    <xf numFmtId="41" fontId="44" fillId="0" borderId="0" xfId="10" applyFont="1" applyFill="1" applyBorder="1" applyAlignment="1">
      <alignment vertical="top"/>
    </xf>
    <xf numFmtId="41" fontId="44" fillId="0" borderId="0" xfId="10" quotePrefix="1" applyFont="1" applyFill="1" applyBorder="1" applyAlignment="1">
      <alignment vertical="center"/>
    </xf>
    <xf numFmtId="41" fontId="44" fillId="0" borderId="0" xfId="10" applyFont="1" applyFill="1" applyBorder="1" applyAlignment="1">
      <alignment vertical="center"/>
    </xf>
    <xf numFmtId="41" fontId="44" fillId="0" borderId="0" xfId="10" applyFont="1" applyFill="1" applyAlignment="1">
      <alignment horizontal="center"/>
    </xf>
    <xf numFmtId="41" fontId="44" fillId="0" borderId="0" xfId="10" applyFont="1" applyFill="1" applyAlignment="1">
      <alignment vertical="center"/>
    </xf>
    <xf numFmtId="41" fontId="50" fillId="0" borderId="0" xfId="10" applyFont="1" applyFill="1" applyBorder="1" applyAlignment="1">
      <alignment vertical="center"/>
    </xf>
    <xf numFmtId="41" fontId="6" fillId="0" borderId="0" xfId="10" applyFont="1" applyAlignment="1">
      <alignment horizontal="left"/>
    </xf>
    <xf numFmtId="0" fontId="17" fillId="0" borderId="0" xfId="2" applyFont="1" applyFill="1"/>
    <xf numFmtId="176" fontId="17" fillId="0" borderId="0" xfId="2" applyNumberFormat="1" applyFont="1" applyFill="1"/>
    <xf numFmtId="176" fontId="18" fillId="0" borderId="0" xfId="2" applyNumberFormat="1" applyFont="1" applyFill="1"/>
    <xf numFmtId="41" fontId="44" fillId="0" borderId="0" xfId="6" applyFont="1" applyFill="1"/>
    <xf numFmtId="0" fontId="6" fillId="0" borderId="0" xfId="2" applyFont="1" applyFill="1" applyBorder="1" applyAlignment="1">
      <alignment horizontal="center" vertical="center" wrapText="1"/>
    </xf>
    <xf numFmtId="176" fontId="6" fillId="0" borderId="0" xfId="2" quotePrefix="1" applyNumberFormat="1" applyFont="1" applyFill="1" applyBorder="1" applyAlignment="1">
      <alignment vertical="center"/>
    </xf>
    <xf numFmtId="176" fontId="6" fillId="0" borderId="0" xfId="2" applyNumberFormat="1" applyFont="1" applyFill="1" applyBorder="1" applyAlignment="1">
      <alignment vertical="center"/>
    </xf>
    <xf numFmtId="41" fontId="44" fillId="0" borderId="0" xfId="10" applyFont="1" applyFill="1" applyBorder="1"/>
    <xf numFmtId="0" fontId="44" fillId="0" borderId="0" xfId="2" applyFont="1" applyFill="1" applyBorder="1"/>
    <xf numFmtId="176" fontId="44" fillId="0" borderId="0" xfId="2" applyNumberFormat="1" applyFont="1" applyFill="1"/>
    <xf numFmtId="176" fontId="21" fillId="0" borderId="0" xfId="2" applyNumberFormat="1" applyFont="1" applyFill="1" applyBorder="1" applyAlignment="1">
      <alignment vertical="center"/>
    </xf>
    <xf numFmtId="41" fontId="17" fillId="0" borderId="0" xfId="2" applyNumberFormat="1" applyFont="1" applyFill="1"/>
    <xf numFmtId="0" fontId="17" fillId="0" borderId="0" xfId="2" applyFont="1" applyFill="1" applyBorder="1"/>
    <xf numFmtId="0" fontId="44" fillId="0" borderId="0" xfId="2" applyFont="1" applyFill="1"/>
    <xf numFmtId="41" fontId="9" fillId="0" borderId="0" xfId="2" applyNumberFormat="1" applyFont="1" applyFill="1"/>
    <xf numFmtId="0" fontId="9" fillId="0" borderId="0" xfId="2" applyFont="1" applyFill="1" applyBorder="1"/>
    <xf numFmtId="176" fontId="51" fillId="0" borderId="0" xfId="2" applyNumberFormat="1" applyFont="1" applyFill="1" applyBorder="1" applyAlignment="1">
      <alignment vertical="center"/>
    </xf>
    <xf numFmtId="176" fontId="6" fillId="0" borderId="0" xfId="2" applyNumberFormat="1" applyFont="1" applyFill="1"/>
    <xf numFmtId="191" fontId="22" fillId="0" borderId="0" xfId="2" applyNumberFormat="1" applyFont="1" applyFill="1"/>
    <xf numFmtId="176" fontId="44" fillId="0" borderId="0" xfId="2" applyNumberFormat="1" applyFont="1" applyFill="1" applyBorder="1"/>
    <xf numFmtId="192" fontId="44" fillId="0" borderId="0" xfId="2" applyNumberFormat="1" applyFont="1" applyFill="1"/>
    <xf numFmtId="0" fontId="6" fillId="0" borderId="0" xfId="2" applyFont="1" applyFill="1" applyBorder="1"/>
    <xf numFmtId="0" fontId="6" fillId="0" borderId="0" xfId="2" applyFont="1" applyFill="1" applyBorder="1" applyAlignment="1">
      <alignment vertical="center"/>
    </xf>
    <xf numFmtId="2" fontId="6" fillId="0" borderId="0" xfId="2" applyNumberFormat="1" applyFont="1" applyFill="1" applyBorder="1"/>
    <xf numFmtId="2" fontId="6" fillId="0" borderId="0" xfId="2" applyNumberFormat="1" applyFont="1" applyFill="1"/>
    <xf numFmtId="188" fontId="6" fillId="0" borderId="0" xfId="2" applyNumberFormat="1" applyFont="1" applyFill="1"/>
    <xf numFmtId="0" fontId="16" fillId="0" borderId="0" xfId="2" applyFont="1"/>
    <xf numFmtId="0" fontId="52" fillId="0" borderId="0" xfId="2" applyFont="1" applyAlignment="1" applyProtection="1">
      <alignment vertical="center"/>
      <protection locked="0"/>
    </xf>
    <xf numFmtId="0" fontId="17" fillId="0" borderId="0" xfId="2" applyNumberFormat="1" applyFont="1" applyAlignment="1">
      <alignment horizontal="left" vertical="center"/>
    </xf>
    <xf numFmtId="0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right" vertical="top"/>
    </xf>
    <xf numFmtId="0" fontId="6" fillId="0" borderId="74" xfId="2" applyFont="1" applyBorder="1" applyAlignment="1">
      <alignment horizontal="centerContinuous" vertical="center"/>
    </xf>
    <xf numFmtId="0" fontId="6" fillId="0" borderId="41" xfId="2" applyFont="1" applyBorder="1" applyAlignment="1">
      <alignment horizontal="center" vertical="center"/>
    </xf>
    <xf numFmtId="0" fontId="6" fillId="0" borderId="41" xfId="2" applyFont="1" applyBorder="1" applyAlignment="1">
      <alignment horizontal="centerContinuous" vertical="center"/>
    </xf>
    <xf numFmtId="0" fontId="6" fillId="0" borderId="96" xfId="2" applyFont="1" applyBorder="1" applyAlignment="1">
      <alignment horizontal="centerContinuous" vertical="center"/>
    </xf>
    <xf numFmtId="0" fontId="22" fillId="0" borderId="0" xfId="2" applyFont="1" applyAlignment="1">
      <alignment horizontal="center" vertical="center"/>
    </xf>
    <xf numFmtId="0" fontId="6" fillId="0" borderId="66" xfId="2" applyFont="1" applyBorder="1" applyAlignment="1">
      <alignment horizontal="center" vertical="center" wrapText="1"/>
    </xf>
    <xf numFmtId="0" fontId="6" fillId="0" borderId="65" xfId="2" applyFont="1" applyBorder="1" applyAlignment="1">
      <alignment horizontal="center" vertical="center"/>
    </xf>
    <xf numFmtId="0" fontId="6" fillId="0" borderId="66" xfId="2" applyFont="1" applyBorder="1" applyAlignment="1">
      <alignment horizontal="center" vertical="center"/>
    </xf>
    <xf numFmtId="0" fontId="6" fillId="0" borderId="81" xfId="2" applyFont="1" applyBorder="1" applyAlignment="1">
      <alignment horizontal="center" vertical="center"/>
    </xf>
    <xf numFmtId="0" fontId="6" fillId="0" borderId="63" xfId="2" applyFont="1" applyBorder="1" applyAlignment="1">
      <alignment horizontal="center" vertical="center" wrapText="1"/>
    </xf>
    <xf numFmtId="0" fontId="6" fillId="0" borderId="104" xfId="2" applyFont="1" applyBorder="1" applyAlignment="1">
      <alignment horizontal="center" vertical="center"/>
    </xf>
    <xf numFmtId="0" fontId="6" fillId="0" borderId="101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6" fillId="0" borderId="31" xfId="10" applyNumberFormat="1" applyFont="1" applyBorder="1" applyAlignment="1">
      <alignment horizontal="right" vertical="center"/>
    </xf>
    <xf numFmtId="176" fontId="6" fillId="0" borderId="12" xfId="10" applyNumberFormat="1" applyFont="1" applyBorder="1" applyAlignment="1">
      <alignment horizontal="right" vertical="center"/>
    </xf>
    <xf numFmtId="41" fontId="6" fillId="0" borderId="12" xfId="10" applyNumberFormat="1" applyFont="1" applyBorder="1" applyAlignment="1">
      <alignment horizontal="right" vertical="center"/>
    </xf>
    <xf numFmtId="176" fontId="6" fillId="0" borderId="13" xfId="10" applyNumberFormat="1" applyFont="1" applyBorder="1" applyAlignment="1">
      <alignment horizontal="right" vertical="center"/>
    </xf>
    <xf numFmtId="176" fontId="6" fillId="0" borderId="88" xfId="10" applyNumberFormat="1" applyFont="1" applyBorder="1" applyAlignment="1">
      <alignment horizontal="right" vertical="center"/>
    </xf>
    <xf numFmtId="0" fontId="6" fillId="0" borderId="84" xfId="2" quotePrefix="1" applyNumberFormat="1" applyFont="1" applyBorder="1" applyAlignment="1">
      <alignment horizontal="center" vertical="center"/>
    </xf>
    <xf numFmtId="176" fontId="6" fillId="0" borderId="82" xfId="10" applyNumberFormat="1" applyFont="1" applyBorder="1" applyAlignment="1">
      <alignment horizontal="right" vertical="center"/>
    </xf>
    <xf numFmtId="41" fontId="6" fillId="0" borderId="27" xfId="10" applyNumberFormat="1" applyFont="1" applyBorder="1" applyAlignment="1">
      <alignment horizontal="right" vertical="center"/>
    </xf>
    <xf numFmtId="176" fontId="6" fillId="0" borderId="102" xfId="10" applyNumberFormat="1" applyFont="1" applyBorder="1" applyAlignment="1">
      <alignment horizontal="right" vertical="center"/>
    </xf>
    <xf numFmtId="176" fontId="6" fillId="0" borderId="96" xfId="10" applyNumberFormat="1" applyFont="1" applyBorder="1" applyAlignment="1">
      <alignment horizontal="right" vertical="center"/>
    </xf>
    <xf numFmtId="0" fontId="6" fillId="0" borderId="0" xfId="2" applyFont="1"/>
    <xf numFmtId="0" fontId="6" fillId="0" borderId="0" xfId="2" applyFont="1" applyBorder="1"/>
    <xf numFmtId="41" fontId="6" fillId="0" borderId="12" xfId="10" applyFont="1" applyBorder="1" applyAlignment="1">
      <alignment horizontal="right" vertical="center"/>
    </xf>
    <xf numFmtId="41" fontId="6" fillId="0" borderId="13" xfId="10" applyFont="1" applyBorder="1" applyAlignment="1">
      <alignment horizontal="right" vertical="center"/>
    </xf>
    <xf numFmtId="41" fontId="6" fillId="0" borderId="31" xfId="10" applyFont="1" applyBorder="1" applyAlignment="1">
      <alignment horizontal="right" vertical="center"/>
    </xf>
    <xf numFmtId="0" fontId="6" fillId="0" borderId="84" xfId="10" applyNumberFormat="1" applyFont="1" applyBorder="1" applyAlignment="1">
      <alignment horizontal="center" vertical="center"/>
    </xf>
    <xf numFmtId="176" fontId="6" fillId="0" borderId="32" xfId="10" applyNumberFormat="1" applyFont="1" applyBorder="1" applyAlignment="1">
      <alignment horizontal="right" vertical="center"/>
    </xf>
    <xf numFmtId="41" fontId="6" fillId="0" borderId="15" xfId="10" applyFont="1" applyBorder="1" applyAlignment="1">
      <alignment horizontal="right" vertical="center"/>
    </xf>
    <xf numFmtId="41" fontId="6" fillId="0" borderId="15" xfId="10" applyNumberFormat="1" applyFont="1" applyBorder="1" applyAlignment="1">
      <alignment horizontal="right" vertical="center"/>
    </xf>
    <xf numFmtId="176" fontId="6" fillId="0" borderId="15" xfId="10" applyNumberFormat="1" applyFont="1" applyBorder="1" applyAlignment="1">
      <alignment horizontal="right" vertical="center"/>
    </xf>
    <xf numFmtId="176" fontId="6" fillId="0" borderId="16" xfId="10" applyNumberFormat="1" applyFont="1" applyBorder="1" applyAlignment="1">
      <alignment horizontal="right" vertical="center"/>
    </xf>
    <xf numFmtId="176" fontId="6" fillId="0" borderId="67" xfId="10" applyNumberFormat="1" applyFont="1" applyBorder="1" applyAlignment="1">
      <alignment horizontal="right" vertical="center"/>
    </xf>
    <xf numFmtId="176" fontId="6" fillId="0" borderId="90" xfId="10" applyNumberFormat="1" applyFont="1" applyBorder="1" applyAlignment="1">
      <alignment horizontal="right" vertical="center"/>
    </xf>
    <xf numFmtId="41" fontId="6" fillId="0" borderId="16" xfId="10" applyFont="1" applyBorder="1" applyAlignment="1">
      <alignment horizontal="right" vertical="center"/>
    </xf>
    <xf numFmtId="0" fontId="6" fillId="0" borderId="89" xfId="10" applyNumberFormat="1" applyFont="1" applyBorder="1" applyAlignment="1">
      <alignment horizontal="center" vertical="center"/>
    </xf>
    <xf numFmtId="41" fontId="6" fillId="0" borderId="32" xfId="10" applyFont="1" applyBorder="1" applyAlignment="1">
      <alignment horizontal="right" vertical="center"/>
    </xf>
    <xf numFmtId="176" fontId="6" fillId="0" borderId="105" xfId="10" applyNumberFormat="1" applyFont="1" applyBorder="1" applyAlignment="1">
      <alignment horizontal="right" vertical="center"/>
    </xf>
    <xf numFmtId="2" fontId="6" fillId="0" borderId="106" xfId="2" quotePrefix="1" applyNumberFormat="1" applyFont="1" applyBorder="1" applyAlignment="1">
      <alignment horizontal="center" vertical="center"/>
    </xf>
    <xf numFmtId="176" fontId="6" fillId="0" borderId="68" xfId="10" applyNumberFormat="1" applyFont="1" applyBorder="1" applyAlignment="1">
      <alignment horizontal="right" vertical="center"/>
    </xf>
    <xf numFmtId="41" fontId="6" fillId="0" borderId="69" xfId="10" applyFont="1" applyBorder="1" applyAlignment="1">
      <alignment horizontal="right" vertical="center"/>
    </xf>
    <xf numFmtId="41" fontId="6" fillId="0" borderId="69" xfId="10" applyNumberFormat="1" applyFont="1" applyBorder="1" applyAlignment="1">
      <alignment horizontal="right" vertical="center"/>
    </xf>
    <xf numFmtId="176" fontId="6" fillId="0" borderId="69" xfId="10" applyNumberFormat="1" applyFont="1" applyBorder="1" applyAlignment="1">
      <alignment horizontal="right" vertical="center"/>
    </xf>
    <xf numFmtId="176" fontId="6" fillId="0" borderId="70" xfId="10" applyNumberFormat="1" applyFont="1" applyBorder="1" applyAlignment="1">
      <alignment horizontal="right" vertical="center"/>
    </xf>
    <xf numFmtId="176" fontId="6" fillId="0" borderId="71" xfId="10" applyNumberFormat="1" applyFont="1" applyBorder="1" applyAlignment="1">
      <alignment horizontal="right" vertical="center"/>
    </xf>
    <xf numFmtId="176" fontId="6" fillId="0" borderId="79" xfId="10" applyNumberFormat="1" applyFont="1" applyBorder="1" applyAlignment="1">
      <alignment horizontal="right" vertical="center"/>
    </xf>
    <xf numFmtId="41" fontId="6" fillId="0" borderId="70" xfId="10" applyFont="1" applyBorder="1" applyAlignment="1">
      <alignment horizontal="right" vertical="center"/>
    </xf>
    <xf numFmtId="2" fontId="6" fillId="0" borderId="91" xfId="10" applyNumberFormat="1" applyFont="1" applyBorder="1" applyAlignment="1">
      <alignment horizontal="center" vertical="center"/>
    </xf>
    <xf numFmtId="41" fontId="6" fillId="0" borderId="68" xfId="10" applyFont="1" applyBorder="1" applyAlignment="1">
      <alignment horizontal="right" vertical="center"/>
    </xf>
    <xf numFmtId="176" fontId="6" fillId="0" borderId="80" xfId="10" applyNumberFormat="1" applyFont="1" applyBorder="1" applyAlignment="1">
      <alignment horizontal="right" vertical="center"/>
    </xf>
    <xf numFmtId="2" fontId="6" fillId="0" borderId="107" xfId="2" quotePrefix="1" applyNumberFormat="1" applyFont="1" applyBorder="1" applyAlignment="1">
      <alignment horizontal="center" vertical="center"/>
    </xf>
    <xf numFmtId="2" fontId="6" fillId="0" borderId="84" xfId="10" applyNumberFormat="1" applyFont="1" applyBorder="1" applyAlignment="1">
      <alignment horizontal="center" vertical="center"/>
    </xf>
    <xf numFmtId="2" fontId="6" fillId="0" borderId="108" xfId="2" quotePrefix="1" applyNumberFormat="1" applyFont="1" applyBorder="1" applyAlignment="1">
      <alignment horizontal="center" vertical="center"/>
    </xf>
    <xf numFmtId="176" fontId="6" fillId="0" borderId="30" xfId="10" applyNumberFormat="1" applyFont="1" applyBorder="1" applyAlignment="1">
      <alignment horizontal="right" vertical="center"/>
    </xf>
    <xf numFmtId="41" fontId="6" fillId="0" borderId="10" xfId="10" applyFont="1" applyBorder="1" applyAlignment="1">
      <alignment horizontal="right" vertical="center"/>
    </xf>
    <xf numFmtId="41" fontId="6" fillId="0" borderId="10" xfId="10" applyNumberFormat="1" applyFont="1" applyBorder="1" applyAlignment="1">
      <alignment horizontal="right" vertical="center"/>
    </xf>
    <xf numFmtId="176" fontId="6" fillId="0" borderId="10" xfId="10" applyNumberFormat="1" applyFont="1" applyBorder="1" applyAlignment="1">
      <alignment horizontal="right" vertical="center"/>
    </xf>
    <xf numFmtId="176" fontId="6" fillId="0" borderId="11" xfId="10" applyNumberFormat="1" applyFont="1" applyBorder="1" applyAlignment="1">
      <alignment horizontal="right" vertical="center"/>
    </xf>
    <xf numFmtId="176" fontId="6" fillId="0" borderId="47" xfId="10" applyNumberFormat="1" applyFont="1" applyBorder="1" applyAlignment="1">
      <alignment horizontal="right" vertical="center"/>
    </xf>
    <xf numFmtId="176" fontId="6" fillId="0" borderId="92" xfId="10" applyNumberFormat="1" applyFont="1" applyBorder="1" applyAlignment="1">
      <alignment horizontal="right" vertical="center"/>
    </xf>
    <xf numFmtId="41" fontId="6" fillId="0" borderId="11" xfId="10" applyFont="1" applyBorder="1" applyAlignment="1">
      <alignment horizontal="right" vertical="center"/>
    </xf>
    <xf numFmtId="41" fontId="6" fillId="0" borderId="30" xfId="10" applyFont="1" applyBorder="1" applyAlignment="1">
      <alignment horizontal="right" vertical="center"/>
    </xf>
    <xf numFmtId="176" fontId="6" fillId="0" borderId="48" xfId="10" applyNumberFormat="1" applyFont="1" applyBorder="1" applyAlignment="1">
      <alignment horizontal="right" vertical="center"/>
    </xf>
    <xf numFmtId="193" fontId="17" fillId="0" borderId="0" xfId="2" applyNumberFormat="1" applyFont="1" applyBorder="1"/>
    <xf numFmtId="0" fontId="6" fillId="0" borderId="0" xfId="2" quotePrefix="1" applyFont="1" applyBorder="1" applyAlignment="1">
      <alignment horizontal="center" vertical="center"/>
    </xf>
    <xf numFmtId="176" fontId="6" fillId="0" borderId="0" xfId="10" applyNumberFormat="1" applyFont="1" applyBorder="1" applyAlignment="1">
      <alignment horizontal="right" vertical="center"/>
    </xf>
    <xf numFmtId="41" fontId="6" fillId="0" borderId="0" xfId="10" applyFont="1" applyBorder="1" applyAlignment="1">
      <alignment horizontal="right" vertical="center"/>
    </xf>
    <xf numFmtId="41" fontId="6" fillId="0" borderId="0" xfId="10" applyNumberFormat="1" applyFont="1" applyBorder="1" applyAlignment="1">
      <alignment horizontal="right" vertical="center"/>
    </xf>
    <xf numFmtId="0" fontId="6" fillId="0" borderId="0" xfId="10" applyNumberFormat="1" applyFont="1" applyBorder="1" applyAlignment="1">
      <alignment horizontal="center" vertical="center"/>
    </xf>
    <xf numFmtId="192" fontId="21" fillId="0" borderId="0" xfId="2" applyNumberFormat="1" applyFont="1" applyBorder="1"/>
    <xf numFmtId="176" fontId="6" fillId="0" borderId="0" xfId="10" applyNumberFormat="1" applyFont="1" applyBorder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9" fillId="0" borderId="0" xfId="2" applyFont="1" applyAlignment="1"/>
    <xf numFmtId="176" fontId="6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vertical="center"/>
    </xf>
    <xf numFmtId="0" fontId="6" fillId="0" borderId="0" xfId="2" applyNumberFormat="1" applyFont="1" applyAlignment="1">
      <alignment horizontal="left" vertical="center"/>
    </xf>
    <xf numFmtId="0" fontId="6" fillId="0" borderId="0" xfId="2" applyFont="1" applyBorder="1" applyAlignment="1">
      <alignment vertical="center"/>
    </xf>
    <xf numFmtId="176" fontId="6" fillId="0" borderId="0" xfId="2" applyNumberFormat="1" applyFont="1" applyBorder="1" applyAlignment="1">
      <alignment horizontal="right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176" fontId="6" fillId="0" borderId="0" xfId="2" applyNumberFormat="1" applyFont="1" applyAlignment="1">
      <alignment horizontal="right" vertical="center"/>
    </xf>
    <xf numFmtId="0" fontId="6" fillId="0" borderId="0" xfId="2" applyFont="1" applyBorder="1" applyAlignment="1">
      <alignment horizontal="right" vertical="center"/>
    </xf>
    <xf numFmtId="0" fontId="6" fillId="0" borderId="0" xfId="2" applyFont="1" applyFill="1" applyBorder="1" applyAlignment="1">
      <alignment horizontal="right"/>
    </xf>
    <xf numFmtId="0" fontId="18" fillId="0" borderId="0" xfId="2" applyFont="1" applyAlignment="1">
      <alignment vertical="center"/>
    </xf>
    <xf numFmtId="0" fontId="9" fillId="0" borderId="0" xfId="2" applyNumberFormat="1" applyFont="1" applyAlignment="1">
      <alignment horizontal="center"/>
    </xf>
    <xf numFmtId="193" fontId="47" fillId="0" borderId="0" xfId="2" applyNumberFormat="1" applyFont="1"/>
    <xf numFmtId="192" fontId="9" fillId="0" borderId="0" xfId="2" applyNumberFormat="1" applyFont="1"/>
    <xf numFmtId="0" fontId="16" fillId="0" borderId="0" xfId="2" applyFont="1" applyAlignment="1">
      <alignment vertical="center"/>
    </xf>
    <xf numFmtId="0" fontId="6" fillId="0" borderId="0" xfId="2" applyFont="1" applyFill="1" applyAlignment="1" applyProtection="1">
      <alignment vertical="center"/>
      <protection locked="0"/>
    </xf>
    <xf numFmtId="176" fontId="53" fillId="0" borderId="0" xfId="2" applyNumberFormat="1" applyFont="1" applyFill="1" applyAlignment="1" applyProtection="1">
      <alignment vertical="center"/>
      <protection locked="0"/>
    </xf>
    <xf numFmtId="0" fontId="53" fillId="0" borderId="0" xfId="2" applyFont="1" applyFill="1" applyAlignment="1" applyProtection="1">
      <alignment vertical="center"/>
      <protection locked="0"/>
    </xf>
    <xf numFmtId="0" fontId="9" fillId="0" borderId="0" xfId="2" applyFont="1" applyFill="1" applyAlignment="1">
      <alignment vertical="center"/>
    </xf>
    <xf numFmtId="176" fontId="6" fillId="0" borderId="0" xfId="2" applyNumberFormat="1" applyFont="1" applyFill="1" applyAlignment="1" applyProtection="1">
      <alignment vertical="center"/>
      <protection locked="0"/>
    </xf>
    <xf numFmtId="0" fontId="17" fillId="0" borderId="0" xfId="2" applyFont="1" applyFill="1" applyAlignment="1" applyProtection="1">
      <alignment vertical="center"/>
      <protection locked="0"/>
    </xf>
    <xf numFmtId="0" fontId="53" fillId="0" borderId="0" xfId="2" applyFont="1" applyFill="1" applyAlignment="1">
      <alignment vertical="center"/>
    </xf>
    <xf numFmtId="0" fontId="6" fillId="0" borderId="0" xfId="2" applyFont="1" applyFill="1" applyAlignment="1" applyProtection="1">
      <alignment vertical="top"/>
      <protection locked="0"/>
    </xf>
    <xf numFmtId="176" fontId="54" fillId="0" borderId="0" xfId="2" applyNumberFormat="1" applyFont="1" applyFill="1" applyAlignment="1" applyProtection="1">
      <alignment vertical="center"/>
      <protection locked="0"/>
    </xf>
    <xf numFmtId="0" fontId="54" fillId="0" borderId="0" xfId="2" applyFont="1" applyFill="1" applyAlignment="1" applyProtection="1">
      <alignment vertical="center"/>
      <protection locked="0"/>
    </xf>
    <xf numFmtId="176" fontId="54" fillId="0" borderId="0" xfId="2" applyNumberFormat="1" applyFont="1" applyFill="1" applyProtection="1">
      <protection locked="0"/>
    </xf>
    <xf numFmtId="0" fontId="6" fillId="0" borderId="0" xfId="2" applyFont="1" applyFill="1" applyProtection="1">
      <protection locked="0"/>
    </xf>
    <xf numFmtId="176" fontId="6" fillId="0" borderId="0" xfId="2" applyNumberFormat="1" applyFont="1" applyFill="1" applyProtection="1">
      <protection locked="0"/>
    </xf>
    <xf numFmtId="0" fontId="54" fillId="0" borderId="0" xfId="2" applyFont="1" applyFill="1" applyProtection="1">
      <protection locked="0"/>
    </xf>
    <xf numFmtId="0" fontId="17" fillId="0" borderId="0" xfId="2" applyFont="1" applyFill="1" applyProtection="1">
      <protection locked="0"/>
    </xf>
    <xf numFmtId="0" fontId="54" fillId="0" borderId="0" xfId="2" applyFont="1" applyFill="1"/>
    <xf numFmtId="0" fontId="18" fillId="0" borderId="0" xfId="2" quotePrefix="1" applyFont="1" applyFill="1" applyAlignment="1">
      <alignment vertical="top"/>
    </xf>
    <xf numFmtId="176" fontId="16" fillId="0" borderId="0" xfId="2" applyNumberFormat="1" applyFont="1" applyFill="1" applyAlignment="1">
      <alignment vertical="top"/>
    </xf>
    <xf numFmtId="176" fontId="16" fillId="0" borderId="0" xfId="2" applyNumberFormat="1" applyFont="1" applyFill="1" applyAlignment="1" applyProtection="1">
      <alignment vertical="top"/>
      <protection locked="0"/>
    </xf>
    <xf numFmtId="176" fontId="18" fillId="0" borderId="0" xfId="2" applyNumberFormat="1" applyFont="1" applyFill="1" applyAlignment="1" applyProtection="1">
      <alignment vertical="top"/>
      <protection locked="0"/>
    </xf>
    <xf numFmtId="176" fontId="44" fillId="0" borderId="0" xfId="2" applyNumberFormat="1" applyFont="1" applyFill="1" applyAlignment="1" applyProtection="1">
      <alignment vertical="top"/>
      <protection locked="0"/>
    </xf>
    <xf numFmtId="176" fontId="6" fillId="0" borderId="0" xfId="2" applyNumberFormat="1" applyFont="1" applyFill="1" applyAlignment="1" applyProtection="1">
      <alignment vertical="top"/>
      <protection locked="0"/>
    </xf>
    <xf numFmtId="176" fontId="16" fillId="0" borderId="0" xfId="2" applyNumberFormat="1" applyFont="1" applyFill="1" applyBorder="1" applyAlignment="1" applyProtection="1">
      <alignment horizontal="center" vertical="top"/>
      <protection locked="0"/>
    </xf>
    <xf numFmtId="176" fontId="17" fillId="0" borderId="0" xfId="2" applyNumberFormat="1" applyFont="1" applyFill="1" applyAlignment="1">
      <alignment vertical="top"/>
    </xf>
    <xf numFmtId="176" fontId="6" fillId="0" borderId="0" xfId="2" applyNumberFormat="1" applyFont="1" applyFill="1" applyBorder="1" applyAlignment="1" applyProtection="1">
      <alignment horizontal="right" vertical="top"/>
      <protection locked="0"/>
    </xf>
    <xf numFmtId="182" fontId="44" fillId="0" borderId="72" xfId="2" applyNumberFormat="1" applyFont="1" applyFill="1" applyBorder="1" applyAlignment="1">
      <alignment horizontal="center" vertical="center"/>
    </xf>
    <xf numFmtId="182" fontId="44" fillId="0" borderId="73" xfId="2" applyNumberFormat="1" applyFont="1" applyFill="1" applyBorder="1" applyAlignment="1">
      <alignment horizontal="center" vertical="center"/>
    </xf>
    <xf numFmtId="0" fontId="44" fillId="0" borderId="41" xfId="2" applyFont="1" applyFill="1" applyBorder="1" applyAlignment="1">
      <alignment vertical="center"/>
    </xf>
    <xf numFmtId="0" fontId="44" fillId="0" borderId="26" xfId="2" applyFont="1" applyFill="1" applyBorder="1" applyAlignment="1">
      <alignment horizontal="center" vertical="center"/>
    </xf>
    <xf numFmtId="0" fontId="44" fillId="0" borderId="44" xfId="2" applyFont="1" applyFill="1" applyBorder="1" applyAlignment="1">
      <alignment vertical="center"/>
    </xf>
    <xf numFmtId="176" fontId="44" fillId="0" borderId="110" xfId="11" applyNumberFormat="1" applyFont="1" applyFill="1" applyBorder="1" applyAlignment="1" applyProtection="1">
      <alignment horizontal="right" vertical="center"/>
      <protection locked="0"/>
    </xf>
    <xf numFmtId="176" fontId="44" fillId="0" borderId="41" xfId="11" applyNumberFormat="1" applyFont="1" applyFill="1" applyBorder="1" applyAlignment="1">
      <alignment horizontal="right" vertical="center"/>
    </xf>
    <xf numFmtId="176" fontId="44" fillId="0" borderId="44" xfId="11" applyNumberFormat="1" applyFont="1" applyFill="1" applyBorder="1" applyAlignment="1">
      <alignment vertical="center"/>
    </xf>
    <xf numFmtId="176" fontId="44" fillId="0" borderId="96" xfId="11" applyNumberFormat="1" applyFont="1" applyFill="1" applyBorder="1" applyAlignment="1">
      <alignment vertical="center"/>
    </xf>
    <xf numFmtId="176" fontId="17" fillId="0" borderId="0" xfId="11" applyNumberFormat="1" applyFont="1" applyFill="1" applyBorder="1" applyAlignment="1">
      <alignment vertical="center"/>
    </xf>
    <xf numFmtId="0" fontId="44" fillId="0" borderId="103" xfId="2" applyFont="1" applyFill="1" applyBorder="1" applyAlignment="1">
      <alignment horizontal="center" vertical="center"/>
    </xf>
    <xf numFmtId="0" fontId="44" fillId="0" borderId="111" xfId="2" applyFont="1" applyFill="1" applyBorder="1" applyAlignment="1">
      <alignment vertical="center"/>
    </xf>
    <xf numFmtId="0" fontId="44" fillId="0" borderId="103" xfId="2" applyFont="1" applyFill="1" applyBorder="1" applyAlignment="1">
      <alignment vertical="center"/>
    </xf>
    <xf numFmtId="0" fontId="44" fillId="0" borderId="48" xfId="2" applyFont="1" applyFill="1" applyBorder="1" applyAlignment="1">
      <alignment vertical="center"/>
    </xf>
    <xf numFmtId="0" fontId="44" fillId="0" borderId="0" xfId="2" applyFont="1" applyFill="1" applyBorder="1" applyAlignment="1">
      <alignment vertical="center"/>
    </xf>
    <xf numFmtId="0" fontId="44" fillId="0" borderId="104" xfId="2" applyFont="1" applyFill="1" applyBorder="1" applyAlignment="1">
      <alignment vertical="center"/>
    </xf>
    <xf numFmtId="0" fontId="44" fillId="0" borderId="31" xfId="2" applyFont="1" applyFill="1" applyBorder="1" applyAlignment="1">
      <alignment horizontal="center" vertical="center"/>
    </xf>
    <xf numFmtId="0" fontId="44" fillId="0" borderId="82" xfId="2" applyFont="1" applyFill="1" applyBorder="1" applyAlignment="1">
      <alignment vertical="center"/>
    </xf>
    <xf numFmtId="176" fontId="44" fillId="0" borderId="88" xfId="11" applyNumberFormat="1" applyFont="1" applyFill="1" applyBorder="1" applyAlignment="1" applyProtection="1">
      <alignment horizontal="right" vertical="center"/>
      <protection locked="0"/>
    </xf>
    <xf numFmtId="176" fontId="44" fillId="0" borderId="0" xfId="11" applyNumberFormat="1" applyFont="1" applyFill="1" applyBorder="1" applyAlignment="1">
      <alignment horizontal="right" vertical="center"/>
    </xf>
    <xf numFmtId="176" fontId="44" fillId="0" borderId="82" xfId="11" applyNumberFormat="1" applyFont="1" applyFill="1" applyBorder="1" applyAlignment="1">
      <alignment vertical="center"/>
    </xf>
    <xf numFmtId="176" fontId="44" fillId="0" borderId="102" xfId="11" applyNumberFormat="1" applyFont="1" applyFill="1" applyBorder="1" applyAlignment="1">
      <alignment vertical="center"/>
    </xf>
    <xf numFmtId="176" fontId="17" fillId="0" borderId="0" xfId="11" applyNumberFormat="1" applyFont="1" applyFill="1" applyAlignment="1">
      <alignment vertical="center"/>
    </xf>
    <xf numFmtId="0" fontId="44" fillId="0" borderId="26" xfId="2" applyFont="1" applyFill="1" applyBorder="1" applyAlignment="1">
      <alignment vertical="center"/>
    </xf>
    <xf numFmtId="176" fontId="44" fillId="0" borderId="88" xfId="11" applyNumberFormat="1" applyFont="1" applyFill="1" applyBorder="1" applyAlignment="1" applyProtection="1">
      <alignment vertical="center"/>
      <protection locked="0"/>
    </xf>
    <xf numFmtId="176" fontId="44" fillId="0" borderId="0" xfId="11" applyNumberFormat="1" applyFont="1" applyFill="1" applyBorder="1" applyAlignment="1" applyProtection="1">
      <alignment vertical="center"/>
      <protection locked="0"/>
    </xf>
    <xf numFmtId="176" fontId="44" fillId="0" borderId="0" xfId="11" applyNumberFormat="1" applyFont="1" applyFill="1" applyBorder="1" applyAlignment="1" applyProtection="1">
      <alignment horizontal="right" vertical="center"/>
      <protection locked="0"/>
    </xf>
    <xf numFmtId="176" fontId="44" fillId="0" borderId="82" xfId="11" applyNumberFormat="1" applyFont="1" applyFill="1" applyBorder="1" applyAlignment="1" applyProtection="1">
      <alignment vertical="center"/>
      <protection locked="0"/>
    </xf>
    <xf numFmtId="176" fontId="44" fillId="0" borderId="112" xfId="11" applyNumberFormat="1" applyFont="1" applyFill="1" applyBorder="1" applyAlignment="1">
      <alignment horizontal="center" vertical="center"/>
    </xf>
    <xf numFmtId="176" fontId="44" fillId="0" borderId="12" xfId="11" quotePrefix="1" applyNumberFormat="1" applyFont="1" applyFill="1" applyBorder="1" applyAlignment="1">
      <alignment horizontal="left" vertical="center"/>
    </xf>
    <xf numFmtId="176" fontId="44" fillId="0" borderId="88" xfId="11" quotePrefix="1" applyNumberFormat="1" applyFont="1" applyFill="1" applyBorder="1" applyAlignment="1">
      <alignment horizontal="left" vertical="center"/>
    </xf>
    <xf numFmtId="176" fontId="44" fillId="0" borderId="0" xfId="11" applyNumberFormat="1" applyFont="1" applyFill="1" applyBorder="1" applyAlignment="1">
      <alignment vertical="center"/>
    </xf>
    <xf numFmtId="176" fontId="44" fillId="0" borderId="113" xfId="11" applyNumberFormat="1" applyFont="1" applyFill="1" applyBorder="1" applyAlignment="1" applyProtection="1">
      <alignment horizontal="center" vertical="center"/>
      <protection locked="0"/>
    </xf>
    <xf numFmtId="176" fontId="44" fillId="0" borderId="18" xfId="11" applyNumberFormat="1" applyFont="1" applyFill="1" applyBorder="1" applyAlignment="1" applyProtection="1">
      <alignment vertical="center"/>
      <protection locked="0"/>
    </xf>
    <xf numFmtId="176" fontId="44" fillId="0" borderId="0" xfId="12" applyNumberFormat="1" applyFont="1" applyFill="1" applyBorder="1" applyAlignment="1" applyProtection="1">
      <alignment vertical="center"/>
      <protection locked="0"/>
    </xf>
    <xf numFmtId="176" fontId="9" fillId="0" borderId="0" xfId="11" applyNumberFormat="1" applyFont="1" applyFill="1" applyAlignment="1">
      <alignment vertical="center"/>
    </xf>
    <xf numFmtId="176" fontId="44" fillId="0" borderId="31" xfId="11" applyNumberFormat="1" applyFont="1" applyFill="1" applyBorder="1" applyAlignment="1" applyProtection="1">
      <alignment horizontal="center" vertical="center"/>
      <protection locked="0"/>
    </xf>
    <xf numFmtId="176" fontId="44" fillId="0" borderId="12" xfId="11" applyNumberFormat="1" applyFont="1" applyFill="1" applyBorder="1" applyAlignment="1">
      <alignment vertical="center"/>
    </xf>
    <xf numFmtId="176" fontId="44" fillId="0" borderId="88" xfId="11" applyNumberFormat="1" applyFont="1" applyFill="1" applyBorder="1" applyAlignment="1">
      <alignment vertical="center"/>
    </xf>
    <xf numFmtId="176" fontId="44" fillId="0" borderId="107" xfId="11" applyNumberFormat="1" applyFont="1" applyFill="1" applyBorder="1" applyAlignment="1" applyProtection="1">
      <alignment horizontal="center" vertical="center"/>
      <protection locked="0"/>
    </xf>
    <xf numFmtId="176" fontId="44" fillId="0" borderId="12" xfId="11" applyNumberFormat="1" applyFont="1" applyFill="1" applyBorder="1" applyAlignment="1" applyProtection="1">
      <alignment vertical="center"/>
      <protection locked="0"/>
    </xf>
    <xf numFmtId="176" fontId="44" fillId="0" borderId="13" xfId="11" applyNumberFormat="1" applyFont="1" applyFill="1" applyBorder="1" applyAlignment="1">
      <alignment vertical="center"/>
    </xf>
    <xf numFmtId="176" fontId="44" fillId="0" borderId="114" xfId="11" applyNumberFormat="1" applyFont="1" applyFill="1" applyBorder="1" applyAlignment="1">
      <alignment horizontal="center" vertical="center"/>
    </xf>
    <xf numFmtId="176" fontId="44" fillId="0" borderId="18" xfId="11" applyNumberFormat="1" applyFont="1" applyFill="1" applyBorder="1" applyAlignment="1">
      <alignment vertical="center"/>
    </xf>
    <xf numFmtId="176" fontId="44" fillId="0" borderId="83" xfId="11" applyNumberFormat="1" applyFont="1" applyFill="1" applyBorder="1" applyAlignment="1">
      <alignment vertical="center"/>
    </xf>
    <xf numFmtId="176" fontId="44" fillId="0" borderId="86" xfId="11" applyNumberFormat="1" applyFont="1" applyFill="1" applyBorder="1" applyAlignment="1">
      <alignment vertical="center"/>
    </xf>
    <xf numFmtId="176" fontId="44" fillId="0" borderId="86" xfId="11" applyNumberFormat="1" applyFont="1" applyFill="1" applyBorder="1" applyAlignment="1">
      <alignment horizontal="right" vertical="center"/>
    </xf>
    <xf numFmtId="176" fontId="44" fillId="0" borderId="87" xfId="11" applyNumberFormat="1" applyFont="1" applyFill="1" applyBorder="1" applyAlignment="1">
      <alignment vertical="center"/>
    </xf>
    <xf numFmtId="176" fontId="44" fillId="0" borderId="115" xfId="11" applyNumberFormat="1" applyFont="1" applyFill="1" applyBorder="1" applyAlignment="1">
      <alignment vertical="center"/>
    </xf>
    <xf numFmtId="176" fontId="44" fillId="0" borderId="116" xfId="11" applyNumberFormat="1" applyFont="1" applyFill="1" applyBorder="1" applyAlignment="1">
      <alignment horizontal="center" vertical="center"/>
    </xf>
    <xf numFmtId="176" fontId="44" fillId="0" borderId="33" xfId="11" applyNumberFormat="1" applyFont="1" applyFill="1" applyBorder="1" applyAlignment="1" applyProtection="1">
      <alignment horizontal="center" vertical="center"/>
      <protection locked="0"/>
    </xf>
    <xf numFmtId="176" fontId="44" fillId="0" borderId="86" xfId="11" applyNumberFormat="1" applyFont="1" applyFill="1" applyBorder="1" applyAlignment="1" applyProtection="1">
      <alignment vertical="center"/>
      <protection locked="0"/>
    </xf>
    <xf numFmtId="176" fontId="44" fillId="0" borderId="83" xfId="11" applyNumberFormat="1" applyFont="1" applyFill="1" applyBorder="1" applyAlignment="1" applyProtection="1">
      <alignment vertical="center"/>
      <protection locked="0"/>
    </xf>
    <xf numFmtId="176" fontId="44" fillId="0" borderId="86" xfId="11" applyNumberFormat="1" applyFont="1" applyFill="1" applyBorder="1" applyAlignment="1" applyProtection="1">
      <alignment horizontal="right" vertical="center"/>
      <protection locked="0"/>
    </xf>
    <xf numFmtId="176" fontId="44" fillId="0" borderId="87" xfId="11" applyNumberFormat="1" applyFont="1" applyFill="1" applyBorder="1" applyAlignment="1" applyProtection="1">
      <alignment vertical="center"/>
      <protection locked="0"/>
    </xf>
    <xf numFmtId="176" fontId="44" fillId="0" borderId="117" xfId="2" applyNumberFormat="1" applyFont="1" applyFill="1" applyBorder="1" applyAlignment="1">
      <alignment vertical="center"/>
    </xf>
    <xf numFmtId="0" fontId="44" fillId="0" borderId="118" xfId="2" applyFont="1" applyFill="1" applyBorder="1" applyAlignment="1">
      <alignment vertical="center"/>
    </xf>
    <xf numFmtId="0" fontId="44" fillId="0" borderId="32" xfId="2" applyFont="1" applyFill="1" applyBorder="1" applyAlignment="1">
      <alignment vertical="center" wrapText="1"/>
    </xf>
    <xf numFmtId="0" fontId="44" fillId="0" borderId="15" xfId="2" applyFont="1" applyFill="1" applyBorder="1" applyAlignment="1">
      <alignment vertical="center"/>
    </xf>
    <xf numFmtId="176" fontId="44" fillId="0" borderId="119" xfId="11" applyNumberFormat="1" applyFont="1" applyFill="1" applyBorder="1" applyAlignment="1">
      <alignment vertical="center"/>
    </xf>
    <xf numFmtId="176" fontId="44" fillId="0" borderId="119" xfId="11" applyNumberFormat="1" applyFont="1" applyFill="1" applyBorder="1" applyAlignment="1" applyProtection="1">
      <alignment horizontal="right" vertical="center"/>
      <protection locked="0"/>
    </xf>
    <xf numFmtId="176" fontId="44" fillId="0" borderId="120" xfId="11" applyNumberFormat="1" applyFont="1" applyFill="1" applyBorder="1" applyAlignment="1">
      <alignment vertical="center"/>
    </xf>
    <xf numFmtId="176" fontId="44" fillId="0" borderId="32" xfId="11" applyNumberFormat="1" applyFont="1" applyFill="1" applyBorder="1" applyAlignment="1" applyProtection="1">
      <alignment horizontal="center" vertical="center"/>
      <protection locked="0"/>
    </xf>
    <xf numFmtId="176" fontId="44" fillId="0" borderId="69" xfId="11" applyNumberFormat="1" applyFont="1" applyFill="1" applyBorder="1" applyAlignment="1">
      <alignment vertical="center"/>
    </xf>
    <xf numFmtId="176" fontId="44" fillId="0" borderId="79" xfId="11" applyNumberFormat="1" applyFont="1" applyFill="1" applyBorder="1" applyAlignment="1">
      <alignment vertical="center"/>
    </xf>
    <xf numFmtId="176" fontId="44" fillId="0" borderId="85" xfId="11" applyNumberFormat="1" applyFont="1" applyFill="1" applyBorder="1" applyAlignment="1">
      <alignment vertical="center"/>
    </xf>
    <xf numFmtId="176" fontId="44" fillId="0" borderId="85" xfId="11" applyNumberFormat="1" applyFont="1" applyFill="1" applyBorder="1" applyAlignment="1" applyProtection="1">
      <alignment horizontal="right" vertical="center"/>
      <protection locked="0"/>
    </xf>
    <xf numFmtId="176" fontId="44" fillId="0" borderId="71" xfId="11" applyNumberFormat="1" applyFont="1" applyFill="1" applyBorder="1" applyAlignment="1" applyProtection="1">
      <alignment vertical="center"/>
      <protection locked="0"/>
    </xf>
    <xf numFmtId="176" fontId="44" fillId="0" borderId="80" xfId="11" applyNumberFormat="1" applyFont="1" applyFill="1" applyBorder="1" applyAlignment="1" applyProtection="1">
      <alignment vertical="center"/>
      <protection locked="0"/>
    </xf>
    <xf numFmtId="176" fontId="44" fillId="0" borderId="0" xfId="11" applyNumberFormat="1" applyFont="1" applyFill="1" applyBorder="1" applyAlignment="1">
      <alignment vertical="center" shrinkToFit="1"/>
    </xf>
    <xf numFmtId="176" fontId="44" fillId="0" borderId="116" xfId="11" applyNumberFormat="1" applyFont="1" applyFill="1" applyBorder="1" applyAlignment="1">
      <alignment vertical="center"/>
    </xf>
    <xf numFmtId="176" fontId="44" fillId="0" borderId="113" xfId="11" applyNumberFormat="1" applyFont="1" applyFill="1" applyBorder="1" applyAlignment="1">
      <alignment horizontal="center" vertical="center"/>
    </xf>
    <xf numFmtId="176" fontId="44" fillId="0" borderId="82" xfId="11" applyNumberFormat="1" applyFont="1" applyFill="1" applyBorder="1" applyAlignment="1">
      <alignment vertical="center" shrinkToFit="1"/>
    </xf>
    <xf numFmtId="176" fontId="44" fillId="0" borderId="107" xfId="11" applyNumberFormat="1" applyFont="1" applyFill="1" applyBorder="1" applyAlignment="1">
      <alignment horizontal="center" vertical="center"/>
    </xf>
    <xf numFmtId="176" fontId="44" fillId="0" borderId="12" xfId="11" applyNumberFormat="1" applyFont="1" applyFill="1" applyBorder="1" applyAlignment="1">
      <alignment vertical="center" shrinkToFit="1"/>
    </xf>
    <xf numFmtId="176" fontId="44" fillId="0" borderId="31" xfId="11" applyNumberFormat="1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vertical="center" shrinkToFit="1"/>
    </xf>
    <xf numFmtId="176" fontId="44" fillId="0" borderId="121" xfId="11" applyNumberFormat="1" applyFont="1" applyFill="1" applyBorder="1" applyAlignment="1">
      <alignment vertical="center"/>
    </xf>
    <xf numFmtId="176" fontId="44" fillId="0" borderId="15" xfId="11" applyNumberFormat="1" applyFont="1" applyFill="1" applyBorder="1" applyAlignment="1">
      <alignment vertical="center"/>
    </xf>
    <xf numFmtId="176" fontId="44" fillId="0" borderId="90" xfId="11" applyNumberFormat="1" applyFont="1" applyFill="1" applyBorder="1" applyAlignment="1">
      <alignment vertical="center"/>
    </xf>
    <xf numFmtId="176" fontId="44" fillId="0" borderId="119" xfId="11" applyNumberFormat="1" applyFont="1" applyFill="1" applyBorder="1" applyAlignment="1">
      <alignment horizontal="right" vertical="center"/>
    </xf>
    <xf numFmtId="176" fontId="44" fillId="0" borderId="67" xfId="11" applyNumberFormat="1" applyFont="1" applyFill="1" applyBorder="1" applyAlignment="1">
      <alignment vertical="center"/>
    </xf>
    <xf numFmtId="176" fontId="44" fillId="0" borderId="16" xfId="11" applyNumberFormat="1" applyFont="1" applyFill="1" applyBorder="1" applyAlignment="1">
      <alignment vertical="center"/>
    </xf>
    <xf numFmtId="176" fontId="17" fillId="0" borderId="107" xfId="11" applyNumberFormat="1" applyFont="1" applyFill="1" applyBorder="1" applyAlignment="1">
      <alignment vertical="center"/>
    </xf>
    <xf numFmtId="176" fontId="44" fillId="0" borderId="114" xfId="11" applyNumberFormat="1" applyFont="1" applyFill="1" applyBorder="1" applyAlignment="1">
      <alignment horizontal="center" vertical="center" wrapText="1"/>
    </xf>
    <xf numFmtId="176" fontId="44" fillId="0" borderId="18" xfId="11" applyNumberFormat="1" applyFont="1" applyFill="1" applyBorder="1" applyAlignment="1">
      <alignment horizontal="left" vertical="center"/>
    </xf>
    <xf numFmtId="0" fontId="44" fillId="0" borderId="122" xfId="2" applyFont="1" applyFill="1" applyBorder="1" applyAlignment="1">
      <alignment vertical="center"/>
    </xf>
    <xf numFmtId="176" fontId="44" fillId="0" borderId="81" xfId="11" applyNumberFormat="1" applyFont="1" applyFill="1" applyBorder="1" applyAlignment="1">
      <alignment vertical="center"/>
    </xf>
    <xf numFmtId="176" fontId="44" fillId="0" borderId="104" xfId="11" applyNumberFormat="1" applyFont="1" applyFill="1" applyBorder="1" applyAlignment="1">
      <alignment vertical="center"/>
    </xf>
    <xf numFmtId="176" fontId="44" fillId="0" borderId="104" xfId="11" applyNumberFormat="1" applyFont="1" applyFill="1" applyBorder="1" applyAlignment="1">
      <alignment horizontal="right" vertical="center"/>
    </xf>
    <xf numFmtId="176" fontId="44" fillId="0" borderId="66" xfId="11" applyNumberFormat="1" applyFont="1" applyFill="1" applyBorder="1" applyAlignment="1">
      <alignment vertical="center"/>
    </xf>
    <xf numFmtId="41" fontId="44" fillId="0" borderId="65" xfId="10" applyFont="1" applyFill="1" applyBorder="1" applyAlignment="1">
      <alignment vertical="center"/>
    </xf>
    <xf numFmtId="0" fontId="44" fillId="0" borderId="122" xfId="2" applyFont="1" applyFill="1" applyBorder="1" applyAlignment="1">
      <alignment horizontal="center" vertical="center"/>
    </xf>
    <xf numFmtId="0" fontId="44" fillId="0" borderId="66" xfId="2" applyFont="1" applyFill="1" applyBorder="1" applyAlignment="1">
      <alignment horizontal="center" vertical="center"/>
    </xf>
    <xf numFmtId="176" fontId="44" fillId="0" borderId="116" xfId="11" applyNumberFormat="1" applyFont="1" applyFill="1" applyBorder="1" applyAlignment="1">
      <alignment horizontal="center" vertical="center" wrapText="1"/>
    </xf>
    <xf numFmtId="0" fontId="44" fillId="0" borderId="74" xfId="2" applyFont="1" applyFill="1" applyBorder="1" applyAlignment="1">
      <alignment horizontal="center" vertical="center"/>
    </xf>
    <xf numFmtId="0" fontId="44" fillId="0" borderId="72" xfId="2" applyFont="1" applyFill="1" applyBorder="1" applyAlignment="1">
      <alignment horizontal="center" vertical="center"/>
    </xf>
    <xf numFmtId="0" fontId="44" fillId="0" borderId="116" xfId="2" applyFont="1" applyFill="1" applyBorder="1" applyAlignment="1">
      <alignment horizontal="center" vertical="center" wrapText="1"/>
    </xf>
    <xf numFmtId="176" fontId="44" fillId="0" borderId="18" xfId="11" applyNumberFormat="1" applyFont="1" applyFill="1" applyBorder="1" applyAlignment="1" applyProtection="1">
      <alignment horizontal="left" vertical="center"/>
      <protection locked="0"/>
    </xf>
    <xf numFmtId="176" fontId="44" fillId="0" borderId="102" xfId="11" applyNumberFormat="1" applyFont="1" applyFill="1" applyBorder="1" applyAlignment="1" applyProtection="1">
      <alignment vertical="center"/>
      <protection locked="0"/>
    </xf>
    <xf numFmtId="176" fontId="44" fillId="0" borderId="12" xfId="11" applyNumberFormat="1" applyFont="1" applyFill="1" applyBorder="1" applyAlignment="1" applyProtection="1">
      <alignment horizontal="left" vertical="center"/>
      <protection locked="0"/>
    </xf>
    <xf numFmtId="0" fontId="44" fillId="0" borderId="64" xfId="2" applyFont="1" applyFill="1" applyBorder="1" applyAlignment="1">
      <alignment vertical="center" shrinkToFit="1"/>
    </xf>
    <xf numFmtId="0" fontId="44" fillId="0" borderId="66" xfId="2" applyFont="1" applyFill="1" applyBorder="1" applyAlignment="1">
      <alignment vertical="center"/>
    </xf>
    <xf numFmtId="176" fontId="44" fillId="0" borderId="65" xfId="11" applyNumberFormat="1" applyFont="1" applyFill="1" applyBorder="1" applyAlignment="1">
      <alignment vertical="center"/>
    </xf>
    <xf numFmtId="176" fontId="9" fillId="0" borderId="88" xfId="11" applyNumberFormat="1" applyFont="1" applyFill="1" applyBorder="1" applyAlignment="1">
      <alignment vertical="center"/>
    </xf>
    <xf numFmtId="176" fontId="9" fillId="0" borderId="0" xfId="11" applyNumberFormat="1" applyFont="1" applyFill="1" applyBorder="1" applyAlignment="1">
      <alignment vertical="center"/>
    </xf>
    <xf numFmtId="176" fontId="9" fillId="0" borderId="12" xfId="11" applyNumberFormat="1" applyFont="1" applyFill="1" applyBorder="1" applyAlignment="1">
      <alignment vertical="center"/>
    </xf>
    <xf numFmtId="176" fontId="9" fillId="0" borderId="102" xfId="11" applyNumberFormat="1" applyFont="1" applyFill="1" applyBorder="1" applyAlignment="1">
      <alignment vertical="center"/>
    </xf>
    <xf numFmtId="0" fontId="43" fillId="0" borderId="74" xfId="2" applyFont="1" applyFill="1" applyBorder="1" applyAlignment="1">
      <alignment vertical="center"/>
    </xf>
    <xf numFmtId="0" fontId="43" fillId="0" borderId="62" xfId="2" applyFont="1" applyFill="1" applyBorder="1" applyAlignment="1">
      <alignment vertical="center"/>
    </xf>
    <xf numFmtId="176" fontId="43" fillId="0" borderId="78" xfId="2" applyNumberFormat="1" applyFont="1" applyFill="1" applyBorder="1" applyAlignment="1">
      <alignment vertical="center"/>
    </xf>
    <xf numFmtId="0" fontId="43" fillId="0" borderId="72" xfId="2" applyFont="1" applyFill="1" applyBorder="1" applyAlignment="1">
      <alignment vertical="center"/>
    </xf>
    <xf numFmtId="41" fontId="43" fillId="0" borderId="61" xfId="10" applyFont="1" applyFill="1" applyBorder="1" applyAlignment="1">
      <alignment vertical="center"/>
    </xf>
    <xf numFmtId="0" fontId="44" fillId="0" borderId="123" xfId="2" applyFont="1" applyFill="1" applyBorder="1" applyAlignment="1">
      <alignment vertical="center"/>
    </xf>
    <xf numFmtId="176" fontId="44" fillId="0" borderId="81" xfId="11" applyNumberFormat="1" applyFont="1" applyFill="1" applyBorder="1" applyAlignment="1" applyProtection="1">
      <alignment vertical="center"/>
      <protection locked="0"/>
    </xf>
    <xf numFmtId="176" fontId="44" fillId="0" borderId="104" xfId="11" applyNumberFormat="1" applyFont="1" applyFill="1" applyBorder="1" applyAlignment="1" applyProtection="1">
      <alignment vertical="center"/>
      <protection locked="0"/>
    </xf>
    <xf numFmtId="176" fontId="44" fillId="0" borderId="104" xfId="11" applyNumberFormat="1" applyFont="1" applyFill="1" applyBorder="1" applyAlignment="1" applyProtection="1">
      <alignment horizontal="right" vertical="center"/>
      <protection locked="0"/>
    </xf>
    <xf numFmtId="41" fontId="44" fillId="0" borderId="75" xfId="10" applyFont="1" applyFill="1" applyBorder="1" applyAlignment="1">
      <alignment vertical="center"/>
    </xf>
    <xf numFmtId="176" fontId="44" fillId="0" borderId="15" xfId="11" applyNumberFormat="1" applyFont="1" applyFill="1" applyBorder="1" applyAlignment="1" applyProtection="1">
      <alignment horizontal="left" vertical="center"/>
      <protection locked="0"/>
    </xf>
    <xf numFmtId="176" fontId="44" fillId="0" borderId="67" xfId="11" applyNumberFormat="1" applyFont="1" applyFill="1" applyBorder="1" applyAlignment="1" applyProtection="1">
      <alignment vertical="center"/>
      <protection locked="0"/>
    </xf>
    <xf numFmtId="0" fontId="43" fillId="0" borderId="106" xfId="2" applyFont="1" applyFill="1" applyBorder="1" applyAlignment="1">
      <alignment horizontal="left" vertical="center"/>
    </xf>
    <xf numFmtId="0" fontId="43" fillId="0" borderId="71" xfId="2" applyFont="1" applyFill="1" applyBorder="1" applyAlignment="1">
      <alignment horizontal="left" vertical="center"/>
    </xf>
    <xf numFmtId="176" fontId="43" fillId="0" borderId="90" xfId="2" applyNumberFormat="1" applyFont="1" applyFill="1" applyBorder="1" applyAlignment="1">
      <alignment vertical="center"/>
    </xf>
    <xf numFmtId="0" fontId="43" fillId="0" borderId="119" xfId="2" applyFont="1" applyFill="1" applyBorder="1" applyAlignment="1">
      <alignment vertical="center"/>
    </xf>
    <xf numFmtId="176" fontId="43" fillId="0" borderId="16" xfId="2" applyNumberFormat="1" applyFont="1" applyFill="1" applyBorder="1" applyAlignment="1">
      <alignment vertical="center"/>
    </xf>
    <xf numFmtId="176" fontId="44" fillId="0" borderId="124" xfId="11" applyNumberFormat="1" applyFont="1" applyFill="1" applyBorder="1" applyAlignment="1" applyProtection="1">
      <alignment horizontal="center" vertical="center"/>
      <protection locked="0"/>
    </xf>
    <xf numFmtId="176" fontId="44" fillId="0" borderId="71" xfId="11" applyNumberFormat="1" applyFont="1" applyFill="1" applyBorder="1" applyAlignment="1">
      <alignment vertical="center"/>
    </xf>
    <xf numFmtId="176" fontId="44" fillId="0" borderId="80" xfId="11" applyNumberFormat="1" applyFont="1" applyFill="1" applyBorder="1" applyAlignment="1">
      <alignment vertical="center"/>
    </xf>
    <xf numFmtId="176" fontId="43" fillId="0" borderId="79" xfId="2" applyNumberFormat="1" applyFont="1" applyFill="1" applyBorder="1" applyAlignment="1">
      <alignment vertical="center"/>
    </xf>
    <xf numFmtId="0" fontId="43" fillId="0" borderId="85" xfId="2" applyFont="1" applyFill="1" applyBorder="1" applyAlignment="1">
      <alignment vertical="center"/>
    </xf>
    <xf numFmtId="41" fontId="43" fillId="0" borderId="70" xfId="10" applyFont="1" applyFill="1" applyBorder="1" applyAlignment="1">
      <alignment vertical="center"/>
    </xf>
    <xf numFmtId="176" fontId="44" fillId="0" borderId="32" xfId="11" applyNumberFormat="1" applyFont="1" applyFill="1" applyBorder="1" applyAlignment="1">
      <alignment horizontal="center" vertical="center"/>
    </xf>
    <xf numFmtId="176" fontId="44" fillId="0" borderId="125" xfId="11" applyNumberFormat="1" applyFont="1" applyFill="1" applyBorder="1" applyAlignment="1">
      <alignment vertical="center"/>
    </xf>
    <xf numFmtId="176" fontId="44" fillId="0" borderId="112" xfId="11" applyNumberFormat="1" applyFont="1" applyFill="1" applyBorder="1" applyAlignment="1">
      <alignment vertical="center"/>
    </xf>
    <xf numFmtId="176" fontId="44" fillId="0" borderId="33" xfId="11" applyNumberFormat="1" applyFont="1" applyFill="1" applyBorder="1" applyAlignment="1" applyProtection="1">
      <alignment vertical="center"/>
      <protection locked="0"/>
    </xf>
    <xf numFmtId="0" fontId="43" fillId="0" borderId="107" xfId="2" applyFont="1" applyFill="1" applyBorder="1" applyAlignment="1">
      <alignment vertical="center"/>
    </xf>
    <xf numFmtId="0" fontId="43" fillId="0" borderId="0" xfId="2" applyFont="1" applyFill="1" applyBorder="1" applyAlignment="1">
      <alignment vertical="center"/>
    </xf>
    <xf numFmtId="189" fontId="44" fillId="0" borderId="88" xfId="2" applyNumberFormat="1" applyFont="1" applyFill="1" applyBorder="1" applyAlignment="1">
      <alignment vertical="center"/>
    </xf>
    <xf numFmtId="41" fontId="44" fillId="0" borderId="13" xfId="10" applyFont="1" applyFill="1" applyBorder="1" applyAlignment="1">
      <alignment vertical="center"/>
    </xf>
    <xf numFmtId="176" fontId="44" fillId="0" borderId="33" xfId="11" applyNumberFormat="1" applyFont="1" applyFill="1" applyBorder="1" applyAlignment="1">
      <alignment horizontal="center" vertical="center"/>
    </xf>
    <xf numFmtId="176" fontId="44" fillId="0" borderId="126" xfId="11" applyNumberFormat="1" applyFont="1" applyFill="1" applyBorder="1" applyAlignment="1">
      <alignment vertical="center"/>
    </xf>
    <xf numFmtId="176" fontId="44" fillId="0" borderId="31" xfId="11" applyNumberFormat="1" applyFont="1" applyFill="1" applyBorder="1" applyAlignment="1">
      <alignment vertical="center"/>
    </xf>
    <xf numFmtId="176" fontId="44" fillId="0" borderId="102" xfId="2" applyNumberFormat="1" applyFont="1" applyFill="1" applyBorder="1" applyAlignment="1">
      <alignment vertical="center"/>
    </xf>
    <xf numFmtId="176" fontId="44" fillId="0" borderId="88" xfId="11" applyNumberFormat="1" applyFont="1" applyFill="1" applyBorder="1" applyAlignment="1">
      <alignment horizontal="left" vertical="center"/>
    </xf>
    <xf numFmtId="176" fontId="44" fillId="0" borderId="118" xfId="11" applyNumberFormat="1" applyFont="1" applyFill="1" applyBorder="1" applyAlignment="1">
      <alignment vertical="center"/>
    </xf>
    <xf numFmtId="176" fontId="44" fillId="0" borderId="31" xfId="11" applyNumberFormat="1" applyFont="1" applyFill="1" applyBorder="1" applyAlignment="1" applyProtection="1">
      <alignment horizontal="center" vertical="center" wrapText="1"/>
      <protection locked="0"/>
    </xf>
    <xf numFmtId="176" fontId="44" fillId="0" borderId="0" xfId="11" applyNumberFormat="1" applyFont="1" applyFill="1" applyBorder="1" applyAlignment="1" applyProtection="1">
      <alignment horizontal="left" vertical="center"/>
      <protection locked="0"/>
    </xf>
    <xf numFmtId="176" fontId="44" fillId="0" borderId="88" xfId="2" applyNumberFormat="1" applyFont="1" applyFill="1" applyBorder="1" applyAlignment="1">
      <alignment vertical="center"/>
    </xf>
    <xf numFmtId="176" fontId="44" fillId="0" borderId="13" xfId="2" applyNumberFormat="1" applyFont="1" applyFill="1" applyBorder="1" applyAlignment="1">
      <alignment vertical="center"/>
    </xf>
    <xf numFmtId="0" fontId="44" fillId="0" borderId="31" xfId="2" applyFont="1" applyFill="1" applyBorder="1" applyAlignment="1">
      <alignment vertical="center"/>
    </xf>
    <xf numFmtId="176" fontId="44" fillId="0" borderId="31" xfId="11" applyNumberFormat="1" applyFont="1" applyFill="1" applyBorder="1" applyAlignment="1" applyProtection="1">
      <alignment vertical="center" wrapText="1"/>
      <protection locked="0"/>
    </xf>
    <xf numFmtId="0" fontId="43" fillId="0" borderId="124" xfId="2" applyFont="1" applyFill="1" applyBorder="1" applyAlignment="1">
      <alignment horizontal="left" vertical="center"/>
    </xf>
    <xf numFmtId="0" fontId="43" fillId="0" borderId="67" xfId="2" applyFont="1" applyFill="1" applyBorder="1" applyAlignment="1">
      <alignment horizontal="left" vertical="center"/>
    </xf>
    <xf numFmtId="41" fontId="44" fillId="0" borderId="90" xfId="2" applyNumberFormat="1" applyFont="1" applyFill="1" applyBorder="1" applyAlignment="1">
      <alignment vertical="center"/>
    </xf>
    <xf numFmtId="0" fontId="44" fillId="0" borderId="119" xfId="2" applyFont="1" applyFill="1" applyBorder="1" applyAlignment="1">
      <alignment vertical="center"/>
    </xf>
    <xf numFmtId="41" fontId="44" fillId="0" borderId="16" xfId="2" applyNumberFormat="1" applyFont="1" applyFill="1" applyBorder="1" applyAlignment="1">
      <alignment vertical="center"/>
    </xf>
    <xf numFmtId="0" fontId="44" fillId="0" borderId="82" xfId="2" applyFont="1" applyFill="1" applyBorder="1" applyAlignment="1">
      <alignment horizontal="left" vertical="center"/>
    </xf>
    <xf numFmtId="0" fontId="43" fillId="0" borderId="122" xfId="2" applyFont="1" applyFill="1" applyBorder="1" applyAlignment="1">
      <alignment vertical="center"/>
    </xf>
    <xf numFmtId="0" fontId="43" fillId="0" borderId="66" xfId="2" applyFont="1" applyFill="1" applyBorder="1" applyAlignment="1">
      <alignment vertical="center"/>
    </xf>
    <xf numFmtId="41" fontId="44" fillId="0" borderId="92" xfId="10" applyFont="1" applyFill="1" applyBorder="1" applyAlignment="1">
      <alignment vertical="center"/>
    </xf>
    <xf numFmtId="41" fontId="44" fillId="0" borderId="11" xfId="10" applyNumberFormat="1" applyFont="1" applyFill="1" applyBorder="1" applyAlignment="1">
      <alignment vertical="center"/>
    </xf>
    <xf numFmtId="176" fontId="44" fillId="0" borderId="127" xfId="11" applyNumberFormat="1" applyFont="1" applyFill="1" applyBorder="1" applyAlignment="1">
      <alignment horizontal="center" vertical="center"/>
    </xf>
    <xf numFmtId="176" fontId="44" fillId="0" borderId="83" xfId="11" quotePrefix="1" applyNumberFormat="1" applyFont="1" applyFill="1" applyBorder="1" applyAlignment="1">
      <alignment horizontal="left" vertical="center"/>
    </xf>
    <xf numFmtId="176" fontId="44" fillId="0" borderId="112" xfId="11" applyNumberFormat="1" applyFont="1" applyFill="1" applyBorder="1" applyAlignment="1" applyProtection="1">
      <alignment horizontal="center" vertical="center"/>
      <protection locked="0"/>
    </xf>
    <xf numFmtId="0" fontId="58" fillId="11" borderId="107" xfId="2" applyFont="1" applyFill="1" applyBorder="1" applyAlignment="1">
      <alignment horizontal="left" vertical="center"/>
    </xf>
    <xf numFmtId="0" fontId="50" fillId="0" borderId="0" xfId="2" applyFont="1" applyFill="1" applyBorder="1" applyAlignment="1">
      <alignment vertical="center"/>
    </xf>
    <xf numFmtId="0" fontId="50" fillId="0" borderId="102" xfId="2" applyFont="1" applyFill="1" applyBorder="1" applyAlignment="1">
      <alignment vertical="center"/>
    </xf>
    <xf numFmtId="176" fontId="44" fillId="0" borderId="12" xfId="11" quotePrefix="1" applyNumberFormat="1" applyFont="1" applyFill="1" applyBorder="1" applyAlignment="1" applyProtection="1">
      <alignment horizontal="left" vertical="center"/>
      <protection locked="0"/>
    </xf>
    <xf numFmtId="176" fontId="44" fillId="0" borderId="116" xfId="11" applyNumberFormat="1" applyFont="1" applyFill="1" applyBorder="1" applyAlignment="1" applyProtection="1">
      <alignment horizontal="center" vertical="center"/>
      <protection locked="0"/>
    </xf>
    <xf numFmtId="0" fontId="50" fillId="11" borderId="0" xfId="2" applyFont="1" applyFill="1" applyBorder="1" applyAlignment="1">
      <alignment vertical="center"/>
    </xf>
    <xf numFmtId="0" fontId="50" fillId="11" borderId="102" xfId="2" applyFont="1" applyFill="1" applyBorder="1" applyAlignment="1">
      <alignment vertical="center"/>
    </xf>
    <xf numFmtId="176" fontId="44" fillId="0" borderId="128" xfId="11" applyNumberFormat="1" applyFont="1" applyFill="1" applyBorder="1" applyAlignment="1">
      <alignment vertical="center"/>
    </xf>
    <xf numFmtId="176" fontId="59" fillId="0" borderId="0" xfId="11" applyNumberFormat="1" applyFont="1" applyFill="1" applyBorder="1" applyAlignment="1">
      <alignment vertical="center"/>
    </xf>
    <xf numFmtId="176" fontId="59" fillId="0" borderId="102" xfId="11" applyNumberFormat="1" applyFont="1" applyFill="1" applyBorder="1" applyAlignment="1">
      <alignment vertical="center"/>
    </xf>
    <xf numFmtId="176" fontId="8" fillId="0" borderId="0" xfId="11" applyNumberFormat="1" applyFont="1" applyFill="1" applyBorder="1" applyAlignment="1">
      <alignment vertical="center"/>
    </xf>
    <xf numFmtId="176" fontId="8" fillId="0" borderId="102" xfId="11" applyNumberFormat="1" applyFont="1" applyFill="1" applyBorder="1" applyAlignment="1">
      <alignment vertical="center"/>
    </xf>
    <xf numFmtId="176" fontId="44" fillId="0" borderId="12" xfId="11" applyNumberFormat="1" applyFont="1" applyFill="1" applyBorder="1" applyAlignment="1">
      <alignment horizontal="left" vertical="center"/>
    </xf>
    <xf numFmtId="176" fontId="44" fillId="0" borderId="121" xfId="11" applyNumberFormat="1" applyFont="1" applyFill="1" applyBorder="1" applyAlignment="1">
      <alignment horizontal="center" vertical="center" wrapText="1"/>
    </xf>
    <xf numFmtId="176" fontId="44" fillId="0" borderId="15" xfId="11" applyNumberFormat="1" applyFont="1" applyFill="1" applyBorder="1" applyAlignment="1">
      <alignment horizontal="left" vertical="center"/>
    </xf>
    <xf numFmtId="176" fontId="44" fillId="0" borderId="105" xfId="11" applyNumberFormat="1" applyFont="1" applyFill="1" applyBorder="1" applyAlignment="1" applyProtection="1">
      <alignment vertical="center"/>
      <protection locked="0"/>
    </xf>
    <xf numFmtId="0" fontId="58" fillId="0" borderId="0" xfId="2" applyFont="1" applyBorder="1" applyAlignment="1"/>
    <xf numFmtId="0" fontId="58" fillId="12" borderId="0" xfId="2" applyFont="1" applyFill="1" applyBorder="1" applyAlignment="1"/>
    <xf numFmtId="0" fontId="58" fillId="0" borderId="102" xfId="2" applyFont="1" applyBorder="1" applyAlignment="1"/>
    <xf numFmtId="176" fontId="44" fillId="0" borderId="106" xfId="11" applyNumberFormat="1" applyFont="1" applyFill="1" applyBorder="1" applyAlignment="1">
      <alignment horizontal="center" vertical="center"/>
    </xf>
    <xf numFmtId="176" fontId="44" fillId="0" borderId="85" xfId="11" applyNumberFormat="1" applyFont="1" applyFill="1" applyBorder="1" applyAlignment="1">
      <alignment horizontal="right" vertical="center"/>
    </xf>
    <xf numFmtId="176" fontId="44" fillId="0" borderId="129" xfId="11" applyNumberFormat="1" applyFont="1" applyFill="1" applyBorder="1" applyAlignment="1">
      <alignment vertical="center"/>
    </xf>
    <xf numFmtId="0" fontId="44" fillId="0" borderId="116" xfId="2" applyFont="1" applyFill="1" applyBorder="1" applyAlignment="1">
      <alignment horizontal="center" vertical="center"/>
    </xf>
    <xf numFmtId="0" fontId="44" fillId="0" borderId="12" xfId="2" applyFont="1" applyFill="1" applyBorder="1" applyAlignment="1">
      <alignment vertical="center"/>
    </xf>
    <xf numFmtId="0" fontId="44" fillId="0" borderId="88" xfId="2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horizontal="center" vertical="center"/>
    </xf>
    <xf numFmtId="196" fontId="44" fillId="0" borderId="0" xfId="11" applyNumberFormat="1" applyFont="1" applyFill="1" applyBorder="1" applyAlignment="1" applyProtection="1">
      <alignment horizontal="center" vertical="center"/>
      <protection locked="0"/>
    </xf>
    <xf numFmtId="0" fontId="58" fillId="11" borderId="0" xfId="2" applyFont="1" applyFill="1" applyBorder="1" applyAlignment="1">
      <alignment vertical="center"/>
    </xf>
    <xf numFmtId="0" fontId="58" fillId="11" borderId="0" xfId="2" applyFont="1" applyFill="1" applyBorder="1" applyAlignment="1">
      <alignment horizontal="center" vertical="center"/>
    </xf>
    <xf numFmtId="0" fontId="58" fillId="11" borderId="102" xfId="2" applyFont="1" applyFill="1" applyBorder="1" applyAlignment="1">
      <alignment vertical="center"/>
    </xf>
    <xf numFmtId="0" fontId="44" fillId="0" borderId="88" xfId="2" applyFont="1" applyFill="1" applyBorder="1" applyAlignment="1">
      <alignment vertical="center"/>
    </xf>
    <xf numFmtId="176" fontId="44" fillId="0" borderId="0" xfId="11" applyNumberFormat="1" applyFont="1" applyFill="1" applyBorder="1" applyAlignment="1" applyProtection="1">
      <alignment horizontal="center" vertical="center"/>
      <protection locked="0"/>
    </xf>
    <xf numFmtId="0" fontId="58" fillId="12" borderId="0" xfId="2" applyFont="1" applyFill="1" applyBorder="1"/>
    <xf numFmtId="0" fontId="58" fillId="12" borderId="102" xfId="2" applyFont="1" applyFill="1" applyBorder="1"/>
    <xf numFmtId="0" fontId="44" fillId="0" borderId="121" xfId="2" applyFont="1" applyFill="1" applyBorder="1" applyAlignment="1">
      <alignment horizontal="center" vertical="center"/>
    </xf>
    <xf numFmtId="176" fontId="44" fillId="0" borderId="90" xfId="11" applyNumberFormat="1" applyFont="1" applyFill="1" applyBorder="1" applyAlignment="1" applyProtection="1">
      <alignment vertical="center"/>
      <protection locked="0"/>
    </xf>
    <xf numFmtId="176" fontId="44" fillId="0" borderId="119" xfId="11" applyNumberFormat="1" applyFont="1" applyFill="1" applyBorder="1" applyAlignment="1" applyProtection="1">
      <alignment vertical="center"/>
      <protection locked="0"/>
    </xf>
    <xf numFmtId="0" fontId="58" fillId="11" borderId="0" xfId="2" applyFont="1" applyFill="1" applyBorder="1" applyAlignment="1">
      <alignment vertical="center" wrapText="1"/>
    </xf>
    <xf numFmtId="0" fontId="58" fillId="11" borderId="102" xfId="2" applyFont="1" applyFill="1" applyBorder="1" applyAlignment="1">
      <alignment vertical="center" wrapText="1"/>
    </xf>
    <xf numFmtId="182" fontId="44" fillId="0" borderId="73" xfId="13" applyNumberFormat="1" applyFont="1" applyFill="1" applyBorder="1" applyAlignment="1">
      <alignment horizontal="center" vertical="center"/>
    </xf>
    <xf numFmtId="176" fontId="44" fillId="0" borderId="114" xfId="11" applyNumberFormat="1" applyFont="1" applyFill="1" applyBorder="1" applyAlignment="1">
      <alignment vertical="center"/>
    </xf>
    <xf numFmtId="176" fontId="44" fillId="0" borderId="124" xfId="11" applyNumberFormat="1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horizontal="right" vertical="center"/>
    </xf>
    <xf numFmtId="176" fontId="50" fillId="0" borderId="31" xfId="11" applyNumberFormat="1" applyFont="1" applyFill="1" applyBorder="1" applyAlignment="1" applyProtection="1">
      <alignment vertical="center"/>
      <protection locked="0"/>
    </xf>
    <xf numFmtId="41" fontId="44" fillId="0" borderId="0" xfId="10" applyFont="1" applyFill="1" applyBorder="1" applyAlignment="1" applyProtection="1">
      <alignment horizontal="right" vertical="center"/>
      <protection locked="0"/>
    </xf>
    <xf numFmtId="176" fontId="44" fillId="0" borderId="117" xfId="11" applyNumberFormat="1" applyFont="1" applyFill="1" applyBorder="1" applyAlignment="1">
      <alignment vertical="center"/>
    </xf>
    <xf numFmtId="176" fontId="44" fillId="0" borderId="107" xfId="11" applyNumberFormat="1" applyFont="1" applyFill="1" applyBorder="1" applyAlignment="1">
      <alignment vertical="center"/>
    </xf>
    <xf numFmtId="176" fontId="9" fillId="0" borderId="31" xfId="11" applyNumberFormat="1" applyFont="1" applyFill="1" applyBorder="1" applyAlignment="1">
      <alignment vertical="center"/>
    </xf>
    <xf numFmtId="176" fontId="44" fillId="0" borderId="124" xfId="11" applyNumberFormat="1" applyFont="1" applyFill="1" applyBorder="1" applyAlignment="1">
      <alignment vertical="center"/>
    </xf>
    <xf numFmtId="0" fontId="44" fillId="0" borderId="71" xfId="2" applyFont="1" applyFill="1" applyBorder="1" applyAlignment="1">
      <alignment vertical="center"/>
    </xf>
    <xf numFmtId="0" fontId="44" fillId="0" borderId="79" xfId="2" applyFont="1" applyFill="1" applyBorder="1" applyAlignment="1">
      <alignment vertical="center"/>
    </xf>
    <xf numFmtId="0" fontId="44" fillId="0" borderId="85" xfId="2" applyFont="1" applyFill="1" applyBorder="1" applyAlignment="1">
      <alignment vertical="center"/>
    </xf>
    <xf numFmtId="41" fontId="44" fillId="0" borderId="80" xfId="10" applyFont="1" applyFill="1" applyBorder="1" applyAlignment="1">
      <alignment vertical="center"/>
    </xf>
    <xf numFmtId="176" fontId="17" fillId="0" borderId="31" xfId="11" applyNumberFormat="1" applyFont="1" applyFill="1" applyBorder="1" applyAlignment="1">
      <alignment vertical="center"/>
    </xf>
    <xf numFmtId="176" fontId="17" fillId="0" borderId="88" xfId="11" applyNumberFormat="1" applyFont="1" applyFill="1" applyBorder="1" applyAlignment="1">
      <alignment vertical="center"/>
    </xf>
    <xf numFmtId="176" fontId="44" fillId="0" borderId="33" xfId="11" applyNumberFormat="1" applyFont="1" applyFill="1" applyBorder="1" applyAlignment="1">
      <alignment horizontal="center" vertical="center" wrapText="1"/>
    </xf>
    <xf numFmtId="0" fontId="44" fillId="0" borderId="114" xfId="2" applyFont="1" applyFill="1" applyBorder="1" applyAlignment="1">
      <alignment horizontal="center" vertical="center"/>
    </xf>
    <xf numFmtId="0" fontId="44" fillId="0" borderId="83" xfId="2" applyFont="1" applyFill="1" applyBorder="1" applyAlignment="1">
      <alignment vertical="center"/>
    </xf>
    <xf numFmtId="176" fontId="44" fillId="0" borderId="102" xfId="12" applyNumberFormat="1" applyFont="1" applyFill="1" applyBorder="1" applyAlignment="1" applyProtection="1">
      <alignment vertical="center"/>
      <protection locked="0"/>
    </xf>
    <xf numFmtId="176" fontId="58" fillId="0" borderId="107" xfId="11" applyNumberFormat="1" applyFont="1" applyFill="1" applyBorder="1" applyAlignment="1">
      <alignment vertical="center"/>
    </xf>
    <xf numFmtId="176" fontId="17" fillId="0" borderId="102" xfId="11" applyNumberFormat="1" applyFont="1" applyFill="1" applyBorder="1" applyAlignment="1">
      <alignment vertical="center"/>
    </xf>
    <xf numFmtId="176" fontId="44" fillId="0" borderId="12" xfId="11" applyNumberFormat="1" applyFont="1" applyFill="1" applyBorder="1" applyAlignment="1">
      <alignment horizontal="left" vertical="center" shrinkToFit="1"/>
    </xf>
    <xf numFmtId="176" fontId="44" fillId="0" borderId="88" xfId="11" applyNumberFormat="1" applyFont="1" applyFill="1" applyBorder="1" applyAlignment="1" applyProtection="1">
      <alignment horizontal="center" vertical="center"/>
      <protection locked="0"/>
    </xf>
    <xf numFmtId="0" fontId="44" fillId="0" borderId="107" xfId="2" applyFont="1" applyFill="1" applyBorder="1" applyAlignment="1">
      <alignment horizontal="center" vertical="center"/>
    </xf>
    <xf numFmtId="176" fontId="44" fillId="0" borderId="32" xfId="11" applyNumberFormat="1" applyFont="1" applyFill="1" applyBorder="1" applyAlignment="1">
      <alignment vertical="center"/>
    </xf>
    <xf numFmtId="41" fontId="44" fillId="0" borderId="130" xfId="10" applyFont="1" applyFill="1" applyBorder="1" applyAlignment="1">
      <alignment vertical="center"/>
    </xf>
    <xf numFmtId="0" fontId="44" fillId="0" borderId="81" xfId="2" applyFont="1" applyFill="1" applyBorder="1" applyAlignment="1">
      <alignment vertical="center"/>
    </xf>
    <xf numFmtId="176" fontId="44" fillId="0" borderId="66" xfId="11" applyNumberFormat="1" applyFont="1" applyFill="1" applyBorder="1" applyAlignment="1" applyProtection="1">
      <alignment vertical="center"/>
      <protection locked="0"/>
    </xf>
    <xf numFmtId="176" fontId="44" fillId="0" borderId="75" xfId="11" applyNumberFormat="1" applyFont="1" applyFill="1" applyBorder="1" applyAlignment="1" applyProtection="1">
      <alignment vertical="center"/>
      <protection locked="0"/>
    </xf>
    <xf numFmtId="176" fontId="44" fillId="0" borderId="103" xfId="12" applyNumberFormat="1" applyFont="1" applyFill="1" applyBorder="1" applyAlignment="1" applyProtection="1">
      <alignment vertical="center"/>
      <protection locked="0"/>
    </xf>
    <xf numFmtId="176" fontId="17" fillId="0" borderId="30" xfId="11" applyNumberFormat="1" applyFont="1" applyFill="1" applyBorder="1" applyAlignment="1">
      <alignment vertical="center"/>
    </xf>
    <xf numFmtId="176" fontId="17" fillId="0" borderId="92" xfId="11" applyNumberFormat="1" applyFont="1" applyFill="1" applyBorder="1" applyAlignment="1">
      <alignment vertical="center"/>
    </xf>
    <xf numFmtId="176" fontId="58" fillId="0" borderId="108" xfId="11" applyNumberFormat="1" applyFont="1" applyFill="1" applyBorder="1" applyAlignment="1">
      <alignment vertical="center"/>
    </xf>
    <xf numFmtId="176" fontId="17" fillId="0" borderId="103" xfId="11" applyNumberFormat="1" applyFont="1" applyFill="1" applyBorder="1" applyAlignment="1">
      <alignment vertical="center"/>
    </xf>
    <xf numFmtId="176" fontId="17" fillId="0" borderId="48" xfId="11" applyNumberFormat="1" applyFont="1" applyFill="1" applyBorder="1" applyAlignment="1">
      <alignment vertical="center"/>
    </xf>
    <xf numFmtId="176" fontId="47" fillId="0" borderId="0" xfId="11" applyNumberFormat="1" applyFont="1" applyFill="1" applyAlignment="1">
      <alignment vertical="center"/>
    </xf>
    <xf numFmtId="41" fontId="44" fillId="0" borderId="0" xfId="11" applyNumberFormat="1" applyFont="1" applyFill="1" applyBorder="1" applyAlignment="1">
      <alignment vertical="center"/>
    </xf>
    <xf numFmtId="0" fontId="44" fillId="0" borderId="0" xfId="11" applyFont="1" applyFill="1" applyBorder="1" applyAlignment="1">
      <alignment vertical="center"/>
    </xf>
    <xf numFmtId="0" fontId="44" fillId="0" borderId="0" xfId="11" applyFont="1" applyFill="1" applyBorder="1" applyAlignment="1">
      <alignment horizontal="right" vertical="center"/>
    </xf>
    <xf numFmtId="176" fontId="44" fillId="0" borderId="41" xfId="11" applyNumberFormat="1" applyFont="1" applyFill="1" applyBorder="1" applyAlignment="1" applyProtection="1">
      <alignment horizontal="center" vertical="center"/>
      <protection locked="0"/>
    </xf>
    <xf numFmtId="176" fontId="17" fillId="0" borderId="41" xfId="11" applyNumberFormat="1" applyFont="1" applyFill="1" applyBorder="1" applyAlignment="1">
      <alignment vertical="center"/>
    </xf>
    <xf numFmtId="176" fontId="44" fillId="0" borderId="41" xfId="11" applyNumberFormat="1" applyFont="1" applyFill="1" applyBorder="1" applyAlignment="1" applyProtection="1">
      <alignment horizontal="right" vertical="center"/>
      <protection locked="0"/>
    </xf>
    <xf numFmtId="176" fontId="44" fillId="0" borderId="41" xfId="11" applyNumberFormat="1" applyFont="1" applyFill="1" applyBorder="1" applyAlignment="1" applyProtection="1">
      <alignment vertical="center"/>
      <protection locked="0"/>
    </xf>
    <xf numFmtId="0" fontId="47" fillId="12" borderId="41" xfId="2" applyFont="1" applyFill="1" applyBorder="1"/>
    <xf numFmtId="0" fontId="6" fillId="0" borderId="0" xfId="11" applyFont="1" applyFill="1" applyBorder="1" applyAlignment="1">
      <alignment vertical="center"/>
    </xf>
    <xf numFmtId="41" fontId="6" fillId="0" borderId="0" xfId="11" applyNumberFormat="1" applyFont="1" applyFill="1" applyBorder="1" applyAlignment="1">
      <alignment vertical="center"/>
    </xf>
    <xf numFmtId="0" fontId="17" fillId="0" borderId="0" xfId="11" applyFont="1" applyFill="1" applyBorder="1" applyAlignment="1">
      <alignment vertical="center"/>
    </xf>
    <xf numFmtId="0" fontId="17" fillId="0" borderId="0" xfId="11" applyFont="1" applyFill="1" applyBorder="1" applyAlignment="1">
      <alignment horizontal="right" vertical="center"/>
    </xf>
    <xf numFmtId="0" fontId="47" fillId="12" borderId="0" xfId="2" applyFont="1" applyFill="1" applyBorder="1"/>
    <xf numFmtId="0" fontId="6" fillId="0" borderId="0" xfId="11" applyFont="1" applyFill="1" applyAlignment="1">
      <alignment vertical="center"/>
    </xf>
    <xf numFmtId="0" fontId="17" fillId="0" borderId="0" xfId="11" applyFont="1" applyFill="1" applyAlignment="1">
      <alignment vertical="center"/>
    </xf>
    <xf numFmtId="0" fontId="17" fillId="0" borderId="0" xfId="11" applyFont="1" applyFill="1" applyAlignment="1">
      <alignment horizontal="right" vertical="center"/>
    </xf>
    <xf numFmtId="176" fontId="51" fillId="0" borderId="0" xfId="11" applyNumberFormat="1" applyFont="1" applyFill="1" applyBorder="1" applyAlignment="1">
      <alignment vertical="center"/>
    </xf>
    <xf numFmtId="176" fontId="51" fillId="0" borderId="0" xfId="11" applyNumberFormat="1" applyFont="1" applyFill="1" applyBorder="1" applyAlignment="1" applyProtection="1">
      <alignment vertical="center"/>
      <protection locked="0"/>
    </xf>
    <xf numFmtId="176" fontId="51" fillId="0" borderId="0" xfId="11" applyNumberFormat="1" applyFont="1" applyFill="1" applyBorder="1" applyAlignment="1" applyProtection="1">
      <alignment horizontal="right" vertical="center"/>
      <protection locked="0"/>
    </xf>
    <xf numFmtId="176" fontId="51" fillId="0" borderId="0" xfId="12" applyNumberFormat="1" applyFont="1" applyFill="1" applyBorder="1" applyAlignment="1" applyProtection="1">
      <alignment vertical="center"/>
      <protection locked="0"/>
    </xf>
    <xf numFmtId="0" fontId="51" fillId="0" borderId="0" xfId="14" applyFont="1" applyFill="1" applyBorder="1" applyAlignment="1">
      <alignment vertical="center"/>
    </xf>
    <xf numFmtId="176" fontId="51" fillId="0" borderId="0" xfId="11" applyNumberFormat="1" applyFont="1" applyFill="1" applyBorder="1" applyAlignment="1">
      <alignment horizontal="right" vertical="center"/>
    </xf>
    <xf numFmtId="0" fontId="51" fillId="0" borderId="0" xfId="15" applyFont="1" applyFill="1" applyBorder="1" applyAlignment="1">
      <alignment horizontal="justify" vertical="center"/>
    </xf>
    <xf numFmtId="0" fontId="51" fillId="0" borderId="0" xfId="15" applyFont="1" applyFill="1" applyBorder="1" applyAlignment="1">
      <alignment vertical="center"/>
    </xf>
    <xf numFmtId="176" fontId="51" fillId="0" borderId="0" xfId="11" applyNumberFormat="1" applyFont="1" applyFill="1" applyBorder="1" applyAlignment="1" applyProtection="1">
      <alignment horizontal="left" vertical="center"/>
      <protection locked="0"/>
    </xf>
    <xf numFmtId="176" fontId="51" fillId="0" borderId="0" xfId="11" applyNumberFormat="1" applyFont="1" applyFill="1" applyBorder="1" applyAlignment="1">
      <alignment horizontal="left" vertical="center"/>
    </xf>
    <xf numFmtId="0" fontId="51" fillId="0" borderId="0" xfId="2" applyFont="1" applyFill="1" applyBorder="1" applyAlignment="1">
      <alignment vertical="center"/>
    </xf>
    <xf numFmtId="176" fontId="6" fillId="0" borderId="0" xfId="11" applyNumberFormat="1" applyFont="1" applyFill="1" applyBorder="1" applyAlignment="1">
      <alignment vertical="center"/>
    </xf>
    <xf numFmtId="0" fontId="16" fillId="0" borderId="0" xfId="2" applyFont="1" applyProtection="1">
      <protection locked="0"/>
    </xf>
    <xf numFmtId="0" fontId="52" fillId="0" borderId="0" xfId="2" applyFont="1"/>
    <xf numFmtId="0" fontId="60" fillId="0" borderId="0" xfId="2" applyFont="1"/>
    <xf numFmtId="0" fontId="17" fillId="0" borderId="0" xfId="2" applyFont="1"/>
    <xf numFmtId="0" fontId="9" fillId="0" borderId="0" xfId="2" applyFont="1" applyBorder="1" applyAlignment="1"/>
    <xf numFmtId="0" fontId="18" fillId="0" borderId="0" xfId="2" applyFont="1" applyBorder="1" applyAlignment="1">
      <alignment horizontal="right"/>
    </xf>
    <xf numFmtId="0" fontId="41" fillId="0" borderId="0" xfId="2" applyFont="1" applyAlignment="1">
      <alignment vertical="top"/>
    </xf>
    <xf numFmtId="0" fontId="18" fillId="0" borderId="95" xfId="2" applyFont="1" applyBorder="1" applyAlignment="1">
      <alignment horizontal="center" vertical="center"/>
    </xf>
    <xf numFmtId="0" fontId="18" fillId="0" borderId="131" xfId="2" applyFont="1" applyBorder="1" applyAlignment="1">
      <alignment horizontal="center" vertical="center"/>
    </xf>
    <xf numFmtId="0" fontId="18" fillId="0" borderId="132" xfId="2" applyFont="1" applyBorder="1" applyAlignment="1">
      <alignment horizontal="center" vertical="center"/>
    </xf>
    <xf numFmtId="0" fontId="18" fillId="0" borderId="133" xfId="2" applyFont="1" applyBorder="1" applyAlignment="1">
      <alignment horizontal="center" vertical="center"/>
    </xf>
    <xf numFmtId="0" fontId="18" fillId="0" borderId="34" xfId="2" applyFont="1" applyBorder="1" applyAlignment="1">
      <alignment horizontal="center" vertical="center"/>
    </xf>
    <xf numFmtId="0" fontId="18" fillId="0" borderId="94" xfId="2" applyFont="1" applyBorder="1" applyAlignment="1">
      <alignment horizontal="center" vertical="center"/>
    </xf>
    <xf numFmtId="0" fontId="18" fillId="0" borderId="107" xfId="2" applyFont="1" applyBorder="1" applyAlignment="1">
      <alignment horizontal="center" vertical="center"/>
    </xf>
    <xf numFmtId="176" fontId="18" fillId="0" borderId="31" xfId="2" applyNumberFormat="1" applyFont="1" applyBorder="1" applyAlignment="1">
      <alignment horizontal="right" vertical="center"/>
    </xf>
    <xf numFmtId="176" fontId="18" fillId="0" borderId="12" xfId="2" applyNumberFormat="1" applyFont="1" applyBorder="1" applyAlignment="1">
      <alignment horizontal="right" vertical="center"/>
    </xf>
    <xf numFmtId="176" fontId="18" fillId="0" borderId="88" xfId="2" applyNumberFormat="1" applyFont="1" applyBorder="1" applyAlignment="1">
      <alignment horizontal="right" vertical="center"/>
    </xf>
    <xf numFmtId="176" fontId="18" fillId="0" borderId="13" xfId="2" quotePrefix="1" applyNumberFormat="1" applyFont="1" applyBorder="1" applyAlignment="1">
      <alignment horizontal="right" vertical="center"/>
    </xf>
    <xf numFmtId="176" fontId="18" fillId="0" borderId="102" xfId="2" applyNumberFormat="1" applyFont="1" applyBorder="1" applyAlignment="1">
      <alignment horizontal="right" vertical="center"/>
    </xf>
    <xf numFmtId="41" fontId="18" fillId="0" borderId="31" xfId="2" applyNumberFormat="1" applyFont="1" applyFill="1" applyBorder="1" applyAlignment="1">
      <alignment horizontal="right" vertical="center"/>
    </xf>
    <xf numFmtId="41" fontId="18" fillId="0" borderId="102" xfId="2" applyNumberFormat="1" applyFont="1" applyFill="1" applyBorder="1" applyAlignment="1">
      <alignment horizontal="right" vertical="center"/>
    </xf>
    <xf numFmtId="41" fontId="18" fillId="0" borderId="12" xfId="2" applyNumberFormat="1" applyFont="1" applyFill="1" applyBorder="1" applyAlignment="1">
      <alignment horizontal="right" vertical="center"/>
    </xf>
    <xf numFmtId="176" fontId="18" fillId="0" borderId="82" xfId="2" applyNumberFormat="1" applyFont="1" applyBorder="1" applyAlignment="1">
      <alignment horizontal="right" vertical="center"/>
    </xf>
    <xf numFmtId="176" fontId="18" fillId="0" borderId="0" xfId="2" applyNumberFormat="1" applyFont="1" applyBorder="1" applyAlignment="1">
      <alignment horizontal="right" vertical="center"/>
    </xf>
    <xf numFmtId="49" fontId="18" fillId="0" borderId="124" xfId="2" quotePrefix="1" applyNumberFormat="1" applyFont="1" applyBorder="1" applyAlignment="1">
      <alignment horizontal="center" vertical="center"/>
    </xf>
    <xf numFmtId="41" fontId="18" fillId="0" borderId="32" xfId="2" applyNumberFormat="1" applyFont="1" applyFill="1" applyBorder="1" applyAlignment="1">
      <alignment horizontal="right" vertical="center"/>
    </xf>
    <xf numFmtId="41" fontId="18" fillId="0" borderId="15" xfId="2" applyNumberFormat="1" applyFont="1" applyFill="1" applyBorder="1" applyAlignment="1">
      <alignment horizontal="right" vertical="center"/>
    </xf>
    <xf numFmtId="41" fontId="18" fillId="0" borderId="90" xfId="2" applyNumberFormat="1" applyFont="1" applyFill="1" applyBorder="1" applyAlignment="1">
      <alignment horizontal="right" vertical="center"/>
    </xf>
    <xf numFmtId="41" fontId="18" fillId="0" borderId="16" xfId="2" quotePrefix="1" applyNumberFormat="1" applyFont="1" applyFill="1" applyBorder="1" applyAlignment="1">
      <alignment horizontal="right" vertical="center"/>
    </xf>
    <xf numFmtId="41" fontId="18" fillId="0" borderId="105" xfId="2" applyNumberFormat="1" applyFont="1" applyFill="1" applyBorder="1" applyAlignment="1">
      <alignment horizontal="right" vertical="center"/>
    </xf>
    <xf numFmtId="2" fontId="18" fillId="0" borderId="106" xfId="2" applyNumberFormat="1" applyFont="1" applyBorder="1" applyAlignment="1">
      <alignment horizontal="center" vertical="center"/>
    </xf>
    <xf numFmtId="41" fontId="18" fillId="0" borderId="68" xfId="2" applyNumberFormat="1" applyFont="1" applyFill="1" applyBorder="1" applyAlignment="1">
      <alignment horizontal="right" vertical="center"/>
    </xf>
    <xf numFmtId="41" fontId="18" fillId="0" borderId="69" xfId="2" applyNumberFormat="1" applyFont="1" applyFill="1" applyBorder="1" applyAlignment="1">
      <alignment horizontal="right" vertical="center"/>
    </xf>
    <xf numFmtId="41" fontId="18" fillId="0" borderId="79" xfId="2" applyNumberFormat="1" applyFont="1" applyFill="1" applyBorder="1" applyAlignment="1">
      <alignment horizontal="right" vertical="center"/>
    </xf>
    <xf numFmtId="41" fontId="18" fillId="0" borderId="70" xfId="2" quotePrefix="1" applyNumberFormat="1" applyFont="1" applyFill="1" applyBorder="1" applyAlignment="1">
      <alignment horizontal="right" vertical="center"/>
    </xf>
    <xf numFmtId="41" fontId="18" fillId="0" borderId="80" xfId="2" applyNumberFormat="1" applyFont="1" applyFill="1" applyBorder="1" applyAlignment="1">
      <alignment horizontal="right" vertical="center"/>
    </xf>
    <xf numFmtId="2" fontId="18" fillId="0" borderId="107" xfId="2" applyNumberFormat="1" applyFont="1" applyBorder="1" applyAlignment="1">
      <alignment horizontal="center" vertical="center"/>
    </xf>
    <xf numFmtId="41" fontId="18" fillId="0" borderId="88" xfId="2" applyNumberFormat="1" applyFont="1" applyFill="1" applyBorder="1" applyAlignment="1">
      <alignment horizontal="right" vertical="center"/>
    </xf>
    <xf numFmtId="41" fontId="18" fillId="0" borderId="13" xfId="2" quotePrefix="1" applyNumberFormat="1" applyFont="1" applyFill="1" applyBorder="1" applyAlignment="1">
      <alignment horizontal="right" vertical="center"/>
    </xf>
    <xf numFmtId="2" fontId="18" fillId="0" borderId="108" xfId="2" applyNumberFormat="1" applyFont="1" applyBorder="1" applyAlignment="1">
      <alignment horizontal="center" vertical="center"/>
    </xf>
    <xf numFmtId="41" fontId="18" fillId="0" borderId="30" xfId="2" applyNumberFormat="1" applyFont="1" applyFill="1" applyBorder="1" applyAlignment="1">
      <alignment horizontal="right" vertical="center"/>
    </xf>
    <xf numFmtId="41" fontId="18" fillId="0" borderId="10" xfId="2" applyNumberFormat="1" applyFont="1" applyFill="1" applyBorder="1" applyAlignment="1">
      <alignment horizontal="right" vertical="center"/>
    </xf>
    <xf numFmtId="41" fontId="18" fillId="0" borderId="92" xfId="2" applyNumberFormat="1" applyFont="1" applyFill="1" applyBorder="1" applyAlignment="1">
      <alignment horizontal="right" vertical="center"/>
    </xf>
    <xf numFmtId="41" fontId="18" fillId="0" borderId="11" xfId="2" applyNumberFormat="1" applyFont="1" applyFill="1" applyBorder="1" applyAlignment="1">
      <alignment horizontal="right" vertical="center"/>
    </xf>
    <xf numFmtId="41" fontId="18" fillId="0" borderId="48" xfId="2" applyNumberFormat="1" applyFont="1" applyFill="1" applyBorder="1" applyAlignment="1">
      <alignment horizontal="right" vertical="center"/>
    </xf>
    <xf numFmtId="0" fontId="15" fillId="0" borderId="41" xfId="2" quotePrefix="1" applyFont="1" applyBorder="1" applyAlignment="1">
      <alignment vertical="center"/>
    </xf>
    <xf numFmtId="176" fontId="15" fillId="0" borderId="41" xfId="2" applyNumberFormat="1" applyFont="1" applyBorder="1" applyAlignment="1">
      <alignment horizontal="right" vertical="center"/>
    </xf>
    <xf numFmtId="0" fontId="15" fillId="0" borderId="0" xfId="2" applyFont="1" applyAlignment="1">
      <alignment vertical="center"/>
    </xf>
    <xf numFmtId="41" fontId="15" fillId="0" borderId="0" xfId="2" applyNumberFormat="1" applyFont="1" applyBorder="1" applyAlignment="1">
      <alignment vertical="center"/>
    </xf>
    <xf numFmtId="0" fontId="15" fillId="0" borderId="0" xfId="2" applyFont="1" applyAlignment="1">
      <alignment horizontal="left"/>
    </xf>
    <xf numFmtId="0" fontId="15" fillId="0" borderId="0" xfId="2" applyFont="1" applyBorder="1" applyAlignment="1">
      <alignment vertical="center"/>
    </xf>
    <xf numFmtId="176" fontId="15" fillId="0" borderId="0" xfId="2" applyNumberFormat="1" applyFont="1"/>
    <xf numFmtId="0" fontId="61" fillId="0" borderId="0" xfId="2" applyFont="1"/>
    <xf numFmtId="0" fontId="45" fillId="0" borderId="0" xfId="2" applyFont="1" applyBorder="1" applyAlignment="1">
      <alignment vertical="center"/>
    </xf>
    <xf numFmtId="176" fontId="61" fillId="0" borderId="0" xfId="2" applyNumberFormat="1" applyFont="1"/>
    <xf numFmtId="0" fontId="16" fillId="0" borderId="0" xfId="2" applyFont="1" applyFill="1"/>
    <xf numFmtId="0" fontId="16" fillId="13" borderId="0" xfId="2" applyFont="1" applyFill="1"/>
    <xf numFmtId="0" fontId="17" fillId="13" borderId="0" xfId="2" applyFont="1" applyFill="1"/>
    <xf numFmtId="0" fontId="18" fillId="0" borderId="0" xfId="2" applyFont="1" applyFill="1" applyAlignment="1">
      <alignment horizontal="left" vertical="top"/>
    </xf>
    <xf numFmtId="176" fontId="6" fillId="0" borderId="0" xfId="2" applyNumberFormat="1" applyFont="1" applyFill="1" applyAlignment="1">
      <alignment vertical="top"/>
    </xf>
    <xf numFmtId="0" fontId="18" fillId="13" borderId="0" xfId="2" applyFont="1" applyFill="1" applyAlignment="1">
      <alignment vertical="top"/>
    </xf>
    <xf numFmtId="0" fontId="51" fillId="13" borderId="0" xfId="2" applyFont="1" applyFill="1" applyAlignment="1">
      <alignment vertical="center"/>
    </xf>
    <xf numFmtId="0" fontId="6" fillId="0" borderId="134" xfId="16" applyFont="1" applyBorder="1" applyAlignment="1">
      <alignment horizontal="center" vertical="center" wrapText="1"/>
    </xf>
    <xf numFmtId="41" fontId="18" fillId="0" borderId="59" xfId="2" applyNumberFormat="1" applyFont="1" applyFill="1" applyBorder="1" applyAlignment="1">
      <alignment horizontal="right" vertical="center"/>
    </xf>
    <xf numFmtId="41" fontId="18" fillId="0" borderId="62" xfId="2" applyNumberFormat="1" applyFont="1" applyFill="1" applyBorder="1" applyAlignment="1">
      <alignment horizontal="right" vertical="center"/>
    </xf>
    <xf numFmtId="41" fontId="18" fillId="0" borderId="60" xfId="2" applyNumberFormat="1" applyFont="1" applyFill="1" applyBorder="1" applyAlignment="1">
      <alignment horizontal="right" vertical="center"/>
    </xf>
    <xf numFmtId="41" fontId="18" fillId="0" borderId="61" xfId="2" applyNumberFormat="1" applyFont="1" applyFill="1" applyBorder="1" applyAlignment="1">
      <alignment horizontal="right" vertical="center"/>
    </xf>
    <xf numFmtId="41" fontId="18" fillId="0" borderId="73" xfId="2" applyNumberFormat="1" applyFont="1" applyFill="1" applyBorder="1" applyAlignment="1">
      <alignment horizontal="right" vertical="center"/>
    </xf>
    <xf numFmtId="0" fontId="6" fillId="0" borderId="135" xfId="16" applyFont="1" applyBorder="1" applyAlignment="1">
      <alignment horizontal="center" vertical="center" wrapText="1"/>
    </xf>
    <xf numFmtId="41" fontId="18" fillId="0" borderId="71" xfId="2" applyNumberFormat="1" applyFont="1" applyFill="1" applyBorder="1" applyAlignment="1">
      <alignment horizontal="right" vertical="center"/>
    </xf>
    <xf numFmtId="41" fontId="18" fillId="0" borderId="70" xfId="2" applyNumberFormat="1" applyFont="1" applyFill="1" applyBorder="1" applyAlignment="1">
      <alignment horizontal="right" vertical="center"/>
    </xf>
    <xf numFmtId="0" fontId="6" fillId="0" borderId="136" xfId="16" applyFont="1" applyBorder="1" applyAlignment="1">
      <alignment horizontal="center" vertical="center" wrapText="1"/>
    </xf>
    <xf numFmtId="41" fontId="18" fillId="0" borderId="63" xfId="2" applyNumberFormat="1" applyFont="1" applyFill="1" applyBorder="1" applyAlignment="1">
      <alignment horizontal="right" vertical="center"/>
    </xf>
    <xf numFmtId="41" fontId="18" fillId="0" borderId="66" xfId="2" applyNumberFormat="1" applyFont="1" applyFill="1" applyBorder="1" applyAlignment="1">
      <alignment horizontal="right" vertical="center"/>
    </xf>
    <xf numFmtId="41" fontId="18" fillId="0" borderId="64" xfId="2" applyNumberFormat="1" applyFont="1" applyFill="1" applyBorder="1" applyAlignment="1">
      <alignment horizontal="right" vertical="center"/>
    </xf>
    <xf numFmtId="41" fontId="18" fillId="0" borderId="65" xfId="2" applyNumberFormat="1" applyFont="1" applyFill="1" applyBorder="1" applyAlignment="1">
      <alignment horizontal="right" vertical="center"/>
    </xf>
    <xf numFmtId="41" fontId="18" fillId="0" borderId="115" xfId="2" applyNumberFormat="1" applyFont="1" applyFill="1" applyBorder="1" applyAlignment="1">
      <alignment horizontal="right" vertical="center"/>
    </xf>
    <xf numFmtId="0" fontId="6" fillId="0" borderId="137" xfId="16" applyFont="1" applyBorder="1" applyAlignment="1">
      <alignment horizontal="center" vertical="center" wrapText="1"/>
    </xf>
    <xf numFmtId="41" fontId="18" fillId="0" borderId="47" xfId="2" applyNumberFormat="1" applyFont="1" applyFill="1" applyBorder="1" applyAlignment="1">
      <alignment horizontal="right" vertical="center"/>
    </xf>
    <xf numFmtId="41" fontId="18" fillId="0" borderId="137" xfId="2" applyNumberFormat="1" applyFont="1" applyFill="1" applyBorder="1" applyAlignment="1">
      <alignment horizontal="right" vertical="center"/>
    </xf>
    <xf numFmtId="0" fontId="22" fillId="13" borderId="0" xfId="2" applyFont="1" applyFill="1" applyAlignment="1">
      <alignment vertical="center"/>
    </xf>
    <xf numFmtId="0" fontId="51" fillId="0" borderId="0" xfId="2" applyFont="1" applyFill="1" applyAlignment="1">
      <alignment vertical="center"/>
    </xf>
    <xf numFmtId="0" fontId="9" fillId="13" borderId="0" xfId="2" applyFont="1" applyFill="1"/>
    <xf numFmtId="0" fontId="44" fillId="0" borderId="0" xfId="2" applyFont="1" applyAlignment="1">
      <alignment horizontal="center" vertical="center"/>
    </xf>
    <xf numFmtId="176" fontId="44" fillId="0" borderId="0" xfId="2" applyNumberFormat="1" applyFont="1" applyAlignment="1">
      <alignment horizontal="center" vertical="center"/>
    </xf>
    <xf numFmtId="176" fontId="44" fillId="0" borderId="0" xfId="2" applyNumberFormat="1" applyFont="1" applyAlignment="1">
      <alignment horizontal="right" vertical="center"/>
    </xf>
    <xf numFmtId="0" fontId="62" fillId="0" borderId="0" xfId="2" applyFont="1" applyAlignment="1">
      <alignment vertical="center"/>
    </xf>
    <xf numFmtId="176" fontId="62" fillId="0" borderId="0" xfId="2" applyNumberFormat="1" applyFont="1" applyAlignment="1">
      <alignment vertical="center"/>
    </xf>
    <xf numFmtId="0" fontId="64" fillId="0" borderId="0" xfId="2" applyFont="1" applyAlignment="1">
      <alignment vertical="center"/>
    </xf>
    <xf numFmtId="176" fontId="64" fillId="0" borderId="0" xfId="2" applyNumberFormat="1" applyFont="1" applyAlignment="1">
      <alignment vertical="center"/>
    </xf>
    <xf numFmtId="197" fontId="18" fillId="0" borderId="0" xfId="2" applyNumberFormat="1" applyFont="1" applyAlignment="1">
      <alignment horizontal="right" vertical="center"/>
    </xf>
    <xf numFmtId="176" fontId="18" fillId="0" borderId="27" xfId="2" applyNumberFormat="1" applyFont="1" applyBorder="1" applyAlignment="1">
      <alignment horizontal="center"/>
    </xf>
    <xf numFmtId="176" fontId="18" fillId="0" borderId="15" xfId="2" applyNumberFormat="1" applyFont="1" applyBorder="1" applyAlignment="1">
      <alignment horizontal="center" vertical="top"/>
    </xf>
    <xf numFmtId="0" fontId="18" fillId="0" borderId="69" xfId="2" applyFont="1" applyBorder="1" applyAlignment="1">
      <alignment horizontal="center" vertical="center" wrapText="1"/>
    </xf>
    <xf numFmtId="0" fontId="18" fillId="0" borderId="69" xfId="2" applyFont="1" applyBorder="1" applyAlignment="1">
      <alignment horizontal="center" vertical="center"/>
    </xf>
    <xf numFmtId="0" fontId="18" fillId="0" borderId="69" xfId="2" quotePrefix="1" applyFont="1" applyBorder="1" applyAlignment="1">
      <alignment horizontal="center" vertical="center" wrapText="1"/>
    </xf>
    <xf numFmtId="0" fontId="18" fillId="0" borderId="70" xfId="2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 wrapText="1"/>
    </xf>
    <xf numFmtId="0" fontId="18" fillId="0" borderId="18" xfId="2" quotePrefix="1" applyFont="1" applyBorder="1" applyAlignment="1">
      <alignment horizontal="center" vertical="center" wrapText="1"/>
    </xf>
    <xf numFmtId="0" fontId="18" fillId="0" borderId="19" xfId="2" applyFont="1" applyBorder="1" applyAlignment="1">
      <alignment horizontal="center" vertical="center"/>
    </xf>
    <xf numFmtId="0" fontId="18" fillId="0" borderId="69" xfId="2" quotePrefix="1" applyFont="1" applyBorder="1" applyAlignment="1">
      <alignment horizontal="center" vertical="center"/>
    </xf>
    <xf numFmtId="0" fontId="18" fillId="0" borderId="64" xfId="2" applyFont="1" applyBorder="1" applyAlignment="1">
      <alignment horizontal="center" vertical="center"/>
    </xf>
    <xf numFmtId="0" fontId="18" fillId="0" borderId="10" xfId="2" quotePrefix="1" applyFont="1" applyBorder="1" applyAlignment="1">
      <alignment horizontal="center" vertical="center" wrapText="1"/>
    </xf>
    <xf numFmtId="0" fontId="18" fillId="0" borderId="65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Alignment="1">
      <alignment horizontal="center" vertical="center"/>
    </xf>
    <xf numFmtId="176" fontId="15" fillId="0" borderId="0" xfId="2" applyNumberFormat="1" applyFont="1" applyAlignment="1">
      <alignment horizontal="right" vertical="center"/>
    </xf>
    <xf numFmtId="0" fontId="15" fillId="0" borderId="0" xfId="2" applyFont="1" applyBorder="1" applyAlignment="1">
      <alignment horizontal="right" vertical="center"/>
    </xf>
    <xf numFmtId="0" fontId="46" fillId="0" borderId="0" xfId="2" applyFont="1" applyAlignment="1">
      <alignment horizontal="center" vertical="center"/>
    </xf>
    <xf numFmtId="176" fontId="46" fillId="0" borderId="0" xfId="2" applyNumberFormat="1" applyFont="1" applyAlignment="1">
      <alignment horizontal="right" vertical="center"/>
    </xf>
    <xf numFmtId="0" fontId="2" fillId="0" borderId="0" xfId="3">
      <alignment vertical="center"/>
    </xf>
    <xf numFmtId="0" fontId="52" fillId="0" borderId="0" xfId="2" applyFont="1" applyAlignment="1">
      <alignment vertical="center"/>
    </xf>
    <xf numFmtId="176" fontId="51" fillId="0" borderId="0" xfId="2" applyNumberFormat="1" applyFont="1" applyFill="1" applyBorder="1" applyAlignment="1">
      <alignment horizontal="right" vertical="center"/>
    </xf>
    <xf numFmtId="198" fontId="51" fillId="0" borderId="0" xfId="2" applyNumberFormat="1" applyFont="1" applyFill="1" applyBorder="1" applyAlignment="1">
      <alignment horizontal="right" vertical="center"/>
    </xf>
    <xf numFmtId="198" fontId="9" fillId="0" borderId="0" xfId="2" applyNumberFormat="1" applyFont="1" applyBorder="1" applyAlignment="1">
      <alignment vertical="center"/>
    </xf>
    <xf numFmtId="198" fontId="9" fillId="0" borderId="0" xfId="2" quotePrefix="1" applyNumberFormat="1" applyFont="1" applyBorder="1" applyAlignment="1">
      <alignment vertical="center"/>
    </xf>
    <xf numFmtId="199" fontId="6" fillId="0" borderId="0" xfId="2" applyNumberFormat="1" applyFont="1"/>
    <xf numFmtId="0" fontId="6" fillId="0" borderId="84" xfId="10" applyNumberFormat="1" applyFont="1" applyFill="1" applyBorder="1" applyAlignment="1">
      <alignment horizontal="center" vertical="center"/>
    </xf>
    <xf numFmtId="41" fontId="44" fillId="0" borderId="82" xfId="10" quotePrefix="1" applyFont="1" applyFill="1" applyBorder="1" applyAlignment="1">
      <alignment horizontal="right" vertical="center"/>
    </xf>
    <xf numFmtId="41" fontId="44" fillId="0" borderId="12" xfId="10" quotePrefix="1" applyFont="1" applyFill="1" applyBorder="1" applyAlignment="1">
      <alignment horizontal="right" vertical="center"/>
    </xf>
    <xf numFmtId="41" fontId="44" fillId="0" borderId="88" xfId="10" quotePrefix="1" applyFont="1" applyFill="1" applyBorder="1" applyAlignment="1">
      <alignment horizontal="right" vertical="center"/>
    </xf>
    <xf numFmtId="41" fontId="44" fillId="0" borderId="31" xfId="10" quotePrefix="1" applyFont="1" applyFill="1" applyBorder="1" applyAlignment="1">
      <alignment horizontal="right" vertical="center"/>
    </xf>
    <xf numFmtId="41" fontId="44" fillId="0" borderId="27" xfId="10" quotePrefix="1" applyFont="1" applyFill="1" applyBorder="1" applyAlignment="1">
      <alignment horizontal="right" vertical="center"/>
    </xf>
    <xf numFmtId="41" fontId="44" fillId="0" borderId="29" xfId="10" quotePrefix="1" applyFont="1" applyFill="1" applyBorder="1" applyAlignment="1">
      <alignment horizontal="right" vertical="center"/>
    </xf>
    <xf numFmtId="41" fontId="44" fillId="0" borderId="102" xfId="10" quotePrefix="1" applyFont="1" applyFill="1" applyBorder="1" applyAlignment="1">
      <alignment horizontal="right" vertical="center"/>
    </xf>
    <xf numFmtId="0" fontId="11" fillId="0" borderId="0" xfId="2" applyFont="1" applyFill="1" applyAlignment="1">
      <alignment vertical="center"/>
    </xf>
    <xf numFmtId="41" fontId="44" fillId="0" borderId="13" xfId="10" quotePrefix="1" applyFont="1" applyFill="1" applyBorder="1" applyAlignment="1">
      <alignment horizontal="right" vertical="center"/>
    </xf>
    <xf numFmtId="0" fontId="65" fillId="0" borderId="0" xfId="2" applyFont="1"/>
    <xf numFmtId="0" fontId="34" fillId="0" borderId="84" xfId="10" applyNumberFormat="1" applyFont="1" applyFill="1" applyBorder="1" applyAlignment="1">
      <alignment horizontal="center" vertical="center"/>
    </xf>
    <xf numFmtId="41" fontId="43" fillId="0" borderId="82" xfId="10" quotePrefix="1" applyFont="1" applyFill="1" applyBorder="1" applyAlignment="1">
      <alignment horizontal="right" vertical="center"/>
    </xf>
    <xf numFmtId="41" fontId="43" fillId="0" borderId="12" xfId="10" quotePrefix="1" applyFont="1" applyFill="1" applyBorder="1" applyAlignment="1">
      <alignment horizontal="right" vertical="center"/>
    </xf>
    <xf numFmtId="41" fontId="43" fillId="0" borderId="88" xfId="10" quotePrefix="1" applyFont="1" applyFill="1" applyBorder="1" applyAlignment="1">
      <alignment horizontal="right" vertical="center"/>
    </xf>
    <xf numFmtId="41" fontId="43" fillId="0" borderId="31" xfId="10" quotePrefix="1" applyFont="1" applyFill="1" applyBorder="1" applyAlignment="1">
      <alignment horizontal="right" vertical="center"/>
    </xf>
    <xf numFmtId="41" fontId="43" fillId="0" borderId="13" xfId="10" quotePrefix="1" applyFont="1" applyFill="1" applyBorder="1" applyAlignment="1">
      <alignment horizontal="right" vertical="center"/>
    </xf>
    <xf numFmtId="41" fontId="43" fillId="0" borderId="102" xfId="10" quotePrefix="1" applyFont="1" applyFill="1" applyBorder="1" applyAlignment="1">
      <alignment horizontal="right" vertical="center"/>
    </xf>
    <xf numFmtId="0" fontId="66" fillId="0" borderId="0" xfId="2" applyFont="1"/>
    <xf numFmtId="181" fontId="6" fillId="0" borderId="84" xfId="10" applyNumberFormat="1" applyFont="1" applyFill="1" applyBorder="1" applyAlignment="1">
      <alignment horizontal="center" vertical="center"/>
    </xf>
    <xf numFmtId="41" fontId="44" fillId="0" borderId="0" xfId="10" quotePrefix="1" applyFont="1" applyFill="1" applyBorder="1" applyAlignment="1">
      <alignment horizontal="right" vertical="center"/>
    </xf>
    <xf numFmtId="41" fontId="44" fillId="0" borderId="67" xfId="10" quotePrefix="1" applyFont="1" applyFill="1" applyBorder="1" applyAlignment="1">
      <alignment horizontal="right" vertical="center"/>
    </xf>
    <xf numFmtId="41" fontId="44" fillId="0" borderId="15" xfId="10" quotePrefix="1" applyFont="1" applyFill="1" applyBorder="1" applyAlignment="1">
      <alignment horizontal="right" vertical="center"/>
    </xf>
    <xf numFmtId="41" fontId="44" fillId="0" borderId="90" xfId="10" quotePrefix="1" applyFont="1" applyFill="1" applyBorder="1" applyAlignment="1">
      <alignment horizontal="right" vertical="center"/>
    </xf>
    <xf numFmtId="41" fontId="44" fillId="0" borderId="32" xfId="10" quotePrefix="1" applyFont="1" applyFill="1" applyBorder="1" applyAlignment="1">
      <alignment horizontal="right" vertical="center"/>
    </xf>
    <xf numFmtId="41" fontId="44" fillId="0" borderId="16" xfId="10" quotePrefix="1" applyFont="1" applyFill="1" applyBorder="1" applyAlignment="1">
      <alignment horizontal="right" vertical="center"/>
    </xf>
    <xf numFmtId="41" fontId="44" fillId="0" borderId="105" xfId="10" quotePrefix="1" applyFont="1" applyFill="1" applyBorder="1" applyAlignment="1">
      <alignment horizontal="right" vertical="center"/>
    </xf>
    <xf numFmtId="0" fontId="6" fillId="0" borderId="91" xfId="10" applyNumberFormat="1" applyFont="1" applyFill="1" applyBorder="1" applyAlignment="1">
      <alignment horizontal="center" vertical="center"/>
    </xf>
    <xf numFmtId="41" fontId="44" fillId="0" borderId="71" xfId="10" quotePrefix="1" applyFont="1" applyFill="1" applyBorder="1" applyAlignment="1">
      <alignment horizontal="right" vertical="center"/>
    </xf>
    <xf numFmtId="41" fontId="44" fillId="0" borderId="69" xfId="10" quotePrefix="1" applyFont="1" applyFill="1" applyBorder="1" applyAlignment="1">
      <alignment horizontal="right" vertical="center"/>
    </xf>
    <xf numFmtId="41" fontId="44" fillId="0" borderId="79" xfId="10" quotePrefix="1" applyFont="1" applyFill="1" applyBorder="1" applyAlignment="1">
      <alignment horizontal="right" vertical="center"/>
    </xf>
    <xf numFmtId="41" fontId="44" fillId="0" borderId="68" xfId="10" quotePrefix="1" applyFont="1" applyFill="1" applyBorder="1" applyAlignment="1">
      <alignment horizontal="right" vertical="center"/>
    </xf>
    <xf numFmtId="41" fontId="44" fillId="0" borderId="70" xfId="10" quotePrefix="1" applyFont="1" applyFill="1" applyBorder="1" applyAlignment="1">
      <alignment horizontal="right" vertical="center"/>
    </xf>
    <xf numFmtId="41" fontId="44" fillId="0" borderId="80" xfId="10" quotePrefix="1" applyFont="1" applyFill="1" applyBorder="1" applyAlignment="1">
      <alignment horizontal="right" vertical="center"/>
    </xf>
    <xf numFmtId="2" fontId="6" fillId="0" borderId="84" xfId="10" applyNumberFormat="1" applyFont="1" applyFill="1" applyBorder="1" applyAlignment="1">
      <alignment horizontal="center" vertical="center"/>
    </xf>
    <xf numFmtId="2" fontId="23" fillId="0" borderId="91" xfId="10" applyNumberFormat="1" applyFont="1" applyFill="1" applyBorder="1" applyAlignment="1">
      <alignment horizontal="center" vertical="center"/>
    </xf>
    <xf numFmtId="41" fontId="67" fillId="0" borderId="71" xfId="10" quotePrefix="1" applyFont="1" applyFill="1" applyBorder="1" applyAlignment="1">
      <alignment horizontal="right" vertical="center"/>
    </xf>
    <xf numFmtId="41" fontId="67" fillId="0" borderId="69" xfId="10" quotePrefix="1" applyFont="1" applyFill="1" applyBorder="1" applyAlignment="1">
      <alignment horizontal="right" vertical="center"/>
    </xf>
    <xf numFmtId="41" fontId="67" fillId="0" borderId="79" xfId="10" quotePrefix="1" applyFont="1" applyFill="1" applyBorder="1" applyAlignment="1">
      <alignment horizontal="right" vertical="center"/>
    </xf>
    <xf numFmtId="41" fontId="67" fillId="0" borderId="68" xfId="10" quotePrefix="1" applyFont="1" applyFill="1" applyBorder="1" applyAlignment="1">
      <alignment horizontal="right" vertical="center"/>
    </xf>
    <xf numFmtId="41" fontId="67" fillId="0" borderId="70" xfId="10" quotePrefix="1" applyFont="1" applyFill="1" applyBorder="1" applyAlignment="1">
      <alignment horizontal="right" vertical="center"/>
    </xf>
    <xf numFmtId="41" fontId="67" fillId="0" borderId="80" xfId="10" quotePrefix="1" applyFont="1" applyFill="1" applyBorder="1" applyAlignment="1">
      <alignment horizontal="right" vertical="center"/>
    </xf>
    <xf numFmtId="0" fontId="11" fillId="0" borderId="0" xfId="2" applyFont="1" applyBorder="1"/>
    <xf numFmtId="2" fontId="23" fillId="0" borderId="84" xfId="10" applyNumberFormat="1" applyFont="1" applyFill="1" applyBorder="1" applyAlignment="1">
      <alignment horizontal="center" vertical="center"/>
    </xf>
    <xf numFmtId="41" fontId="67" fillId="0" borderId="82" xfId="10" quotePrefix="1" applyFont="1" applyFill="1" applyBorder="1" applyAlignment="1">
      <alignment horizontal="right" vertical="center"/>
    </xf>
    <xf numFmtId="41" fontId="67" fillId="0" borderId="12" xfId="10" quotePrefix="1" applyFont="1" applyFill="1" applyBorder="1" applyAlignment="1">
      <alignment horizontal="right" vertical="center"/>
    </xf>
    <xf numFmtId="41" fontId="67" fillId="0" borderId="88" xfId="10" quotePrefix="1" applyFont="1" applyFill="1" applyBorder="1" applyAlignment="1">
      <alignment horizontal="right" vertical="center"/>
    </xf>
    <xf numFmtId="41" fontId="67" fillId="0" borderId="31" xfId="10" quotePrefix="1" applyFont="1" applyFill="1" applyBorder="1" applyAlignment="1">
      <alignment horizontal="right" vertical="center"/>
    </xf>
    <xf numFmtId="41" fontId="67" fillId="0" borderId="13" xfId="10" quotePrefix="1" applyFont="1" applyFill="1" applyBorder="1" applyAlignment="1">
      <alignment horizontal="right" vertical="center"/>
    </xf>
    <xf numFmtId="41" fontId="67" fillId="0" borderId="102" xfId="10" quotePrefix="1" applyFont="1" applyFill="1" applyBorder="1" applyAlignment="1">
      <alignment horizontal="right" vertical="center"/>
    </xf>
    <xf numFmtId="2" fontId="23" fillId="0" borderId="46" xfId="10" applyNumberFormat="1" applyFont="1" applyFill="1" applyBorder="1" applyAlignment="1">
      <alignment horizontal="center" vertical="center"/>
    </xf>
    <xf numFmtId="41" fontId="67" fillId="0" borderId="47" xfId="10" quotePrefix="1" applyFont="1" applyFill="1" applyBorder="1" applyAlignment="1">
      <alignment horizontal="right" vertical="center"/>
    </xf>
    <xf numFmtId="41" fontId="67" fillId="0" borderId="10" xfId="10" quotePrefix="1" applyFont="1" applyFill="1" applyBorder="1" applyAlignment="1">
      <alignment horizontal="right" vertical="center"/>
    </xf>
    <xf numFmtId="41" fontId="67" fillId="0" borderId="92" xfId="10" quotePrefix="1" applyFont="1" applyFill="1" applyBorder="1" applyAlignment="1">
      <alignment horizontal="right" vertical="center"/>
    </xf>
    <xf numFmtId="41" fontId="67" fillId="0" borderId="30" xfId="10" quotePrefix="1" applyFont="1" applyFill="1" applyBorder="1" applyAlignment="1">
      <alignment horizontal="right" vertical="center"/>
    </xf>
    <xf numFmtId="41" fontId="67" fillId="0" borderId="11" xfId="10" quotePrefix="1" applyFont="1" applyFill="1" applyBorder="1" applyAlignment="1">
      <alignment horizontal="right" vertical="center"/>
    </xf>
    <xf numFmtId="41" fontId="67" fillId="0" borderId="48" xfId="10" quotePrefix="1" applyFont="1" applyFill="1" applyBorder="1" applyAlignment="1">
      <alignment horizontal="right" vertical="center"/>
    </xf>
    <xf numFmtId="0" fontId="23" fillId="0" borderId="0" xfId="10" applyNumberFormat="1" applyFont="1" applyFill="1" applyBorder="1" applyAlignment="1">
      <alignment horizontal="center" vertical="center"/>
    </xf>
    <xf numFmtId="41" fontId="67" fillId="0" borderId="0" xfId="10" quotePrefix="1" applyFont="1" applyFill="1" applyBorder="1" applyAlignment="1">
      <alignment horizontal="right" vertical="center"/>
    </xf>
    <xf numFmtId="41" fontId="23" fillId="0" borderId="0" xfId="10" quotePrefix="1" applyFont="1" applyFill="1" applyBorder="1" applyAlignment="1">
      <alignment vertical="center"/>
    </xf>
    <xf numFmtId="41" fontId="6" fillId="0" borderId="0" xfId="10" applyFont="1" applyAlignment="1">
      <alignment vertical="center"/>
    </xf>
    <xf numFmtId="0" fontId="6" fillId="0" borderId="0" xfId="2" applyFont="1" applyAlignment="1">
      <alignment horizontal="left"/>
    </xf>
    <xf numFmtId="41" fontId="6" fillId="0" borderId="0" xfId="10" applyFont="1" applyFill="1" applyAlignment="1">
      <alignment horizontal="right" vertical="center"/>
    </xf>
    <xf numFmtId="41" fontId="6" fillId="0" borderId="0" xfId="10" applyFont="1" applyFill="1" applyAlignment="1">
      <alignment vertical="center"/>
    </xf>
    <xf numFmtId="41" fontId="6" fillId="0" borderId="0" xfId="10" applyFont="1" applyFill="1" applyBorder="1" applyAlignment="1">
      <alignment vertical="center"/>
    </xf>
    <xf numFmtId="176" fontId="9" fillId="0" borderId="0" xfId="2" applyNumberFormat="1" applyFont="1" applyFill="1" applyAlignment="1">
      <alignment vertical="center"/>
    </xf>
    <xf numFmtId="0" fontId="41" fillId="0" borderId="0" xfId="2" applyFont="1" applyFill="1" applyAlignment="1">
      <alignment vertical="center"/>
    </xf>
    <xf numFmtId="41" fontId="15" fillId="0" borderId="0" xfId="10" applyFont="1" applyFill="1" applyAlignment="1">
      <alignment vertical="center"/>
    </xf>
    <xf numFmtId="41" fontId="15" fillId="0" borderId="0" xfId="10" applyFont="1" applyAlignment="1">
      <alignment horizontal="right" vertical="center"/>
    </xf>
    <xf numFmtId="41" fontId="15" fillId="0" borderId="0" xfId="10" applyFont="1" applyAlignment="1">
      <alignment vertical="center"/>
    </xf>
    <xf numFmtId="41" fontId="15" fillId="0" borderId="0" xfId="10" applyFont="1" applyBorder="1" applyAlignment="1">
      <alignment vertical="center"/>
    </xf>
    <xf numFmtId="176" fontId="68" fillId="0" borderId="0" xfId="2" applyNumberFormat="1" applyFont="1" applyAlignment="1">
      <alignment vertical="center"/>
    </xf>
    <xf numFmtId="41" fontId="11" fillId="0" borderId="0" xfId="2" applyNumberFormat="1" applyFont="1" applyAlignment="1">
      <alignment vertical="center"/>
    </xf>
    <xf numFmtId="0" fontId="20" fillId="0" borderId="0" xfId="2" applyFont="1" applyAlignment="1">
      <alignment vertical="center"/>
    </xf>
    <xf numFmtId="2" fontId="6" fillId="0" borderId="43" xfId="2" quotePrefix="1" applyNumberFormat="1" applyFont="1" applyBorder="1" applyAlignment="1">
      <alignment horizontal="center" vertical="center"/>
    </xf>
    <xf numFmtId="2" fontId="6" fillId="0" borderId="74" xfId="2" quotePrefix="1" applyNumberFormat="1" applyFont="1" applyBorder="1" applyAlignment="1">
      <alignment horizontal="center" vertical="center"/>
    </xf>
    <xf numFmtId="176" fontId="6" fillId="0" borderId="59" xfId="2" quotePrefix="1" applyNumberFormat="1" applyFont="1" applyBorder="1" applyAlignment="1">
      <alignment horizontal="right" vertical="center"/>
    </xf>
    <xf numFmtId="176" fontId="6" fillId="0" borderId="68" xfId="2" quotePrefix="1" applyNumberFormat="1" applyFont="1" applyBorder="1" applyAlignment="1">
      <alignment horizontal="right" vertical="center"/>
    </xf>
    <xf numFmtId="176" fontId="11" fillId="0" borderId="0" xfId="2" applyNumberFormat="1" applyFont="1" applyAlignment="1">
      <alignment vertical="center"/>
    </xf>
    <xf numFmtId="2" fontId="6" fillId="6" borderId="106" xfId="2" quotePrefix="1" applyNumberFormat="1" applyFont="1" applyFill="1" applyBorder="1" applyAlignment="1">
      <alignment horizontal="center" vertical="center"/>
    </xf>
    <xf numFmtId="176" fontId="6" fillId="6" borderId="68" xfId="2" quotePrefix="1" applyNumberFormat="1" applyFont="1" applyFill="1" applyBorder="1" applyAlignment="1">
      <alignment horizontal="right" vertical="center"/>
    </xf>
    <xf numFmtId="176" fontId="6" fillId="6" borderId="91" xfId="2" quotePrefix="1" applyNumberFormat="1" applyFont="1" applyFill="1" applyBorder="1" applyAlignment="1">
      <alignment horizontal="right" vertical="center"/>
    </xf>
    <xf numFmtId="2" fontId="6" fillId="6" borderId="122" xfId="2" quotePrefix="1" applyNumberFormat="1" applyFont="1" applyFill="1" applyBorder="1" applyAlignment="1">
      <alignment horizontal="center" vertical="center"/>
    </xf>
    <xf numFmtId="176" fontId="6" fillId="6" borderId="63" xfId="2" quotePrefix="1" applyNumberFormat="1" applyFont="1" applyFill="1" applyBorder="1" applyAlignment="1">
      <alignment horizontal="right" vertical="center"/>
    </xf>
    <xf numFmtId="2" fontId="6" fillId="7" borderId="108" xfId="2" quotePrefix="1" applyNumberFormat="1" applyFont="1" applyFill="1" applyBorder="1" applyAlignment="1">
      <alignment horizontal="center" vertical="center"/>
    </xf>
    <xf numFmtId="2" fontId="6" fillId="0" borderId="0" xfId="2" quotePrefix="1" applyNumberFormat="1" applyFont="1" applyBorder="1" applyAlignment="1">
      <alignment horizontal="center" vertical="center"/>
    </xf>
    <xf numFmtId="0" fontId="18" fillId="0" borderId="0" xfId="2" applyFont="1" applyAlignment="1">
      <alignment horizontal="right" vertical="center"/>
    </xf>
    <xf numFmtId="2" fontId="6" fillId="0" borderId="59" xfId="2" quotePrefix="1" applyNumberFormat="1" applyFont="1" applyBorder="1" applyAlignment="1">
      <alignment horizontal="center" vertical="center"/>
    </xf>
    <xf numFmtId="2" fontId="6" fillId="0" borderId="60" xfId="2" quotePrefix="1" applyNumberFormat="1" applyFont="1" applyBorder="1" applyAlignment="1">
      <alignment horizontal="center" vertical="center"/>
    </xf>
    <xf numFmtId="2" fontId="6" fillId="0" borderId="61" xfId="2" quotePrefix="1" applyNumberFormat="1" applyFont="1" applyBorder="1" applyAlignment="1">
      <alignment horizontal="center" vertical="center"/>
    </xf>
    <xf numFmtId="41" fontId="20" fillId="0" borderId="0" xfId="10" applyFont="1" applyAlignment="1">
      <alignment shrinkToFit="1"/>
    </xf>
    <xf numFmtId="2" fontId="6" fillId="0" borderId="68" xfId="2" quotePrefix="1" applyNumberFormat="1" applyFont="1" applyBorder="1" applyAlignment="1">
      <alignment horizontal="center" vertical="center"/>
    </xf>
    <xf numFmtId="41" fontId="6" fillId="0" borderId="69" xfId="10" quotePrefix="1" applyFont="1" applyBorder="1" applyAlignment="1">
      <alignment horizontal="center" vertical="center"/>
    </xf>
    <xf numFmtId="41" fontId="6" fillId="0" borderId="70" xfId="10" quotePrefix="1" applyFont="1" applyBorder="1" applyAlignment="1">
      <alignment horizontal="center" vertical="center"/>
    </xf>
    <xf numFmtId="176" fontId="6" fillId="0" borderId="0" xfId="10" quotePrefix="1" applyNumberFormat="1" applyFont="1" applyBorder="1" applyAlignment="1">
      <alignment horizontal="left" vertical="center"/>
    </xf>
    <xf numFmtId="0" fontId="6" fillId="0" borderId="0" xfId="2" quotePrefix="1" applyFont="1" applyAlignment="1">
      <alignment horizontal="left" vertical="center" shrinkToFit="1"/>
    </xf>
    <xf numFmtId="176" fontId="18" fillId="0" borderId="0" xfId="10" quotePrefix="1" applyNumberFormat="1" applyFont="1" applyBorder="1" applyAlignment="1">
      <alignment horizontal="left" vertical="center"/>
    </xf>
    <xf numFmtId="2" fontId="6" fillId="0" borderId="63" xfId="2" quotePrefix="1" applyNumberFormat="1" applyFont="1" applyBorder="1" applyAlignment="1">
      <alignment horizontal="center" vertical="center"/>
    </xf>
    <xf numFmtId="188" fontId="6" fillId="0" borderId="64" xfId="2" quotePrefix="1" applyNumberFormat="1" applyFont="1" applyBorder="1" applyAlignment="1">
      <alignment horizontal="center" vertical="center"/>
    </xf>
    <xf numFmtId="188" fontId="6" fillId="0" borderId="65" xfId="2" quotePrefix="1" applyNumberFormat="1" applyFont="1" applyBorder="1" applyAlignment="1">
      <alignment horizontal="center" vertical="center"/>
    </xf>
    <xf numFmtId="2" fontId="18" fillId="0" borderId="0" xfId="2" quotePrefix="1" applyNumberFormat="1" applyFont="1" applyBorder="1" applyAlignment="1">
      <alignment horizontal="left" vertical="center"/>
    </xf>
    <xf numFmtId="0" fontId="6" fillId="0" borderId="0" xfId="2" quotePrefix="1" applyFont="1" applyAlignment="1">
      <alignment horizontal="left" vertical="center"/>
    </xf>
    <xf numFmtId="0" fontId="6" fillId="0" borderId="0" xfId="2" quotePrefix="1" applyFont="1" applyAlignment="1">
      <alignment vertical="center"/>
    </xf>
    <xf numFmtId="0" fontId="18" fillId="0" borderId="0" xfId="2" quotePrefix="1" applyFont="1" applyAlignment="1">
      <alignment horizontal="left" vertical="center"/>
    </xf>
    <xf numFmtId="41" fontId="18" fillId="0" borderId="0" xfId="10" quotePrefix="1" applyFont="1" applyBorder="1" applyAlignment="1">
      <alignment horizontal="center" vertical="center"/>
    </xf>
    <xf numFmtId="188" fontId="22" fillId="0" borderId="0" xfId="2" quotePrefix="1" applyNumberFormat="1" applyFont="1" applyBorder="1" applyAlignment="1">
      <alignment horizontal="center" vertical="center"/>
    </xf>
    <xf numFmtId="0" fontId="6" fillId="0" borderId="0" xfId="2" quotePrefix="1" applyFont="1" applyAlignment="1">
      <alignment vertical="center" shrinkToFit="1"/>
    </xf>
    <xf numFmtId="0" fontId="22" fillId="0" borderId="0" xfId="2" applyFont="1" applyAlignment="1">
      <alignment horizontal="left" vertical="center" indent="1"/>
    </xf>
    <xf numFmtId="41" fontId="22" fillId="0" borderId="0" xfId="10" quotePrefix="1" applyFont="1" applyBorder="1" applyAlignment="1">
      <alignment horizontal="center" vertical="center"/>
    </xf>
    <xf numFmtId="0" fontId="22" fillId="0" borderId="0" xfId="2" quotePrefix="1" applyFont="1" applyAlignment="1">
      <alignment horizontal="left" vertical="center"/>
    </xf>
    <xf numFmtId="0" fontId="30" fillId="0" borderId="0" xfId="2" applyFont="1" applyAlignment="1"/>
    <xf numFmtId="0" fontId="22" fillId="0" borderId="0" xfId="2" applyFont="1" applyAlignment="1">
      <alignment horizontal="left" vertical="center"/>
    </xf>
    <xf numFmtId="0" fontId="41" fillId="0" borderId="0" xfId="2" applyFont="1" applyFill="1"/>
    <xf numFmtId="0" fontId="11" fillId="0" borderId="0" xfId="2" applyFont="1" applyFill="1"/>
    <xf numFmtId="0" fontId="6" fillId="0" borderId="0" xfId="2" quotePrefix="1" applyFont="1" applyFill="1" applyAlignment="1">
      <alignment horizontal="right" vertical="top"/>
    </xf>
    <xf numFmtId="0" fontId="69" fillId="0" borderId="0" xfId="2" applyFont="1" applyFill="1" applyAlignment="1">
      <alignment vertical="top"/>
    </xf>
    <xf numFmtId="41" fontId="70" fillId="0" borderId="64" xfId="6" applyFont="1" applyFill="1" applyBorder="1" applyAlignment="1">
      <alignment horizontal="center" vertical="center"/>
    </xf>
    <xf numFmtId="41" fontId="70" fillId="0" borderId="65" xfId="6" applyFont="1" applyFill="1" applyBorder="1" applyAlignment="1">
      <alignment horizontal="center" vertical="center"/>
    </xf>
    <xf numFmtId="0" fontId="13" fillId="0" borderId="0" xfId="2" applyFont="1" applyFill="1" applyAlignment="1">
      <alignment horizontal="center"/>
    </xf>
    <xf numFmtId="41" fontId="18" fillId="0" borderId="26" xfId="10" applyFont="1" applyFill="1" applyBorder="1" applyAlignment="1">
      <alignment horizontal="center" vertical="center"/>
    </xf>
    <xf numFmtId="41" fontId="6" fillId="0" borderId="27" xfId="10" applyFont="1" applyFill="1" applyBorder="1" applyAlignment="1">
      <alignment horizontal="center" vertical="center" shrinkToFit="1"/>
    </xf>
    <xf numFmtId="176" fontId="6" fillId="0" borderId="27" xfId="10" applyNumberFormat="1" applyFont="1" applyFill="1" applyBorder="1" applyAlignment="1">
      <alignment horizontal="right" vertical="center"/>
    </xf>
    <xf numFmtId="41" fontId="71" fillId="0" borderId="27" xfId="10" applyFont="1" applyFill="1" applyBorder="1" applyAlignment="1">
      <alignment horizontal="center" vertical="center"/>
    </xf>
    <xf numFmtId="41" fontId="6" fillId="0" borderId="27" xfId="6" quotePrefix="1" applyFont="1" applyBorder="1" applyAlignment="1">
      <alignment horizontal="left" vertical="center" shrinkToFit="1"/>
    </xf>
    <xf numFmtId="41" fontId="6" fillId="0" borderId="110" xfId="6" applyFont="1" applyBorder="1" applyAlignment="1">
      <alignment horizontal="center" vertical="center"/>
    </xf>
    <xf numFmtId="41" fontId="6" fillId="0" borderId="27" xfId="6" applyFont="1" applyBorder="1" applyAlignment="1">
      <alignment horizontal="center" vertical="center" shrinkToFit="1"/>
    </xf>
    <xf numFmtId="0" fontId="72" fillId="0" borderId="0" xfId="2" applyFont="1" applyFill="1"/>
    <xf numFmtId="41" fontId="71" fillId="0" borderId="12" xfId="10" applyFont="1" applyFill="1" applyBorder="1" applyAlignment="1">
      <alignment horizontal="center" vertical="center"/>
    </xf>
    <xf numFmtId="41" fontId="6" fillId="0" borderId="88" xfId="6" applyFont="1" applyBorder="1" applyAlignment="1">
      <alignment horizontal="center" vertical="center"/>
    </xf>
    <xf numFmtId="41" fontId="6" fillId="0" borderId="88" xfId="10" applyFont="1" applyFill="1" applyBorder="1" applyAlignment="1">
      <alignment horizontal="center" vertical="center"/>
    </xf>
    <xf numFmtId="41" fontId="6" fillId="9" borderId="69" xfId="10" applyFont="1" applyFill="1" applyBorder="1" applyAlignment="1">
      <alignment horizontal="right" vertical="center"/>
    </xf>
    <xf numFmtId="41" fontId="71" fillId="0" borderId="31" xfId="10" applyFont="1" applyFill="1" applyBorder="1" applyAlignment="1">
      <alignment horizontal="center" vertical="center"/>
    </xf>
    <xf numFmtId="0" fontId="72" fillId="0" borderId="12" xfId="2" applyFont="1" applyFill="1" applyBorder="1"/>
    <xf numFmtId="41" fontId="6" fillId="0" borderId="12" xfId="2" applyNumberFormat="1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center" vertical="center"/>
    </xf>
    <xf numFmtId="0" fontId="20" fillId="0" borderId="12" xfId="2" applyFont="1" applyFill="1" applyBorder="1"/>
    <xf numFmtId="41" fontId="32" fillId="0" borderId="12" xfId="6" applyFont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right" vertical="center"/>
    </xf>
    <xf numFmtId="0" fontId="32" fillId="0" borderId="12" xfId="2" applyFont="1" applyFill="1" applyBorder="1" applyAlignment="1">
      <alignment horizontal="center" vertical="center"/>
    </xf>
    <xf numFmtId="176" fontId="32" fillId="0" borderId="12" xfId="2" applyNumberFormat="1" applyFont="1" applyFill="1" applyBorder="1" applyAlignment="1">
      <alignment horizontal="right" vertical="center"/>
    </xf>
    <xf numFmtId="0" fontId="49" fillId="0" borderId="12" xfId="2" applyFont="1" applyFill="1" applyBorder="1" applyAlignment="1">
      <alignment horizontal="center" vertical="center"/>
    </xf>
    <xf numFmtId="0" fontId="49" fillId="0" borderId="12" xfId="2" applyFont="1" applyFill="1" applyBorder="1" applyAlignment="1">
      <alignment horizontal="right" vertical="center"/>
    </xf>
    <xf numFmtId="0" fontId="49" fillId="0" borderId="12" xfId="2" applyFont="1" applyFill="1" applyBorder="1" applyAlignment="1">
      <alignment horizontal="center" vertical="center" shrinkToFit="1"/>
    </xf>
    <xf numFmtId="41" fontId="32" fillId="0" borderId="12" xfId="10" applyFont="1" applyFill="1" applyBorder="1" applyAlignment="1">
      <alignment horizontal="center" vertical="center" shrinkToFit="1"/>
    </xf>
    <xf numFmtId="0" fontId="35" fillId="0" borderId="12" xfId="2" applyFont="1" applyFill="1" applyBorder="1"/>
    <xf numFmtId="41" fontId="6" fillId="0" borderId="15" xfId="10" applyFont="1" applyFill="1" applyBorder="1" applyAlignment="1">
      <alignment horizontal="center" vertical="center" shrinkToFit="1"/>
    </xf>
    <xf numFmtId="41" fontId="34" fillId="0" borderId="15" xfId="10" applyFont="1" applyFill="1" applyBorder="1" applyAlignment="1">
      <alignment horizontal="center" vertical="center"/>
    </xf>
    <xf numFmtId="41" fontId="32" fillId="0" borderId="15" xfId="10" applyFont="1" applyFill="1" applyBorder="1" applyAlignment="1">
      <alignment horizontal="center" vertical="center"/>
    </xf>
    <xf numFmtId="41" fontId="6" fillId="0" borderId="10" xfId="10" applyFont="1" applyFill="1" applyBorder="1" applyAlignment="1">
      <alignment horizontal="center" vertical="center" shrinkToFit="1"/>
    </xf>
    <xf numFmtId="0" fontId="6" fillId="0" borderId="10" xfId="2" applyFont="1" applyFill="1" applyBorder="1" applyAlignment="1">
      <alignment horizontal="center" vertical="center"/>
    </xf>
    <xf numFmtId="41" fontId="34" fillId="8" borderId="66" xfId="10" applyFont="1" applyFill="1" applyBorder="1" applyAlignment="1">
      <alignment horizontal="center" vertical="center"/>
    </xf>
    <xf numFmtId="41" fontId="34" fillId="8" borderId="65" xfId="10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0" fontId="6" fillId="0" borderId="103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right" vertical="center"/>
    </xf>
    <xf numFmtId="0" fontId="47" fillId="0" borderId="82" xfId="2" applyFont="1" applyFill="1" applyBorder="1"/>
    <xf numFmtId="41" fontId="20" fillId="10" borderId="78" xfId="10" applyFont="1" applyFill="1" applyBorder="1" applyAlignment="1">
      <alignment horizontal="center" vertical="center" shrinkToFit="1"/>
    </xf>
    <xf numFmtId="41" fontId="18" fillId="10" borderId="96" xfId="10" applyFont="1" applyFill="1" applyBorder="1" applyAlignment="1">
      <alignment horizontal="center" vertical="center" shrinkToFit="1"/>
    </xf>
    <xf numFmtId="41" fontId="20" fillId="10" borderId="79" xfId="10" applyFont="1" applyFill="1" applyBorder="1" applyAlignment="1">
      <alignment horizontal="center" vertical="center" shrinkToFit="1"/>
    </xf>
    <xf numFmtId="41" fontId="70" fillId="10" borderId="69" xfId="10" applyFont="1" applyFill="1" applyBorder="1" applyAlignment="1">
      <alignment horizontal="center" vertical="center"/>
    </xf>
    <xf numFmtId="41" fontId="20" fillId="10" borderId="80" xfId="10" applyFont="1" applyFill="1" applyBorder="1" applyAlignment="1">
      <alignment horizontal="center" vertical="center"/>
    </xf>
    <xf numFmtId="41" fontId="18" fillId="10" borderId="105" xfId="10" applyFont="1" applyFill="1" applyBorder="1" applyAlignment="1">
      <alignment horizontal="center" vertical="center" shrinkToFit="1"/>
    </xf>
    <xf numFmtId="41" fontId="6" fillId="0" borderId="33" xfId="10" applyFont="1" applyFill="1" applyBorder="1" applyAlignment="1">
      <alignment horizontal="center" vertical="center"/>
    </xf>
    <xf numFmtId="176" fontId="6" fillId="0" borderId="18" xfId="10" applyNumberFormat="1" applyFont="1" applyFill="1" applyBorder="1" applyAlignment="1">
      <alignment horizontal="right" vertical="center"/>
    </xf>
    <xf numFmtId="41" fontId="6" fillId="0" borderId="83" xfId="10" applyFont="1" applyFill="1" applyBorder="1" applyAlignment="1">
      <alignment horizontal="center" vertical="center"/>
    </xf>
    <xf numFmtId="3" fontId="6" fillId="0" borderId="82" xfId="10" applyNumberFormat="1" applyFont="1" applyFill="1" applyBorder="1" applyAlignment="1">
      <alignment horizontal="right" vertical="center"/>
    </xf>
    <xf numFmtId="41" fontId="21" fillId="0" borderId="83" xfId="10" applyFont="1" applyFill="1" applyBorder="1" applyAlignment="1">
      <alignment horizontal="center" vertical="center"/>
    </xf>
    <xf numFmtId="41" fontId="34" fillId="0" borderId="18" xfId="10" applyFont="1" applyFill="1" applyBorder="1" applyAlignment="1">
      <alignment horizontal="center" vertical="center"/>
    </xf>
    <xf numFmtId="41" fontId="21" fillId="0" borderId="19" xfId="10" applyFont="1" applyFill="1" applyBorder="1" applyAlignment="1">
      <alignment horizontal="center" vertical="center"/>
    </xf>
    <xf numFmtId="41" fontId="21" fillId="0" borderId="115" xfId="10" applyFont="1" applyFill="1" applyBorder="1" applyAlignment="1">
      <alignment horizontal="center" vertical="center"/>
    </xf>
    <xf numFmtId="190" fontId="6" fillId="0" borderId="63" xfId="2" applyNumberFormat="1" applyFont="1" applyFill="1" applyBorder="1" applyAlignment="1">
      <alignment vertical="center"/>
    </xf>
    <xf numFmtId="190" fontId="6" fillId="0" borderId="64" xfId="2" applyNumberFormat="1" applyFont="1" applyFill="1" applyBorder="1" applyAlignment="1">
      <alignment vertical="center"/>
    </xf>
    <xf numFmtId="190" fontId="21" fillId="0" borderId="81" xfId="2" applyNumberFormat="1" applyFont="1" applyFill="1" applyBorder="1" applyAlignment="1">
      <alignment vertical="center"/>
    </xf>
    <xf numFmtId="190" fontId="21" fillId="0" borderId="75" xfId="2" applyNumberFormat="1" applyFont="1" applyFill="1" applyBorder="1" applyAlignment="1">
      <alignment vertical="center"/>
    </xf>
    <xf numFmtId="0" fontId="72" fillId="0" borderId="0" xfId="2" applyFont="1" applyFill="1" applyAlignment="1">
      <alignment vertical="center"/>
    </xf>
    <xf numFmtId="41" fontId="6" fillId="0" borderId="0" xfId="10" applyFont="1" applyBorder="1" applyAlignment="1">
      <alignment horizontal="left" vertical="center"/>
    </xf>
    <xf numFmtId="41" fontId="6" fillId="0" borderId="0" xfId="10" applyFont="1" applyFill="1" applyBorder="1" applyAlignment="1">
      <alignment horizontal="left" vertical="center"/>
    </xf>
    <xf numFmtId="41" fontId="73" fillId="0" borderId="0" xfId="10" applyFont="1" applyFill="1"/>
    <xf numFmtId="41" fontId="73" fillId="0" borderId="0" xfId="10" applyFont="1" applyAlignment="1">
      <alignment horizontal="left" vertical="center"/>
    </xf>
    <xf numFmtId="41" fontId="73" fillId="0" borderId="0" xfId="10" applyFont="1" applyFill="1" applyBorder="1" applyAlignment="1">
      <alignment horizontal="center" vertical="center" wrapText="1"/>
    </xf>
    <xf numFmtId="41" fontId="18" fillId="0" borderId="0" xfId="10" applyFont="1" applyFill="1" applyBorder="1" applyAlignment="1">
      <alignment horizontal="left" vertical="center"/>
    </xf>
    <xf numFmtId="41" fontId="73" fillId="0" borderId="0" xfId="10" applyFont="1" applyFill="1" applyBorder="1" applyAlignment="1">
      <alignment vertical="top"/>
    </xf>
    <xf numFmtId="41" fontId="73" fillId="0" borderId="0" xfId="10" quotePrefix="1" applyFont="1" applyFill="1" applyBorder="1" applyAlignment="1">
      <alignment vertical="center"/>
    </xf>
    <xf numFmtId="41" fontId="73" fillId="0" borderId="0" xfId="10" applyFont="1" applyFill="1" applyBorder="1" applyAlignment="1">
      <alignment vertical="center"/>
    </xf>
    <xf numFmtId="41" fontId="73" fillId="0" borderId="0" xfId="10" applyFont="1" applyFill="1" applyAlignment="1">
      <alignment horizontal="center"/>
    </xf>
    <xf numFmtId="41" fontId="73" fillId="0" borderId="0" xfId="10" applyFont="1" applyFill="1" applyAlignment="1">
      <alignment vertical="center"/>
    </xf>
    <xf numFmtId="41" fontId="74" fillId="0" borderId="0" xfId="10" applyFont="1" applyFill="1" applyBorder="1" applyAlignment="1">
      <alignment vertical="center"/>
    </xf>
    <xf numFmtId="41" fontId="15" fillId="0" borderId="0" xfId="10" applyFont="1" applyAlignment="1">
      <alignment horizontal="left"/>
    </xf>
    <xf numFmtId="0" fontId="13" fillId="0" borderId="0" xfId="2" applyFont="1" applyFill="1"/>
    <xf numFmtId="0" fontId="42" fillId="0" borderId="0" xfId="2" applyFont="1" applyFill="1"/>
    <xf numFmtId="176" fontId="42" fillId="0" borderId="0" xfId="2" applyNumberFormat="1" applyFont="1" applyFill="1"/>
    <xf numFmtId="176" fontId="61" fillId="0" borderId="0" xfId="2" applyNumberFormat="1" applyFont="1" applyFill="1"/>
    <xf numFmtId="41" fontId="64" fillId="0" borderId="0" xfId="6" applyFont="1" applyFill="1"/>
    <xf numFmtId="0" fontId="13" fillId="0" borderId="0" xfId="2" applyFont="1" applyFill="1" applyBorder="1" applyAlignment="1">
      <alignment horizontal="center" vertical="center" wrapText="1"/>
    </xf>
    <xf numFmtId="176" fontId="69" fillId="0" borderId="0" xfId="2" quotePrefix="1" applyNumberFormat="1" applyFont="1" applyFill="1" applyBorder="1" applyAlignment="1">
      <alignment vertical="center"/>
    </xf>
    <xf numFmtId="176" fontId="69" fillId="0" borderId="0" xfId="2" applyNumberFormat="1" applyFont="1" applyFill="1" applyBorder="1" applyAlignment="1">
      <alignment vertical="center"/>
    </xf>
    <xf numFmtId="41" fontId="73" fillId="0" borderId="0" xfId="10" applyFont="1" applyFill="1" applyBorder="1"/>
    <xf numFmtId="0" fontId="64" fillId="0" borderId="0" xfId="2" applyFont="1" applyFill="1" applyBorder="1"/>
    <xf numFmtId="176" fontId="64" fillId="0" borderId="0" xfId="2" applyNumberFormat="1" applyFont="1" applyFill="1"/>
    <xf numFmtId="176" fontId="75" fillId="0" borderId="0" xfId="2" applyNumberFormat="1" applyFont="1" applyFill="1" applyBorder="1" applyAlignment="1">
      <alignment vertical="center"/>
    </xf>
    <xf numFmtId="41" fontId="42" fillId="0" borderId="0" xfId="2" applyNumberFormat="1" applyFont="1" applyFill="1"/>
    <xf numFmtId="0" fontId="42" fillId="0" borderId="0" xfId="2" applyFont="1" applyFill="1" applyBorder="1"/>
    <xf numFmtId="0" fontId="64" fillId="0" borderId="0" xfId="2" applyFont="1" applyFill="1"/>
    <xf numFmtId="41" fontId="11" fillId="0" borderId="0" xfId="2" applyNumberFormat="1" applyFont="1" applyFill="1"/>
    <xf numFmtId="0" fontId="11" fillId="0" borderId="0" xfId="2" applyFont="1" applyFill="1" applyBorder="1"/>
    <xf numFmtId="176" fontId="76" fillId="0" borderId="0" xfId="2" applyNumberFormat="1" applyFont="1" applyFill="1" applyBorder="1" applyAlignment="1">
      <alignment vertical="center"/>
    </xf>
    <xf numFmtId="176" fontId="13" fillId="0" borderId="0" xfId="2" applyNumberFormat="1" applyFont="1" applyFill="1"/>
    <xf numFmtId="191" fontId="46" fillId="0" borderId="0" xfId="2" applyNumberFormat="1" applyFont="1" applyFill="1"/>
    <xf numFmtId="176" fontId="64" fillId="0" borderId="0" xfId="2" applyNumberFormat="1" applyFont="1" applyFill="1" applyBorder="1"/>
    <xf numFmtId="192" fontId="64" fillId="0" borderId="0" xfId="2" applyNumberFormat="1" applyFont="1" applyFill="1"/>
    <xf numFmtId="0" fontId="72" fillId="0" borderId="0" xfId="2" applyFont="1" applyFill="1" applyBorder="1"/>
    <xf numFmtId="0" fontId="13" fillId="0" borderId="0" xfId="2" applyFont="1" applyFill="1" applyBorder="1"/>
    <xf numFmtId="0" fontId="69" fillId="0" borderId="0" xfId="2" applyFont="1" applyFill="1" applyBorder="1" applyAlignment="1">
      <alignment vertical="center"/>
    </xf>
    <xf numFmtId="2" fontId="13" fillId="0" borderId="0" xfId="2" applyNumberFormat="1" applyFont="1" applyFill="1" applyBorder="1"/>
    <xf numFmtId="2" fontId="13" fillId="0" borderId="0" xfId="2" applyNumberFormat="1" applyFont="1" applyFill="1"/>
    <xf numFmtId="188" fontId="13" fillId="0" borderId="0" xfId="2" applyNumberFormat="1" applyFont="1" applyFill="1"/>
    <xf numFmtId="189" fontId="9" fillId="0" borderId="0" xfId="2" applyNumberFormat="1" applyFont="1" applyAlignment="1">
      <alignment vertical="center"/>
    </xf>
    <xf numFmtId="41" fontId="77" fillId="0" borderId="0" xfId="6" applyFont="1" applyAlignment="1">
      <alignment vertical="center"/>
    </xf>
    <xf numFmtId="0" fontId="9" fillId="0" borderId="0" xfId="2" applyFont="1" applyAlignment="1">
      <alignment horizontal="center" vertical="center"/>
    </xf>
    <xf numFmtId="176" fontId="41" fillId="0" borderId="0" xfId="2" applyNumberFormat="1" applyFont="1" applyAlignment="1">
      <alignment vertical="center"/>
    </xf>
    <xf numFmtId="189" fontId="17" fillId="0" borderId="0" xfId="2" applyNumberFormat="1" applyFont="1" applyAlignment="1">
      <alignment vertical="center"/>
    </xf>
    <xf numFmtId="0" fontId="17" fillId="0" borderId="0" xfId="2" applyFont="1" applyAlignment="1">
      <alignment horizontal="center" vertical="center"/>
    </xf>
    <xf numFmtId="200" fontId="22" fillId="0" borderId="0" xfId="2" applyNumberFormat="1" applyFont="1" applyAlignment="1">
      <alignment vertical="center"/>
    </xf>
    <xf numFmtId="189" fontId="22" fillId="0" borderId="0" xfId="2" applyNumberFormat="1" applyFont="1" applyAlignment="1">
      <alignment vertical="center"/>
    </xf>
    <xf numFmtId="0" fontId="9" fillId="0" borderId="0" xfId="2" applyFont="1" applyBorder="1" applyAlignment="1">
      <alignment vertical="center"/>
    </xf>
    <xf numFmtId="0" fontId="6" fillId="0" borderId="0" xfId="2" applyFont="1" applyAlignment="1">
      <alignment horizontal="right" vertical="top"/>
    </xf>
    <xf numFmtId="0" fontId="18" fillId="0" borderId="96" xfId="2" applyFont="1" applyBorder="1" applyAlignment="1">
      <alignment horizontal="center" vertical="center"/>
    </xf>
    <xf numFmtId="192" fontId="78" fillId="0" borderId="0" xfId="11" applyNumberFormat="1" applyFont="1" applyAlignment="1">
      <alignment vertical="center"/>
    </xf>
    <xf numFmtId="176" fontId="79" fillId="0" borderId="0" xfId="11" applyNumberFormat="1" applyFont="1" applyAlignment="1">
      <alignment vertical="center"/>
    </xf>
    <xf numFmtId="0" fontId="18" fillId="0" borderId="63" xfId="2" applyFont="1" applyBorder="1" applyAlignment="1">
      <alignment horizontal="center" vertical="center" wrapText="1"/>
    </xf>
    <xf numFmtId="0" fontId="18" fillId="0" borderId="104" xfId="2" applyFont="1" applyBorder="1" applyAlignment="1">
      <alignment horizontal="center" vertical="center"/>
    </xf>
    <xf numFmtId="0" fontId="18" fillId="0" borderId="81" xfId="2" applyFont="1" applyBorder="1" applyAlignment="1">
      <alignment horizontal="center" vertical="center"/>
    </xf>
    <xf numFmtId="0" fontId="18" fillId="0" borderId="63" xfId="2" applyFont="1" applyBorder="1" applyAlignment="1">
      <alignment horizontal="center" vertical="center"/>
    </xf>
    <xf numFmtId="0" fontId="18" fillId="0" borderId="64" xfId="2" applyFont="1" applyBorder="1" applyAlignment="1">
      <alignment horizontal="center" vertical="center" wrapText="1"/>
    </xf>
    <xf numFmtId="0" fontId="18" fillId="0" borderId="101" xfId="2" applyFont="1" applyBorder="1" applyAlignment="1">
      <alignment horizontal="center" vertical="center"/>
    </xf>
    <xf numFmtId="0" fontId="61" fillId="0" borderId="0" xfId="2" applyFont="1" applyAlignment="1">
      <alignment horizontal="center" vertical="center"/>
    </xf>
    <xf numFmtId="0" fontId="18" fillId="0" borderId="84" xfId="2" applyFont="1" applyBorder="1" applyAlignment="1">
      <alignment horizontal="center" vertical="center"/>
    </xf>
    <xf numFmtId="189" fontId="18" fillId="0" borderId="31" xfId="6" applyNumberFormat="1" applyFont="1" applyFill="1" applyBorder="1" applyAlignment="1">
      <alignment horizontal="center" vertical="center"/>
    </xf>
    <xf numFmtId="189" fontId="18" fillId="0" borderId="12" xfId="6" applyNumberFormat="1" applyFont="1" applyFill="1" applyBorder="1" applyAlignment="1">
      <alignment horizontal="center" vertical="center"/>
    </xf>
    <xf numFmtId="41" fontId="18" fillId="0" borderId="12" xfId="6" applyNumberFormat="1" applyFont="1" applyFill="1" applyBorder="1" applyAlignment="1">
      <alignment horizontal="center" vertical="center"/>
    </xf>
    <xf numFmtId="189" fontId="18" fillId="0" borderId="13" xfId="6" applyNumberFormat="1" applyFont="1" applyFill="1" applyBorder="1" applyAlignment="1">
      <alignment horizontal="center" vertical="center"/>
    </xf>
    <xf numFmtId="0" fontId="18" fillId="0" borderId="84" xfId="2" applyNumberFormat="1" applyFont="1" applyBorder="1" applyAlignment="1">
      <alignment horizontal="center" vertical="center"/>
    </xf>
    <xf numFmtId="189" fontId="18" fillId="0" borderId="88" xfId="6" applyNumberFormat="1" applyFont="1" applyFill="1" applyBorder="1" applyAlignment="1">
      <alignment horizontal="center" vertical="center"/>
    </xf>
    <xf numFmtId="0" fontId="13" fillId="0" borderId="0" xfId="2" applyFont="1"/>
    <xf numFmtId="181" fontId="18" fillId="0" borderId="12" xfId="6" applyNumberFormat="1" applyFont="1" applyFill="1" applyBorder="1" applyAlignment="1">
      <alignment horizontal="center" vertical="center"/>
    </xf>
    <xf numFmtId="189" fontId="18" fillId="0" borderId="102" xfId="6" applyNumberFormat="1" applyFont="1" applyFill="1" applyBorder="1" applyAlignment="1">
      <alignment horizontal="center" vertical="center"/>
    </xf>
    <xf numFmtId="49" fontId="18" fillId="0" borderId="91" xfId="2" quotePrefix="1" applyNumberFormat="1" applyFont="1" applyBorder="1" applyAlignment="1">
      <alignment horizontal="center" vertical="center"/>
    </xf>
    <xf numFmtId="189" fontId="18" fillId="0" borderId="33" xfId="6" applyNumberFormat="1" applyFont="1" applyFill="1" applyBorder="1" applyAlignment="1">
      <alignment horizontal="center" vertical="center"/>
    </xf>
    <xf numFmtId="189" fontId="18" fillId="0" borderId="18" xfId="6" applyNumberFormat="1" applyFont="1" applyFill="1" applyBorder="1" applyAlignment="1">
      <alignment horizontal="center" vertical="center"/>
    </xf>
    <xf numFmtId="189" fontId="18" fillId="0" borderId="19" xfId="6" applyNumberFormat="1" applyFont="1" applyFill="1" applyBorder="1" applyAlignment="1">
      <alignment horizontal="center" vertical="center"/>
    </xf>
    <xf numFmtId="189" fontId="18" fillId="0" borderId="83" xfId="6" applyNumberFormat="1" applyFont="1" applyFill="1" applyBorder="1" applyAlignment="1">
      <alignment horizontal="center" vertical="center"/>
    </xf>
    <xf numFmtId="0" fontId="18" fillId="0" borderId="140" xfId="2" applyNumberFormat="1" applyFont="1" applyBorder="1" applyAlignment="1">
      <alignment horizontal="center" vertical="center"/>
    </xf>
    <xf numFmtId="41" fontId="18" fillId="0" borderId="18" xfId="6" applyNumberFormat="1" applyFont="1" applyFill="1" applyBorder="1" applyAlignment="1">
      <alignment horizontal="center" vertical="center"/>
    </xf>
    <xf numFmtId="189" fontId="18" fillId="0" borderId="115" xfId="6" applyNumberFormat="1" applyFont="1" applyFill="1" applyBorder="1" applyAlignment="1">
      <alignment horizontal="center" vertical="center"/>
    </xf>
    <xf numFmtId="0" fontId="65" fillId="0" borderId="86" xfId="2" applyFont="1" applyBorder="1"/>
    <xf numFmtId="2" fontId="18" fillId="0" borderId="84" xfId="2" applyNumberFormat="1" applyFont="1" applyBorder="1" applyAlignment="1">
      <alignment horizontal="center" vertical="center"/>
    </xf>
    <xf numFmtId="2" fontId="18" fillId="0" borderId="140" xfId="2" applyNumberFormat="1" applyFont="1" applyBorder="1" applyAlignment="1">
      <alignment horizontal="center" vertical="center"/>
    </xf>
    <xf numFmtId="2" fontId="80" fillId="0" borderId="91" xfId="2" applyNumberFormat="1" applyFont="1" applyBorder="1" applyAlignment="1">
      <alignment horizontal="center" vertical="center"/>
    </xf>
    <xf numFmtId="189" fontId="80" fillId="0" borderId="68" xfId="6" applyNumberFormat="1" applyFont="1" applyFill="1" applyBorder="1" applyAlignment="1">
      <alignment horizontal="center" vertical="center"/>
    </xf>
    <xf numFmtId="189" fontId="80" fillId="0" borderId="69" xfId="6" applyNumberFormat="1" applyFont="1" applyFill="1" applyBorder="1" applyAlignment="1">
      <alignment horizontal="center" vertical="center"/>
    </xf>
    <xf numFmtId="189" fontId="80" fillId="0" borderId="70" xfId="6" applyNumberFormat="1" applyFont="1" applyFill="1" applyBorder="1" applyAlignment="1">
      <alignment horizontal="center" vertical="center"/>
    </xf>
    <xf numFmtId="189" fontId="80" fillId="0" borderId="79" xfId="6" applyNumberFormat="1" applyFont="1" applyFill="1" applyBorder="1" applyAlignment="1">
      <alignment horizontal="center" vertical="center"/>
    </xf>
    <xf numFmtId="41" fontId="80" fillId="0" borderId="69" xfId="6" applyNumberFormat="1" applyFont="1" applyFill="1" applyBorder="1" applyAlignment="1">
      <alignment horizontal="center" vertical="center"/>
    </xf>
    <xf numFmtId="189" fontId="80" fillId="0" borderId="80" xfId="6" applyNumberFormat="1" applyFont="1" applyFill="1" applyBorder="1" applyAlignment="1">
      <alignment horizontal="center" vertical="center"/>
    </xf>
    <xf numFmtId="0" fontId="65" fillId="0" borderId="85" xfId="2" applyFont="1" applyBorder="1"/>
    <xf numFmtId="0" fontId="65" fillId="0" borderId="0" xfId="2" applyFont="1" applyBorder="1"/>
    <xf numFmtId="0" fontId="11" fillId="0" borderId="85" xfId="2" applyFont="1" applyBorder="1"/>
    <xf numFmtId="189" fontId="11" fillId="0" borderId="86" xfId="2" applyNumberFormat="1" applyFont="1" applyBorder="1"/>
    <xf numFmtId="0" fontId="11" fillId="0" borderId="86" xfId="2" applyFont="1" applyBorder="1"/>
    <xf numFmtId="189" fontId="11" fillId="0" borderId="0" xfId="2" applyNumberFormat="1" applyFont="1"/>
    <xf numFmtId="2" fontId="80" fillId="0" borderId="84" xfId="2" applyNumberFormat="1" applyFont="1" applyBorder="1" applyAlignment="1">
      <alignment horizontal="center" vertical="center"/>
    </xf>
    <xf numFmtId="189" fontId="80" fillId="0" borderId="31" xfId="6" applyNumberFormat="1" applyFont="1" applyFill="1" applyBorder="1" applyAlignment="1">
      <alignment horizontal="center" vertical="center"/>
    </xf>
    <xf numFmtId="189" fontId="80" fillId="0" borderId="12" xfId="6" applyNumberFormat="1" applyFont="1" applyFill="1" applyBorder="1" applyAlignment="1">
      <alignment horizontal="center" vertical="center"/>
    </xf>
    <xf numFmtId="189" fontId="80" fillId="0" borderId="13" xfId="6" applyNumberFormat="1" applyFont="1" applyFill="1" applyBorder="1" applyAlignment="1">
      <alignment horizontal="center" vertical="center"/>
    </xf>
    <xf numFmtId="189" fontId="80" fillId="0" borderId="88" xfId="6" applyNumberFormat="1" applyFont="1" applyFill="1" applyBorder="1" applyAlignment="1">
      <alignment horizontal="center" vertical="center"/>
    </xf>
    <xf numFmtId="41" fontId="80" fillId="0" borderId="12" xfId="6" applyNumberFormat="1" applyFont="1" applyFill="1" applyBorder="1" applyAlignment="1">
      <alignment horizontal="center" vertical="center"/>
    </xf>
    <xf numFmtId="189" fontId="65" fillId="0" borderId="0" xfId="2" applyNumberFormat="1" applyFont="1"/>
    <xf numFmtId="0" fontId="65" fillId="0" borderId="119" xfId="2" applyFont="1" applyBorder="1"/>
    <xf numFmtId="2" fontId="80" fillId="0" borderId="46" xfId="2" applyNumberFormat="1" applyFont="1" applyBorder="1" applyAlignment="1">
      <alignment horizontal="center" vertical="center"/>
    </xf>
    <xf numFmtId="189" fontId="80" fillId="0" borderId="30" xfId="6" applyNumberFormat="1" applyFont="1" applyFill="1" applyBorder="1" applyAlignment="1">
      <alignment horizontal="center" vertical="center"/>
    </xf>
    <xf numFmtId="189" fontId="80" fillId="0" borderId="10" xfId="6" applyNumberFormat="1" applyFont="1" applyFill="1" applyBorder="1" applyAlignment="1">
      <alignment horizontal="center" vertical="center"/>
    </xf>
    <xf numFmtId="189" fontId="80" fillId="0" borderId="11" xfId="6" applyNumberFormat="1" applyFont="1" applyFill="1" applyBorder="1" applyAlignment="1">
      <alignment horizontal="center" vertical="center"/>
    </xf>
    <xf numFmtId="189" fontId="80" fillId="0" borderId="92" xfId="6" applyNumberFormat="1" applyFont="1" applyFill="1" applyBorder="1" applyAlignment="1">
      <alignment horizontal="center" vertical="center"/>
    </xf>
    <xf numFmtId="41" fontId="80" fillId="0" borderId="10" xfId="6" applyNumberFormat="1" applyFont="1" applyFill="1" applyBorder="1" applyAlignment="1">
      <alignment horizontal="center" vertical="center"/>
    </xf>
    <xf numFmtId="189" fontId="65" fillId="0" borderId="77" xfId="2" applyNumberFormat="1" applyFont="1" applyBorder="1"/>
    <xf numFmtId="189" fontId="6" fillId="0" borderId="41" xfId="6" quotePrefix="1" applyNumberFormat="1" applyFont="1" applyFill="1" applyBorder="1" applyAlignment="1">
      <alignment vertical="center"/>
    </xf>
    <xf numFmtId="189" fontId="23" fillId="0" borderId="41" xfId="6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189" fontId="6" fillId="0" borderId="0" xfId="2" applyNumberFormat="1" applyFont="1" applyAlignment="1">
      <alignment horizontal="center" vertical="center"/>
    </xf>
    <xf numFmtId="189" fontId="81" fillId="0" borderId="0" xfId="2" applyNumberFormat="1" applyFont="1"/>
    <xf numFmtId="189" fontId="8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18" fillId="0" borderId="0" xfId="2" applyFont="1" applyAlignment="1">
      <alignment horizontal="right"/>
    </xf>
    <xf numFmtId="0" fontId="18" fillId="0" borderId="137" xfId="2" applyFont="1" applyBorder="1" applyAlignment="1">
      <alignment horizontal="center" vertical="center"/>
    </xf>
    <xf numFmtId="0" fontId="18" fillId="0" borderId="107" xfId="6" applyNumberFormat="1" applyFont="1" applyBorder="1" applyAlignment="1">
      <alignment horizontal="center" vertical="center"/>
    </xf>
    <xf numFmtId="41" fontId="18" fillId="0" borderId="31" xfId="10" applyFont="1" applyBorder="1" applyAlignment="1">
      <alignment horizontal="center" vertical="center"/>
    </xf>
    <xf numFmtId="41" fontId="18" fillId="0" borderId="12" xfId="10" applyFont="1" applyBorder="1" applyAlignment="1">
      <alignment horizontal="center" vertical="center"/>
    </xf>
    <xf numFmtId="41" fontId="18" fillId="0" borderId="12" xfId="6" applyFont="1" applyBorder="1" applyAlignment="1">
      <alignment vertical="center"/>
    </xf>
    <xf numFmtId="41" fontId="18" fillId="0" borderId="29" xfId="10" quotePrefix="1" applyFont="1" applyFill="1" applyBorder="1" applyAlignment="1">
      <alignment horizontal="right" vertical="center"/>
    </xf>
    <xf numFmtId="41" fontId="18" fillId="0" borderId="84" xfId="10" applyFont="1" applyBorder="1" applyAlignment="1">
      <alignment vertical="center"/>
    </xf>
    <xf numFmtId="41" fontId="18" fillId="0" borderId="13" xfId="10" quotePrefix="1" applyFont="1" applyFill="1" applyBorder="1" applyAlignment="1">
      <alignment horizontal="right" vertical="center"/>
    </xf>
    <xf numFmtId="49" fontId="18" fillId="0" borderId="107" xfId="6" applyNumberFormat="1" applyFont="1" applyBorder="1" applyAlignment="1">
      <alignment horizontal="center" vertical="center"/>
    </xf>
    <xf numFmtId="0" fontId="28" fillId="0" borderId="0" xfId="2" applyFont="1"/>
    <xf numFmtId="41" fontId="18" fillId="0" borderId="84" xfId="6" applyFont="1" applyBorder="1" applyAlignment="1">
      <alignment vertical="center"/>
    </xf>
    <xf numFmtId="49" fontId="18" fillId="0" borderId="124" xfId="6" applyNumberFormat="1" applyFont="1" applyBorder="1" applyAlignment="1">
      <alignment horizontal="center" vertical="center"/>
    </xf>
    <xf numFmtId="41" fontId="18" fillId="0" borderId="32" xfId="10" applyFont="1" applyBorder="1" applyAlignment="1">
      <alignment horizontal="center" vertical="center"/>
    </xf>
    <xf numFmtId="41" fontId="18" fillId="0" borderId="15" xfId="10" applyFont="1" applyBorder="1" applyAlignment="1">
      <alignment horizontal="center" vertical="center"/>
    </xf>
    <xf numFmtId="41" fontId="18" fillId="0" borderId="15" xfId="6" applyFont="1" applyBorder="1" applyAlignment="1">
      <alignment vertical="center"/>
    </xf>
    <xf numFmtId="41" fontId="18" fillId="0" borderId="89" xfId="6" applyFont="1" applyBorder="1" applyAlignment="1">
      <alignment vertical="center"/>
    </xf>
    <xf numFmtId="41" fontId="18" fillId="0" borderId="68" xfId="10" quotePrefix="1" applyFont="1" applyBorder="1" applyAlignment="1">
      <alignment horizontal="center" vertical="center"/>
    </xf>
    <xf numFmtId="41" fontId="18" fillId="0" borderId="69" xfId="10" quotePrefix="1" applyFont="1" applyBorder="1" applyAlignment="1">
      <alignment horizontal="center" vertical="center"/>
    </xf>
    <xf numFmtId="176" fontId="18" fillId="0" borderId="69" xfId="6" applyNumberFormat="1" applyFont="1" applyBorder="1" applyAlignment="1">
      <alignment vertical="center"/>
    </xf>
    <xf numFmtId="41" fontId="18" fillId="0" borderId="70" xfId="10" quotePrefix="1" applyFont="1" applyFill="1" applyBorder="1" applyAlignment="1">
      <alignment horizontal="right" vertical="center"/>
    </xf>
    <xf numFmtId="176" fontId="18" fillId="0" borderId="91" xfId="10" applyNumberFormat="1" applyFont="1" applyBorder="1" applyAlignment="1">
      <alignment vertical="center"/>
    </xf>
    <xf numFmtId="176" fontId="18" fillId="0" borderId="12" xfId="6" applyNumberFormat="1" applyFont="1" applyBorder="1" applyAlignment="1">
      <alignment vertical="center"/>
    </xf>
    <xf numFmtId="176" fontId="18" fillId="0" borderId="84" xfId="10" applyNumberFormat="1" applyFont="1" applyBorder="1" applyAlignment="1">
      <alignment vertical="center"/>
    </xf>
    <xf numFmtId="2" fontId="80" fillId="0" borderId="91" xfId="2" quotePrefix="1" applyNumberFormat="1" applyFont="1" applyBorder="1" applyAlignment="1">
      <alignment horizontal="center" vertical="center"/>
    </xf>
    <xf numFmtId="41" fontId="80" fillId="0" borderId="68" xfId="10" quotePrefix="1" applyFont="1" applyBorder="1" applyAlignment="1">
      <alignment horizontal="center" vertical="center"/>
    </xf>
    <xf numFmtId="41" fontId="80" fillId="0" borderId="69" xfId="10" quotePrefix="1" applyFont="1" applyBorder="1" applyAlignment="1">
      <alignment horizontal="center" vertical="center"/>
    </xf>
    <xf numFmtId="176" fontId="80" fillId="0" borderId="69" xfId="6" applyNumberFormat="1" applyFont="1" applyBorder="1" applyAlignment="1">
      <alignment vertical="center"/>
    </xf>
    <xf numFmtId="41" fontId="80" fillId="0" borderId="70" xfId="10" quotePrefix="1" applyFont="1" applyFill="1" applyBorder="1" applyAlignment="1">
      <alignment horizontal="right" vertical="center"/>
    </xf>
    <xf numFmtId="176" fontId="80" fillId="0" borderId="91" xfId="10" applyNumberFormat="1" applyFont="1" applyBorder="1" applyAlignment="1">
      <alignment vertical="center"/>
    </xf>
    <xf numFmtId="2" fontId="18" fillId="0" borderId="140" xfId="2" quotePrefix="1" applyNumberFormat="1" applyFont="1" applyBorder="1" applyAlignment="1">
      <alignment horizontal="center" vertical="center"/>
    </xf>
    <xf numFmtId="41" fontId="18" fillId="0" borderId="33" xfId="10" quotePrefix="1" applyFont="1" applyBorder="1" applyAlignment="1">
      <alignment horizontal="center" vertical="center"/>
    </xf>
    <xf numFmtId="41" fontId="18" fillId="0" borderId="18" xfId="10" quotePrefix="1" applyFont="1" applyBorder="1" applyAlignment="1">
      <alignment horizontal="center" vertical="center"/>
    </xf>
    <xf numFmtId="176" fontId="18" fillId="0" borderId="18" xfId="6" applyNumberFormat="1" applyFont="1" applyBorder="1" applyAlignment="1">
      <alignment vertical="center"/>
    </xf>
    <xf numFmtId="41" fontId="18" fillId="0" borderId="19" xfId="10" quotePrefix="1" applyFont="1" applyFill="1" applyBorder="1" applyAlignment="1">
      <alignment horizontal="right" vertical="center"/>
    </xf>
    <xf numFmtId="176" fontId="18" fillId="0" borderId="140" xfId="10" applyNumberFormat="1" applyFont="1" applyBorder="1" applyAlignment="1">
      <alignment vertical="center"/>
    </xf>
    <xf numFmtId="41" fontId="80" fillId="0" borderId="31" xfId="10" applyFont="1" applyBorder="1" applyAlignment="1">
      <alignment horizontal="center" vertical="center"/>
    </xf>
    <xf numFmtId="41" fontId="80" fillId="0" borderId="12" xfId="10" applyFont="1" applyBorder="1" applyAlignment="1">
      <alignment horizontal="center" vertical="center"/>
    </xf>
    <xf numFmtId="176" fontId="80" fillId="0" borderId="12" xfId="6" applyNumberFormat="1" applyFont="1" applyBorder="1" applyAlignment="1">
      <alignment vertical="center"/>
    </xf>
    <xf numFmtId="41" fontId="80" fillId="0" borderId="13" xfId="10" quotePrefix="1" applyFont="1" applyFill="1" applyBorder="1" applyAlignment="1">
      <alignment horizontal="right" vertical="center"/>
    </xf>
    <xf numFmtId="176" fontId="80" fillId="0" borderId="84" xfId="10" applyNumberFormat="1" applyFont="1" applyBorder="1" applyAlignment="1">
      <alignment vertical="center"/>
    </xf>
    <xf numFmtId="41" fontId="80" fillId="0" borderId="30" xfId="10" quotePrefix="1" applyFont="1" applyBorder="1" applyAlignment="1">
      <alignment horizontal="center" vertical="center"/>
    </xf>
    <xf numFmtId="41" fontId="80" fillId="0" borderId="10" xfId="10" quotePrefix="1" applyFont="1" applyBorder="1" applyAlignment="1">
      <alignment horizontal="center" vertical="center"/>
    </xf>
    <xf numFmtId="176" fontId="80" fillId="0" borderId="10" xfId="6" applyNumberFormat="1" applyFont="1" applyBorder="1" applyAlignment="1">
      <alignment vertical="center"/>
    </xf>
    <xf numFmtId="176" fontId="80" fillId="0" borderId="92" xfId="6" applyNumberFormat="1" applyFont="1" applyBorder="1" applyAlignment="1">
      <alignment vertical="center"/>
    </xf>
    <xf numFmtId="176" fontId="80" fillId="0" borderId="46" xfId="10" applyNumberFormat="1" applyFont="1" applyBorder="1" applyAlignment="1">
      <alignment vertical="center"/>
    </xf>
    <xf numFmtId="0" fontId="18" fillId="0" borderId="0" xfId="2" applyFont="1" applyBorder="1"/>
    <xf numFmtId="0" fontId="18" fillId="0" borderId="0" xfId="2" applyFont="1"/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52" fillId="13" borderId="0" xfId="2" applyFont="1" applyFill="1"/>
    <xf numFmtId="0" fontId="52" fillId="0" borderId="0" xfId="2" applyFont="1" applyFill="1"/>
    <xf numFmtId="0" fontId="44" fillId="0" borderId="0" xfId="2" applyFont="1" applyAlignment="1">
      <alignment horizontal="right"/>
    </xf>
    <xf numFmtId="0" fontId="44" fillId="0" borderId="63" xfId="2" applyFont="1" applyBorder="1" applyAlignment="1">
      <alignment horizontal="center" vertical="center"/>
    </xf>
    <xf numFmtId="0" fontId="44" fillId="0" borderId="64" xfId="2" applyFont="1" applyBorder="1" applyAlignment="1">
      <alignment horizontal="center" vertical="center"/>
    </xf>
    <xf numFmtId="0" fontId="44" fillId="0" borderId="65" xfId="2" applyFont="1" applyBorder="1" applyAlignment="1">
      <alignment horizontal="center" vertical="center"/>
    </xf>
    <xf numFmtId="0" fontId="44" fillId="0" borderId="66" xfId="2" applyFont="1" applyBorder="1" applyAlignment="1">
      <alignment horizontal="center" vertical="center"/>
    </xf>
    <xf numFmtId="0" fontId="44" fillId="0" borderId="61" xfId="16" applyFont="1" applyBorder="1" applyAlignment="1">
      <alignment horizontal="center" vertical="center" wrapText="1"/>
    </xf>
    <xf numFmtId="41" fontId="44" fillId="0" borderId="59" xfId="10" applyFont="1" applyBorder="1" applyAlignment="1">
      <alignment vertical="center"/>
    </xf>
    <xf numFmtId="41" fontId="44" fillId="0" borderId="60" xfId="10" applyFont="1" applyBorder="1" applyAlignment="1">
      <alignment horizontal="center" vertical="center"/>
    </xf>
    <xf numFmtId="41" fontId="44" fillId="0" borderId="69" xfId="10" applyFont="1" applyBorder="1" applyAlignment="1">
      <alignment horizontal="center" vertical="center"/>
    </xf>
    <xf numFmtId="41" fontId="44" fillId="0" borderId="61" xfId="10" applyFont="1" applyBorder="1" applyAlignment="1">
      <alignment vertical="center"/>
    </xf>
    <xf numFmtId="41" fontId="44" fillId="0" borderId="62" xfId="10" applyFont="1" applyBorder="1" applyAlignment="1">
      <alignment vertical="center"/>
    </xf>
    <xf numFmtId="41" fontId="44" fillId="0" borderId="60" xfId="10" applyFont="1" applyBorder="1" applyAlignment="1">
      <alignment vertical="center"/>
    </xf>
    <xf numFmtId="0" fontId="82" fillId="13" borderId="0" xfId="2" applyFont="1" applyFill="1" applyAlignment="1">
      <alignment vertical="center"/>
    </xf>
    <xf numFmtId="0" fontId="44" fillId="0" borderId="70" xfId="16" applyFont="1" applyBorder="1" applyAlignment="1">
      <alignment horizontal="center" vertical="center" wrapText="1"/>
    </xf>
    <xf numFmtId="41" fontId="44" fillId="0" borderId="68" xfId="10" applyFont="1" applyBorder="1" applyAlignment="1">
      <alignment vertical="center"/>
    </xf>
    <xf numFmtId="41" fontId="44" fillId="0" borderId="70" xfId="10" applyFont="1" applyBorder="1" applyAlignment="1">
      <alignment vertical="center"/>
    </xf>
    <xf numFmtId="41" fontId="44" fillId="0" borderId="71" xfId="10" applyFont="1" applyBorder="1" applyAlignment="1">
      <alignment vertical="center"/>
    </xf>
    <xf numFmtId="41" fontId="44" fillId="0" borderId="69" xfId="10" applyFont="1" applyBorder="1" applyAlignment="1">
      <alignment vertical="center"/>
    </xf>
    <xf numFmtId="0" fontId="44" fillId="0" borderId="65" xfId="16" applyFont="1" applyBorder="1" applyAlignment="1">
      <alignment horizontal="center" vertical="center" wrapText="1"/>
    </xf>
    <xf numFmtId="41" fontId="44" fillId="0" borderId="63" xfId="10" applyFont="1" applyBorder="1" applyAlignment="1">
      <alignment vertical="center"/>
    </xf>
    <xf numFmtId="41" fontId="44" fillId="0" borderId="64" xfId="10" applyFont="1" applyBorder="1" applyAlignment="1">
      <alignment horizontal="center" vertical="center"/>
    </xf>
    <xf numFmtId="41" fontId="44" fillId="0" borderId="65" xfId="10" applyFont="1" applyBorder="1" applyAlignment="1">
      <alignment vertical="center"/>
    </xf>
    <xf numFmtId="41" fontId="44" fillId="0" borderId="66" xfId="10" applyFont="1" applyBorder="1" applyAlignment="1">
      <alignment vertical="center"/>
    </xf>
    <xf numFmtId="41" fontId="44" fillId="0" borderId="64" xfId="10" applyFont="1" applyBorder="1" applyAlignment="1">
      <alignment vertical="center"/>
    </xf>
    <xf numFmtId="0" fontId="44" fillId="0" borderId="16" xfId="16" applyFont="1" applyBorder="1" applyAlignment="1">
      <alignment horizontal="center" vertical="center" wrapText="1"/>
    </xf>
    <xf numFmtId="41" fontId="44" fillId="0" borderId="32" xfId="10" applyNumberFormat="1" applyFont="1" applyBorder="1" applyAlignment="1">
      <alignment horizontal="center" vertical="center" wrapText="1"/>
    </xf>
    <xf numFmtId="41" fontId="44" fillId="0" borderId="15" xfId="10" applyFont="1" applyBorder="1" applyAlignment="1">
      <alignment horizontal="center" vertical="center" wrapText="1"/>
    </xf>
    <xf numFmtId="41" fontId="44" fillId="0" borderId="16" xfId="10" applyFont="1" applyBorder="1" applyAlignment="1">
      <alignment horizontal="center" vertical="center" wrapText="1"/>
    </xf>
    <xf numFmtId="41" fontId="44" fillId="0" borderId="67" xfId="10" applyFont="1" applyBorder="1" applyAlignment="1">
      <alignment horizontal="center" vertical="center"/>
    </xf>
    <xf numFmtId="41" fontId="44" fillId="0" borderId="15" xfId="10" applyFont="1" applyBorder="1" applyAlignment="1">
      <alignment horizontal="center" vertical="center"/>
    </xf>
    <xf numFmtId="41" fontId="44" fillId="0" borderId="16" xfId="10" applyFont="1" applyBorder="1" applyAlignment="1">
      <alignment horizontal="center" vertical="center"/>
    </xf>
    <xf numFmtId="41" fontId="44" fillId="0" borderId="68" xfId="10" applyNumberFormat="1" applyFont="1" applyBorder="1" applyAlignment="1">
      <alignment horizontal="center" vertical="center" wrapText="1"/>
    </xf>
    <xf numFmtId="41" fontId="44" fillId="0" borderId="69" xfId="10" applyFont="1" applyBorder="1" applyAlignment="1">
      <alignment horizontal="center" vertical="center" wrapText="1"/>
    </xf>
    <xf numFmtId="41" fontId="44" fillId="0" borderId="70" xfId="10" applyFont="1" applyBorder="1" applyAlignment="1">
      <alignment horizontal="center" vertical="center" wrapText="1"/>
    </xf>
    <xf numFmtId="41" fontId="44" fillId="0" borderId="71" xfId="10" applyNumberFormat="1" applyFont="1" applyBorder="1" applyAlignment="1">
      <alignment horizontal="center" vertical="center"/>
    </xf>
    <xf numFmtId="41" fontId="44" fillId="0" borderId="70" xfId="10" applyFont="1" applyBorder="1" applyAlignment="1">
      <alignment horizontal="center" vertical="center"/>
    </xf>
    <xf numFmtId="41" fontId="44" fillId="0" borderId="71" xfId="10" applyFont="1" applyBorder="1" applyAlignment="1">
      <alignment horizontal="center" vertical="center"/>
    </xf>
    <xf numFmtId="41" fontId="44" fillId="0" borderId="68" xfId="10" applyFont="1" applyBorder="1" applyAlignment="1">
      <alignment horizontal="center" vertical="center" wrapText="1"/>
    </xf>
    <xf numFmtId="41" fontId="44" fillId="0" borderId="69" xfId="10" applyNumberFormat="1" applyFont="1" applyBorder="1" applyAlignment="1">
      <alignment horizontal="center" vertical="center"/>
    </xf>
    <xf numFmtId="41" fontId="44" fillId="0" borderId="63" xfId="10" applyFont="1" applyBorder="1" applyAlignment="1">
      <alignment horizontal="center" vertical="center" wrapText="1"/>
    </xf>
    <xf numFmtId="41" fontId="44" fillId="0" borderId="64" xfId="10" applyFont="1" applyBorder="1" applyAlignment="1">
      <alignment horizontal="center" vertical="center" wrapText="1"/>
    </xf>
    <xf numFmtId="41" fontId="44" fillId="0" borderId="65" xfId="10" applyFont="1" applyBorder="1" applyAlignment="1">
      <alignment horizontal="center" vertical="center" wrapText="1"/>
    </xf>
    <xf numFmtId="41" fontId="44" fillId="0" borderId="66" xfId="10" applyFont="1" applyBorder="1" applyAlignment="1">
      <alignment horizontal="center" vertical="center"/>
    </xf>
    <xf numFmtId="41" fontId="44" fillId="0" borderId="65" xfId="10" applyFont="1" applyBorder="1" applyAlignment="1">
      <alignment horizontal="center" vertical="center"/>
    </xf>
    <xf numFmtId="41" fontId="51" fillId="13" borderId="0" xfId="2" applyNumberFormat="1" applyFont="1" applyFill="1" applyAlignment="1">
      <alignment vertical="center"/>
    </xf>
    <xf numFmtId="0" fontId="6" fillId="0" borderId="143" xfId="16" applyFont="1" applyBorder="1" applyAlignment="1">
      <alignment horizontal="center" vertical="center" wrapText="1"/>
    </xf>
    <xf numFmtId="41" fontId="6" fillId="0" borderId="144" xfId="10" applyNumberFormat="1" applyFont="1" applyBorder="1" applyAlignment="1">
      <alignment horizontal="center" vertical="center" wrapText="1"/>
    </xf>
    <xf numFmtId="41" fontId="6" fillId="0" borderId="145" xfId="10" applyFont="1" applyBorder="1" applyAlignment="1">
      <alignment horizontal="center" vertical="center" wrapText="1"/>
    </xf>
    <xf numFmtId="41" fontId="6" fillId="0" borderId="146" xfId="10" applyFont="1" applyBorder="1" applyAlignment="1">
      <alignment horizontal="center" vertical="center" wrapText="1"/>
    </xf>
    <xf numFmtId="41" fontId="6" fillId="0" borderId="135" xfId="10" applyFont="1" applyBorder="1" applyAlignment="1">
      <alignment horizontal="center" vertical="center" wrapText="1"/>
    </xf>
    <xf numFmtId="41" fontId="6" fillId="0" borderId="147" xfId="10" applyNumberFormat="1" applyFont="1" applyBorder="1" applyAlignment="1">
      <alignment horizontal="center" vertical="center" wrapText="1"/>
    </xf>
    <xf numFmtId="41" fontId="6" fillId="0" borderId="147" xfId="10" applyFont="1" applyBorder="1" applyAlignment="1">
      <alignment horizontal="center" vertical="center" wrapText="1"/>
    </xf>
    <xf numFmtId="0" fontId="6" fillId="0" borderId="148" xfId="16" applyFont="1" applyBorder="1" applyAlignment="1">
      <alignment horizontal="center" vertical="center" wrapText="1"/>
    </xf>
    <xf numFmtId="41" fontId="6" fillId="0" borderId="149" xfId="10" applyFont="1" applyBorder="1" applyAlignment="1">
      <alignment horizontal="center" vertical="center" wrapText="1"/>
    </xf>
    <xf numFmtId="41" fontId="6" fillId="0" borderId="145" xfId="10" applyNumberFormat="1" applyFont="1" applyBorder="1" applyAlignment="1">
      <alignment horizontal="center" vertical="center" wrapText="1"/>
    </xf>
    <xf numFmtId="41" fontId="6" fillId="0" borderId="149" xfId="10" applyNumberFormat="1" applyFont="1" applyBorder="1" applyAlignment="1">
      <alignment horizontal="center" vertical="center" wrapText="1"/>
    </xf>
    <xf numFmtId="0" fontId="6" fillId="0" borderId="150" xfId="16" applyFont="1" applyBorder="1" applyAlignment="1">
      <alignment horizontal="center" vertical="center" wrapText="1"/>
    </xf>
    <xf numFmtId="41" fontId="6" fillId="0" borderId="151" xfId="10" applyFont="1" applyBorder="1" applyAlignment="1">
      <alignment horizontal="center" vertical="center" wrapText="1"/>
    </xf>
    <xf numFmtId="41" fontId="6" fillId="0" borderId="152" xfId="10" applyFont="1" applyBorder="1" applyAlignment="1">
      <alignment horizontal="center" vertical="center" wrapText="1"/>
    </xf>
    <xf numFmtId="41" fontId="6" fillId="0" borderId="153" xfId="10" applyFont="1" applyBorder="1" applyAlignment="1">
      <alignment horizontal="center" vertical="center" wrapText="1"/>
    </xf>
    <xf numFmtId="41" fontId="6" fillId="0" borderId="136" xfId="10" applyFont="1" applyBorder="1" applyAlignment="1">
      <alignment horizontal="center" vertical="center" wrapText="1"/>
    </xf>
    <xf numFmtId="0" fontId="6" fillId="0" borderId="95" xfId="16" applyFont="1" applyBorder="1" applyAlignment="1">
      <alignment horizontal="center" vertical="center" wrapText="1"/>
    </xf>
    <xf numFmtId="41" fontId="6" fillId="0" borderId="154" xfId="10" applyFont="1" applyBorder="1" applyAlignment="1">
      <alignment horizontal="center" vertical="center" wrapText="1"/>
    </xf>
    <xf numFmtId="41" fontId="6" fillId="0" borderId="155" xfId="10" applyFont="1" applyBorder="1" applyAlignment="1">
      <alignment horizontal="center" vertical="center" wrapText="1"/>
    </xf>
    <xf numFmtId="41" fontId="6" fillId="0" borderId="156" xfId="10" applyFont="1" applyBorder="1" applyAlignment="1">
      <alignment horizontal="center" vertical="center" wrapText="1"/>
    </xf>
    <xf numFmtId="41" fontId="6" fillId="0" borderId="157" xfId="10" applyFont="1" applyBorder="1" applyAlignment="1">
      <alignment horizontal="center" vertical="center" wrapText="1"/>
    </xf>
    <xf numFmtId="41" fontId="6" fillId="0" borderId="137" xfId="10" applyFont="1" applyBorder="1" applyAlignment="1">
      <alignment horizontal="center" vertical="center" wrapText="1"/>
    </xf>
    <xf numFmtId="0" fontId="6" fillId="0" borderId="0" xfId="2" applyFont="1" applyFill="1" applyAlignment="1">
      <alignment horizontal="left" vertical="top"/>
    </xf>
    <xf numFmtId="179" fontId="6" fillId="0" borderId="145" xfId="10" applyNumberFormat="1" applyFont="1" applyBorder="1" applyAlignment="1">
      <alignment horizontal="center" vertical="center" wrapText="1"/>
    </xf>
    <xf numFmtId="41" fontId="6" fillId="0" borderId="158" xfId="10" applyFont="1" applyBorder="1" applyAlignment="1">
      <alignment horizontal="center" vertical="center" wrapText="1"/>
    </xf>
    <xf numFmtId="0" fontId="45" fillId="0" borderId="0" xfId="2" applyFont="1" applyFill="1" applyAlignment="1">
      <alignment vertical="center"/>
    </xf>
    <xf numFmtId="0" fontId="61" fillId="0" borderId="0" xfId="2" applyFont="1" applyFill="1" applyAlignment="1">
      <alignment vertical="center"/>
    </xf>
    <xf numFmtId="49" fontId="6" fillId="0" borderId="84" xfId="2" applyNumberFormat="1" applyFont="1" applyBorder="1" applyAlignment="1">
      <alignment horizontal="center" vertical="center"/>
    </xf>
    <xf numFmtId="189" fontId="6" fillId="0" borderId="31" xfId="2" applyNumberFormat="1" applyFont="1" applyFill="1" applyBorder="1" applyAlignment="1">
      <alignment horizontal="right" vertical="center"/>
    </xf>
    <xf numFmtId="41" fontId="6" fillId="0" borderId="12" xfId="2" applyNumberFormat="1" applyFont="1" applyFill="1" applyBorder="1" applyAlignment="1">
      <alignment horizontal="right" vertical="center"/>
    </xf>
    <xf numFmtId="189" fontId="6" fillId="0" borderId="27" xfId="2" applyNumberFormat="1" applyFont="1" applyFill="1" applyBorder="1" applyAlignment="1">
      <alignment horizontal="right" vertical="center"/>
    </xf>
    <xf numFmtId="189" fontId="6" fillId="0" borderId="29" xfId="2" applyNumberFormat="1" applyFont="1" applyFill="1" applyBorder="1" applyAlignment="1">
      <alignment horizontal="right" vertical="center"/>
    </xf>
    <xf numFmtId="0" fontId="61" fillId="0" borderId="0" xfId="2" applyFont="1" applyFill="1" applyBorder="1" applyAlignment="1">
      <alignment vertical="center"/>
    </xf>
    <xf numFmtId="176" fontId="61" fillId="0" borderId="0" xfId="2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189" fontId="6" fillId="0" borderId="13" xfId="2" applyNumberFormat="1" applyFont="1" applyFill="1" applyBorder="1" applyAlignment="1">
      <alignment horizontal="right" vertical="center"/>
    </xf>
    <xf numFmtId="176" fontId="61" fillId="0" borderId="0" xfId="2" applyNumberFormat="1" applyFont="1" applyFill="1" applyAlignment="1">
      <alignment vertical="center"/>
    </xf>
    <xf numFmtId="189" fontId="6" fillId="0" borderId="31" xfId="2" applyNumberFormat="1" applyFont="1" applyBorder="1" applyAlignment="1">
      <alignment vertical="center"/>
    </xf>
    <xf numFmtId="189" fontId="6" fillId="0" borderId="12" xfId="2" applyNumberFormat="1" applyFont="1" applyBorder="1" applyAlignment="1">
      <alignment vertical="center"/>
    </xf>
    <xf numFmtId="189" fontId="6" fillId="0" borderId="13" xfId="2" applyNumberFormat="1" applyFont="1" applyBorder="1" applyAlignment="1">
      <alignment vertical="center"/>
    </xf>
    <xf numFmtId="189" fontId="6" fillId="0" borderId="31" xfId="2" quotePrefix="1" applyNumberFormat="1" applyFont="1" applyFill="1" applyBorder="1" applyAlignment="1">
      <alignment vertical="center"/>
    </xf>
    <xf numFmtId="189" fontId="6" fillId="0" borderId="12" xfId="2" quotePrefix="1" applyNumberFormat="1" applyFont="1" applyFill="1" applyBorder="1" applyAlignment="1">
      <alignment vertical="center"/>
    </xf>
    <xf numFmtId="189" fontId="6" fillId="0" borderId="12" xfId="2" applyNumberFormat="1" applyFont="1" applyBorder="1" applyAlignment="1">
      <alignment horizontal="right" vertical="center"/>
    </xf>
    <xf numFmtId="189" fontId="6" fillId="0" borderId="13" xfId="2" quotePrefix="1" applyNumberFormat="1" applyFont="1" applyFill="1" applyBorder="1" applyAlignment="1">
      <alignment vertical="center"/>
    </xf>
    <xf numFmtId="49" fontId="6" fillId="0" borderId="91" xfId="2" quotePrefix="1" applyNumberFormat="1" applyFont="1" applyBorder="1" applyAlignment="1">
      <alignment horizontal="center" vertical="center"/>
    </xf>
    <xf numFmtId="41" fontId="6" fillId="0" borderId="68" xfId="2" applyNumberFormat="1" applyFont="1" applyBorder="1" applyAlignment="1">
      <alignment vertical="center"/>
    </xf>
    <xf numFmtId="41" fontId="6" fillId="0" borderId="69" xfId="2" applyNumberFormat="1" applyFont="1" applyBorder="1" applyAlignment="1">
      <alignment horizontal="right" vertical="center"/>
    </xf>
    <xf numFmtId="41" fontId="6" fillId="0" borderId="69" xfId="2" applyNumberFormat="1" applyFont="1" applyBorder="1" applyAlignment="1">
      <alignment vertical="center"/>
    </xf>
    <xf numFmtId="41" fontId="6" fillId="0" borderId="69" xfId="2" applyNumberFormat="1" applyFont="1" applyFill="1" applyBorder="1" applyAlignment="1">
      <alignment horizontal="right" vertical="center"/>
    </xf>
    <xf numFmtId="41" fontId="6" fillId="0" borderId="70" xfId="2" applyNumberFormat="1" applyFont="1" applyBorder="1" applyAlignment="1">
      <alignment vertical="center"/>
    </xf>
    <xf numFmtId="2" fontId="6" fillId="0" borderId="84" xfId="2" applyNumberFormat="1" applyFont="1" applyBorder="1" applyAlignment="1">
      <alignment horizontal="center" vertical="center"/>
    </xf>
    <xf numFmtId="41" fontId="6" fillId="0" borderId="31" xfId="2" applyNumberFormat="1" applyFont="1" applyBorder="1" applyAlignment="1">
      <alignment vertical="center"/>
    </xf>
    <xf numFmtId="41" fontId="6" fillId="0" borderId="12" xfId="2" applyNumberFormat="1" applyFont="1" applyBorder="1" applyAlignment="1">
      <alignment horizontal="right" vertical="center"/>
    </xf>
    <xf numFmtId="41" fontId="6" fillId="0" borderId="12" xfId="2" applyNumberFormat="1" applyFont="1" applyBorder="1" applyAlignment="1">
      <alignment vertical="center"/>
    </xf>
    <xf numFmtId="41" fontId="6" fillId="0" borderId="13" xfId="2" applyNumberFormat="1" applyFont="1" applyBorder="1" applyAlignment="1">
      <alignment vertical="center"/>
    </xf>
    <xf numFmtId="2" fontId="23" fillId="0" borderId="91" xfId="2" quotePrefix="1" applyNumberFormat="1" applyFont="1" applyBorder="1" applyAlignment="1">
      <alignment horizontal="center" vertical="center"/>
    </xf>
    <xf numFmtId="41" fontId="23" fillId="0" borderId="68" xfId="2" applyNumberFormat="1" applyFont="1" applyBorder="1" applyAlignment="1">
      <alignment vertical="center"/>
    </xf>
    <xf numFmtId="41" fontId="23" fillId="0" borderId="69" xfId="2" applyNumberFormat="1" applyFont="1" applyBorder="1" applyAlignment="1">
      <alignment horizontal="right" vertical="center"/>
    </xf>
    <xf numFmtId="41" fontId="23" fillId="0" borderId="69" xfId="2" applyNumberFormat="1" applyFont="1" applyBorder="1" applyAlignment="1">
      <alignment vertical="center"/>
    </xf>
    <xf numFmtId="41" fontId="23" fillId="0" borderId="69" xfId="2" applyNumberFormat="1" applyFont="1" applyFill="1" applyBorder="1" applyAlignment="1">
      <alignment horizontal="right" vertical="center"/>
    </xf>
    <xf numFmtId="41" fontId="23" fillId="0" borderId="70" xfId="2" applyNumberFormat="1" applyFont="1" applyBorder="1" applyAlignment="1">
      <alignment vertical="center"/>
    </xf>
    <xf numFmtId="2" fontId="6" fillId="0" borderId="84" xfId="2" quotePrefix="1" applyNumberFormat="1" applyFont="1" applyFill="1" applyBorder="1" applyAlignment="1">
      <alignment horizontal="center" vertical="center"/>
    </xf>
    <xf numFmtId="2" fontId="23" fillId="0" borderId="84" xfId="2" quotePrefix="1" applyNumberFormat="1" applyFont="1" applyFill="1" applyBorder="1" applyAlignment="1">
      <alignment horizontal="center" vertical="center"/>
    </xf>
    <xf numFmtId="41" fontId="23" fillId="0" borderId="31" xfId="2" applyNumberFormat="1" applyFont="1" applyBorder="1" applyAlignment="1">
      <alignment vertical="center"/>
    </xf>
    <xf numFmtId="41" fontId="23" fillId="0" borderId="12" xfId="2" applyNumberFormat="1" applyFont="1" applyBorder="1" applyAlignment="1">
      <alignment horizontal="right" vertical="center"/>
    </xf>
    <xf numFmtId="41" fontId="23" fillId="0" borderId="12" xfId="2" applyNumberFormat="1" applyFont="1" applyBorder="1" applyAlignment="1">
      <alignment vertical="center"/>
    </xf>
    <xf numFmtId="41" fontId="23" fillId="0" borderId="12" xfId="2" applyNumberFormat="1" applyFont="1" applyFill="1" applyBorder="1" applyAlignment="1">
      <alignment horizontal="right" vertical="center"/>
    </xf>
    <xf numFmtId="41" fontId="23" fillId="0" borderId="13" xfId="2" applyNumberFormat="1" applyFont="1" applyBorder="1" applyAlignment="1">
      <alignment vertical="center"/>
    </xf>
    <xf numFmtId="2" fontId="23" fillId="0" borderId="46" xfId="2" quotePrefix="1" applyNumberFormat="1" applyFont="1" applyFill="1" applyBorder="1" applyAlignment="1">
      <alignment horizontal="center" vertical="center"/>
    </xf>
    <xf numFmtId="41" fontId="23" fillId="0" borderId="30" xfId="2" applyNumberFormat="1" applyFont="1" applyBorder="1" applyAlignment="1">
      <alignment vertical="center"/>
    </xf>
    <xf numFmtId="41" fontId="23" fillId="0" borderId="10" xfId="2" applyNumberFormat="1" applyFont="1" applyBorder="1" applyAlignment="1">
      <alignment horizontal="right" vertical="center"/>
    </xf>
    <xf numFmtId="41" fontId="23" fillId="0" borderId="10" xfId="2" applyNumberFormat="1" applyFont="1" applyBorder="1" applyAlignment="1">
      <alignment vertical="center"/>
    </xf>
    <xf numFmtId="41" fontId="23" fillId="0" borderId="10" xfId="2" applyNumberFormat="1" applyFont="1" applyFill="1" applyBorder="1" applyAlignment="1">
      <alignment horizontal="right" vertical="center"/>
    </xf>
    <xf numFmtId="41" fontId="23" fillId="0" borderId="11" xfId="2" applyNumberFormat="1" applyFont="1" applyBorder="1" applyAlignment="1">
      <alignment vertical="center"/>
    </xf>
    <xf numFmtId="176" fontId="6" fillId="0" borderId="0" xfId="2" applyNumberFormat="1" applyFont="1" applyBorder="1" applyAlignment="1">
      <alignment vertical="center"/>
    </xf>
    <xf numFmtId="0" fontId="15" fillId="0" borderId="0" xfId="2" applyFont="1"/>
    <xf numFmtId="176" fontId="15" fillId="0" borderId="0" xfId="2" applyNumberFormat="1" applyFont="1" applyBorder="1" applyAlignment="1">
      <alignment horizontal="right" vertical="center"/>
    </xf>
    <xf numFmtId="0" fontId="15" fillId="0" borderId="0" xfId="2" applyFont="1" applyBorder="1" applyAlignment="1">
      <alignment horizontal="left" vertical="center"/>
    </xf>
    <xf numFmtId="0" fontId="61" fillId="0" borderId="0" xfId="2" applyFont="1" applyAlignment="1">
      <alignment vertical="center"/>
    </xf>
    <xf numFmtId="0" fontId="41" fillId="0" borderId="0" xfId="2" applyFont="1" applyBorder="1" applyAlignment="1">
      <alignment vertical="center"/>
    </xf>
    <xf numFmtId="0" fontId="46" fillId="0" borderId="0" xfId="2" applyFont="1" applyBorder="1" applyAlignment="1">
      <alignment vertical="center"/>
    </xf>
    <xf numFmtId="0" fontId="6" fillId="0" borderId="43" xfId="2" applyFont="1" applyBorder="1" applyAlignment="1">
      <alignment horizontal="center" vertical="center"/>
    </xf>
    <xf numFmtId="189" fontId="6" fillId="0" borderId="82" xfId="2" applyNumberFormat="1" applyFont="1" applyFill="1" applyBorder="1" applyAlignment="1">
      <alignment vertical="center"/>
    </xf>
    <xf numFmtId="0" fontId="6" fillId="0" borderId="84" xfId="2" applyFont="1" applyBorder="1" applyAlignment="1">
      <alignment horizontal="center" vertical="center"/>
    </xf>
    <xf numFmtId="189" fontId="6" fillId="0" borderId="82" xfId="2" applyNumberFormat="1" applyFont="1" applyBorder="1" applyAlignment="1">
      <alignment vertical="center"/>
    </xf>
    <xf numFmtId="189" fontId="6" fillId="0" borderId="13" xfId="2" applyNumberFormat="1" applyFont="1" applyBorder="1" applyAlignment="1">
      <alignment horizontal="right" vertical="center"/>
    </xf>
    <xf numFmtId="0" fontId="65" fillId="0" borderId="0" xfId="2" applyFont="1" applyFill="1" applyBorder="1" applyAlignment="1">
      <alignment vertical="center"/>
    </xf>
    <xf numFmtId="189" fontId="6" fillId="0" borderId="12" xfId="2" applyNumberFormat="1" applyFont="1" applyFill="1" applyBorder="1" applyAlignment="1">
      <alignment vertical="center"/>
    </xf>
    <xf numFmtId="189" fontId="6" fillId="0" borderId="13" xfId="2" applyNumberFormat="1" applyFont="1" applyFill="1" applyBorder="1" applyAlignment="1">
      <alignment vertical="center"/>
    </xf>
    <xf numFmtId="0" fontId="6" fillId="0" borderId="89" xfId="2" applyFont="1" applyBorder="1" applyAlignment="1">
      <alignment horizontal="center" vertical="center"/>
    </xf>
    <xf numFmtId="189" fontId="6" fillId="0" borderId="67" xfId="2" applyNumberFormat="1" applyFont="1" applyFill="1" applyBorder="1" applyAlignment="1">
      <alignment vertical="center"/>
    </xf>
    <xf numFmtId="189" fontId="6" fillId="0" borderId="15" xfId="2" applyNumberFormat="1" applyFont="1" applyBorder="1" applyAlignment="1">
      <alignment vertical="center"/>
    </xf>
    <xf numFmtId="189" fontId="6" fillId="0" borderId="16" xfId="2" applyNumberFormat="1" applyFont="1" applyBorder="1" applyAlignment="1">
      <alignment horizontal="right" vertical="center"/>
    </xf>
    <xf numFmtId="189" fontId="6" fillId="0" borderId="71" xfId="2" applyNumberFormat="1" applyFont="1" applyBorder="1" applyAlignment="1">
      <alignment horizontal="right" vertical="center"/>
    </xf>
    <xf numFmtId="189" fontId="6" fillId="0" borderId="69" xfId="2" applyNumberFormat="1" applyFont="1" applyBorder="1" applyAlignment="1">
      <alignment horizontal="right" vertical="center"/>
    </xf>
    <xf numFmtId="189" fontId="6" fillId="0" borderId="70" xfId="2" applyNumberFormat="1" applyFont="1" applyBorder="1" applyAlignment="1">
      <alignment horizontal="right" vertical="center"/>
    </xf>
    <xf numFmtId="189" fontId="6" fillId="0" borderId="82" xfId="2" applyNumberFormat="1" applyFont="1" applyBorder="1" applyAlignment="1">
      <alignment horizontal="right" vertical="center"/>
    </xf>
    <xf numFmtId="41" fontId="15" fillId="0" borderId="0" xfId="2" applyNumberFormat="1" applyFont="1"/>
    <xf numFmtId="2" fontId="23" fillId="0" borderId="91" xfId="2" applyNumberFormat="1" applyFont="1" applyBorder="1" applyAlignment="1">
      <alignment horizontal="center" vertical="center"/>
    </xf>
    <xf numFmtId="189" fontId="23" fillId="0" borderId="71" xfId="2" applyNumberFormat="1" applyFont="1" applyBorder="1" applyAlignment="1">
      <alignment horizontal="right" vertical="center"/>
    </xf>
    <xf numFmtId="189" fontId="23" fillId="0" borderId="69" xfId="2" applyNumberFormat="1" applyFont="1" applyBorder="1" applyAlignment="1">
      <alignment horizontal="right" vertical="center"/>
    </xf>
    <xf numFmtId="189" fontId="23" fillId="0" borderId="70" xfId="2" applyNumberFormat="1" applyFont="1" applyBorder="1" applyAlignment="1">
      <alignment horizontal="right" vertical="center"/>
    </xf>
    <xf numFmtId="0" fontId="83" fillId="0" borderId="0" xfId="2" applyFont="1"/>
    <xf numFmtId="41" fontId="6" fillId="0" borderId="31" xfId="2" applyNumberFormat="1" applyFont="1" applyBorder="1" applyAlignment="1">
      <alignment horizontal="right" vertical="center"/>
    </xf>
    <xf numFmtId="2" fontId="23" fillId="0" borderId="84" xfId="2" quotePrefix="1" applyNumberFormat="1" applyFont="1" applyBorder="1" applyAlignment="1">
      <alignment horizontal="center" vertical="center"/>
    </xf>
    <xf numFmtId="189" fontId="23" fillId="0" borderId="12" xfId="2" applyNumberFormat="1" applyFont="1" applyBorder="1" applyAlignment="1">
      <alignment horizontal="right" vertical="center"/>
    </xf>
    <xf numFmtId="189" fontId="23" fillId="0" borderId="13" xfId="2" applyNumberFormat="1" applyFont="1" applyBorder="1" applyAlignment="1">
      <alignment horizontal="right" vertical="center"/>
    </xf>
    <xf numFmtId="41" fontId="23" fillId="0" borderId="31" xfId="2" applyNumberFormat="1" applyFont="1" applyBorder="1" applyAlignment="1">
      <alignment horizontal="right" vertical="center"/>
    </xf>
    <xf numFmtId="2" fontId="23" fillId="0" borderId="46" xfId="2" quotePrefix="1" applyNumberFormat="1" applyFont="1" applyBorder="1" applyAlignment="1">
      <alignment horizontal="center" vertical="center"/>
    </xf>
    <xf numFmtId="41" fontId="23" fillId="0" borderId="30" xfId="2" applyNumberFormat="1" applyFont="1" applyBorder="1" applyAlignment="1">
      <alignment horizontal="right" vertical="center"/>
    </xf>
    <xf numFmtId="189" fontId="23" fillId="0" borderId="10" xfId="2" applyNumberFormat="1" applyFont="1" applyBorder="1" applyAlignment="1">
      <alignment horizontal="right" vertical="center"/>
    </xf>
    <xf numFmtId="189" fontId="23" fillId="0" borderId="11" xfId="2" applyNumberFormat="1" applyFont="1" applyBorder="1" applyAlignment="1">
      <alignment horizontal="right" vertical="center"/>
    </xf>
    <xf numFmtId="0" fontId="15" fillId="0" borderId="0" xfId="2" applyFont="1" applyBorder="1" applyAlignment="1">
      <alignment horizontal="left"/>
    </xf>
    <xf numFmtId="0" fontId="15" fillId="0" borderId="0" xfId="2" applyFont="1" applyBorder="1" applyAlignment="1">
      <alignment horizontal="right"/>
    </xf>
    <xf numFmtId="0" fontId="16" fillId="0" borderId="0" xfId="2" applyFont="1" applyFill="1" applyBorder="1" applyAlignment="1">
      <alignment vertical="center"/>
    </xf>
    <xf numFmtId="0" fontId="52" fillId="0" borderId="0" xfId="2" applyFont="1" applyFill="1" applyBorder="1" applyAlignment="1">
      <alignment vertical="center"/>
    </xf>
    <xf numFmtId="0" fontId="9" fillId="14" borderId="0" xfId="2" applyFont="1" applyFill="1" applyAlignment="1">
      <alignment vertical="center"/>
    </xf>
    <xf numFmtId="0" fontId="22" fillId="14" borderId="0" xfId="2" applyFont="1" applyFill="1" applyAlignment="1">
      <alignment vertical="center"/>
    </xf>
    <xf numFmtId="0" fontId="9" fillId="0" borderId="0" xfId="2" applyFont="1" applyBorder="1"/>
    <xf numFmtId="0" fontId="6" fillId="0" borderId="47" xfId="2" applyFont="1" applyFill="1" applyBorder="1" applyAlignment="1" applyProtection="1">
      <alignment horizontal="center" vertical="center"/>
      <protection locked="0"/>
    </xf>
    <xf numFmtId="0" fontId="6" fillId="0" borderId="11" xfId="2" applyFont="1" applyFill="1" applyBorder="1" applyAlignment="1" applyProtection="1">
      <alignment horizontal="center" vertical="center"/>
      <protection locked="0"/>
    </xf>
    <xf numFmtId="0" fontId="23" fillId="0" borderId="30" xfId="2" applyFont="1" applyFill="1" applyBorder="1" applyAlignment="1" applyProtection="1">
      <alignment horizontal="center" vertical="center"/>
      <protection locked="0"/>
    </xf>
    <xf numFmtId="0" fontId="23" fillId="0" borderId="92" xfId="2" applyFont="1" applyFill="1" applyBorder="1" applyAlignment="1" applyProtection="1">
      <alignment horizontal="center" vertical="center"/>
    </xf>
    <xf numFmtId="0" fontId="23" fillId="0" borderId="11" xfId="2" applyFont="1" applyFill="1" applyBorder="1" applyAlignment="1" applyProtection="1">
      <alignment horizontal="center" vertical="center"/>
    </xf>
    <xf numFmtId="184" fontId="6" fillId="0" borderId="26" xfId="8" applyFont="1" applyBorder="1" applyAlignment="1">
      <alignment horizontal="center" vertical="center"/>
    </xf>
    <xf numFmtId="184" fontId="6" fillId="0" borderId="96" xfId="8" applyFont="1" applyBorder="1" applyAlignment="1">
      <alignment horizontal="center" vertical="center"/>
    </xf>
    <xf numFmtId="184" fontId="23" fillId="0" borderId="31" xfId="8" applyFont="1" applyBorder="1" applyAlignment="1">
      <alignment horizontal="center" vertical="center"/>
    </xf>
    <xf numFmtId="184" fontId="23" fillId="0" borderId="88" xfId="8" applyFont="1" applyBorder="1" applyAlignment="1">
      <alignment horizontal="center" vertical="center"/>
    </xf>
    <xf numFmtId="190" fontId="6" fillId="0" borderId="31" xfId="8" applyNumberFormat="1" applyFont="1" applyFill="1" applyBorder="1" applyAlignment="1" applyProtection="1">
      <alignment vertical="center"/>
      <protection locked="0"/>
    </xf>
    <xf numFmtId="190" fontId="6" fillId="0" borderId="13" xfId="8" applyNumberFormat="1" applyFont="1" applyFill="1" applyBorder="1" applyAlignment="1" applyProtection="1">
      <alignment vertical="center"/>
      <protection locked="0"/>
    </xf>
    <xf numFmtId="190" fontId="6" fillId="0" borderId="68" xfId="8" applyNumberFormat="1" applyFont="1" applyFill="1" applyBorder="1" applyAlignment="1" applyProtection="1">
      <alignment vertical="center"/>
      <protection locked="0"/>
    </xf>
    <xf numFmtId="190" fontId="6" fillId="0" borderId="80" xfId="8" applyNumberFormat="1" applyFont="1" applyFill="1" applyBorder="1" applyAlignment="1" applyProtection="1">
      <alignment vertical="center"/>
      <protection locked="0"/>
    </xf>
    <xf numFmtId="201" fontId="9" fillId="0" borderId="0" xfId="2" applyNumberFormat="1" applyFont="1" applyBorder="1"/>
    <xf numFmtId="0" fontId="6" fillId="0" borderId="79" xfId="2" applyFont="1" applyFill="1" applyBorder="1" applyAlignment="1">
      <alignment horizontal="center" vertical="center"/>
    </xf>
    <xf numFmtId="0" fontId="6" fillId="0" borderId="70" xfId="2" applyFont="1" applyFill="1" applyBorder="1" applyAlignment="1">
      <alignment horizontal="center" vertical="center"/>
    </xf>
    <xf numFmtId="184" fontId="6" fillId="0" borderId="68" xfId="8" applyFont="1" applyFill="1" applyBorder="1" applyAlignment="1" applyProtection="1">
      <alignment vertical="center"/>
      <protection locked="0"/>
    </xf>
    <xf numFmtId="184" fontId="6" fillId="0" borderId="80" xfId="8" applyFont="1" applyFill="1" applyBorder="1" applyAlignment="1" applyProtection="1">
      <alignment vertical="center"/>
      <protection locked="0"/>
    </xf>
    <xf numFmtId="184" fontId="23" fillId="0" borderId="68" xfId="8" applyFont="1" applyFill="1" applyBorder="1" applyAlignment="1" applyProtection="1">
      <alignment vertical="center"/>
      <protection locked="0"/>
    </xf>
    <xf numFmtId="184" fontId="23" fillId="0" borderId="79" xfId="8" applyFont="1" applyFill="1" applyBorder="1" applyAlignment="1" applyProtection="1">
      <alignment vertical="center"/>
      <protection locked="0"/>
    </xf>
    <xf numFmtId="190" fontId="6" fillId="0" borderId="70" xfId="8" applyNumberFormat="1" applyFont="1" applyFill="1" applyBorder="1" applyAlignment="1" applyProtection="1">
      <alignment vertical="center"/>
      <protection locked="0"/>
    </xf>
    <xf numFmtId="0" fontId="6" fillId="0" borderId="119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184" fontId="6" fillId="0" borderId="32" xfId="8" applyFont="1" applyFill="1" applyBorder="1" applyAlignment="1">
      <alignment vertical="center"/>
    </xf>
    <xf numFmtId="184" fontId="6" fillId="0" borderId="105" xfId="8" applyFont="1" applyFill="1" applyBorder="1" applyAlignment="1">
      <alignment vertical="center"/>
    </xf>
    <xf numFmtId="184" fontId="23" fillId="0" borderId="32" xfId="8" applyFont="1" applyFill="1" applyBorder="1" applyAlignment="1">
      <alignment vertical="center"/>
    </xf>
    <xf numFmtId="184" fontId="23" fillId="0" borderId="79" xfId="8" applyFont="1" applyFill="1" applyBorder="1" applyAlignment="1">
      <alignment vertical="center"/>
    </xf>
    <xf numFmtId="184" fontId="6" fillId="0" borderId="68" xfId="8" applyFont="1" applyFill="1" applyBorder="1" applyAlignment="1">
      <alignment vertical="center"/>
    </xf>
    <xf numFmtId="184" fontId="6" fillId="0" borderId="80" xfId="8" applyFont="1" applyFill="1" applyBorder="1" applyAlignment="1">
      <alignment vertical="center"/>
    </xf>
    <xf numFmtId="184" fontId="23" fillId="0" borderId="68" xfId="8" applyFont="1" applyFill="1" applyBorder="1" applyAlignment="1">
      <alignment vertical="center"/>
    </xf>
    <xf numFmtId="190" fontId="15" fillId="0" borderId="68" xfId="8" applyNumberFormat="1" applyFont="1" applyFill="1" applyBorder="1" applyAlignment="1" applyProtection="1">
      <alignment vertical="center"/>
      <protection locked="0"/>
    </xf>
    <xf numFmtId="190" fontId="15" fillId="0" borderId="80" xfId="8" applyNumberFormat="1" applyFont="1" applyFill="1" applyBorder="1" applyAlignment="1" applyProtection="1">
      <alignment vertical="center"/>
      <protection locked="0"/>
    </xf>
    <xf numFmtId="189" fontId="23" fillId="0" borderId="0" xfId="2" quotePrefix="1" applyNumberFormat="1" applyFont="1" applyFill="1" applyBorder="1" applyAlignment="1">
      <alignment horizontal="center" vertical="center"/>
    </xf>
    <xf numFmtId="0" fontId="6" fillId="0" borderId="65" xfId="2" applyFont="1" applyFill="1" applyBorder="1" applyAlignment="1">
      <alignment horizontal="center" vertical="center"/>
    </xf>
    <xf numFmtId="184" fontId="6" fillId="0" borderId="63" xfId="8" applyFont="1" applyFill="1" applyBorder="1" applyAlignment="1">
      <alignment vertical="center"/>
    </xf>
    <xf numFmtId="184" fontId="6" fillId="0" borderId="75" xfId="8" applyFont="1" applyFill="1" applyBorder="1" applyAlignment="1">
      <alignment vertical="center"/>
    </xf>
    <xf numFmtId="184" fontId="23" fillId="0" borderId="63" xfId="8" applyFont="1" applyFill="1" applyBorder="1" applyAlignment="1">
      <alignment vertical="center"/>
    </xf>
    <xf numFmtId="184" fontId="23" fillId="0" borderId="81" xfId="8" applyFont="1" applyFill="1" applyBorder="1" applyAlignment="1">
      <alignment vertical="center"/>
    </xf>
    <xf numFmtId="190" fontId="15" fillId="0" borderId="63" xfId="8" applyNumberFormat="1" applyFont="1" applyFill="1" applyBorder="1" applyAlignment="1" applyProtection="1">
      <alignment vertical="center"/>
      <protection locked="0"/>
    </xf>
    <xf numFmtId="190" fontId="15" fillId="0" borderId="65" xfId="8" applyNumberFormat="1" applyFont="1" applyFill="1" applyBorder="1" applyAlignment="1" applyProtection="1">
      <alignment vertical="center"/>
      <protection locked="0"/>
    </xf>
    <xf numFmtId="0" fontId="6" fillId="0" borderId="41" xfId="2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center" vertical="center"/>
    </xf>
    <xf numFmtId="184" fontId="6" fillId="0" borderId="31" xfId="8" applyFont="1" applyBorder="1" applyAlignment="1">
      <alignment horizontal="center" vertical="center"/>
    </xf>
    <xf numFmtId="184" fontId="6" fillId="0" borderId="102" xfId="8" applyFont="1" applyBorder="1" applyAlignment="1">
      <alignment horizontal="center" vertical="center"/>
    </xf>
    <xf numFmtId="190" fontId="6" fillId="0" borderId="26" xfId="8" applyNumberFormat="1" applyFont="1" applyFill="1" applyBorder="1" applyAlignment="1" applyProtection="1">
      <alignment vertical="center"/>
      <protection locked="0"/>
    </xf>
    <xf numFmtId="190" fontId="6" fillId="0" borderId="29" xfId="8" applyNumberFormat="1" applyFont="1" applyFill="1" applyBorder="1" applyAlignment="1" applyProtection="1">
      <alignment vertical="center"/>
      <protection locked="0"/>
    </xf>
    <xf numFmtId="190" fontId="6" fillId="0" borderId="33" xfId="8" applyNumberFormat="1" applyFont="1" applyFill="1" applyBorder="1" applyAlignment="1" applyProtection="1">
      <alignment vertical="center"/>
      <protection locked="0"/>
    </xf>
    <xf numFmtId="186" fontId="23" fillId="0" borderId="0" xfId="2" quotePrefix="1" applyNumberFormat="1" applyFont="1" applyFill="1" applyBorder="1" applyAlignment="1">
      <alignment horizontal="center" vertical="center"/>
    </xf>
    <xf numFmtId="185" fontId="6" fillId="0" borderId="59" xfId="8" applyNumberFormat="1" applyFont="1" applyFill="1" applyBorder="1" applyAlignment="1" applyProtection="1">
      <alignment vertical="center"/>
      <protection locked="0"/>
    </xf>
    <xf numFmtId="185" fontId="6" fillId="0" borderId="73" xfId="8" applyNumberFormat="1" applyFont="1" applyFill="1" applyBorder="1" applyAlignment="1" applyProtection="1">
      <alignment vertical="center"/>
      <protection locked="0"/>
    </xf>
    <xf numFmtId="185" fontId="23" fillId="0" borderId="59" xfId="8" applyNumberFormat="1" applyFont="1" applyFill="1" applyBorder="1" applyAlignment="1" applyProtection="1">
      <alignment vertical="center"/>
      <protection locked="0"/>
    </xf>
    <xf numFmtId="185" fontId="23" fillId="0" borderId="78" xfId="8" applyNumberFormat="1" applyFont="1" applyFill="1" applyBorder="1" applyAlignment="1" applyProtection="1">
      <alignment vertical="center"/>
      <protection locked="0"/>
    </xf>
    <xf numFmtId="190" fontId="6" fillId="0" borderId="59" xfId="8" applyNumberFormat="1" applyFont="1" applyFill="1" applyBorder="1" applyAlignment="1" applyProtection="1">
      <alignment vertical="center"/>
      <protection locked="0"/>
    </xf>
    <xf numFmtId="190" fontId="6" fillId="0" borderId="61" xfId="8" applyNumberFormat="1" applyFont="1" applyFill="1" applyBorder="1" applyAlignment="1" applyProtection="1">
      <alignment vertical="center"/>
      <protection locked="0"/>
    </xf>
    <xf numFmtId="185" fontId="6" fillId="0" borderId="68" xfId="8" applyNumberFormat="1" applyFont="1" applyFill="1" applyBorder="1" applyAlignment="1" applyProtection="1">
      <alignment vertical="center"/>
      <protection locked="0"/>
    </xf>
    <xf numFmtId="185" fontId="6" fillId="0" borderId="80" xfId="8" applyNumberFormat="1" applyFont="1" applyFill="1" applyBorder="1" applyAlignment="1" applyProtection="1">
      <alignment vertical="center"/>
      <protection locked="0"/>
    </xf>
    <xf numFmtId="185" fontId="23" fillId="0" borderId="68" xfId="8" applyNumberFormat="1" applyFont="1" applyFill="1" applyBorder="1" applyAlignment="1" applyProtection="1">
      <alignment vertical="center"/>
      <protection locked="0"/>
    </xf>
    <xf numFmtId="185" fontId="23" fillId="0" borderId="79" xfId="8" applyNumberFormat="1" applyFont="1" applyFill="1" applyBorder="1" applyAlignment="1" applyProtection="1">
      <alignment vertical="center"/>
      <protection locked="0"/>
    </xf>
    <xf numFmtId="190" fontId="6" fillId="0" borderId="32" xfId="8" applyNumberFormat="1" applyFont="1" applyFill="1" applyBorder="1" applyAlignment="1" applyProtection="1">
      <alignment vertical="center"/>
      <protection locked="0"/>
    </xf>
    <xf numFmtId="190" fontId="6" fillId="0" borderId="16" xfId="8" applyNumberFormat="1" applyFont="1" applyFill="1" applyBorder="1" applyAlignment="1" applyProtection="1">
      <alignment vertical="center"/>
      <protection locked="0"/>
    </xf>
    <xf numFmtId="185" fontId="6" fillId="0" borderId="32" xfId="8" applyNumberFormat="1" applyFont="1" applyFill="1" applyBorder="1" applyAlignment="1">
      <alignment vertical="center"/>
    </xf>
    <xf numFmtId="185" fontId="6" fillId="0" borderId="105" xfId="8" applyNumberFormat="1" applyFont="1" applyFill="1" applyBorder="1" applyAlignment="1">
      <alignment vertical="center"/>
    </xf>
    <xf numFmtId="185" fontId="23" fillId="0" borderId="32" xfId="8" applyNumberFormat="1" applyFont="1" applyFill="1" applyBorder="1" applyAlignment="1" applyProtection="1">
      <alignment vertical="center"/>
      <protection locked="0"/>
    </xf>
    <xf numFmtId="185" fontId="23" fillId="0" borderId="90" xfId="8" applyNumberFormat="1" applyFont="1" applyFill="1" applyBorder="1" applyAlignment="1">
      <alignment vertical="center"/>
    </xf>
    <xf numFmtId="185" fontId="6" fillId="0" borderId="63" xfId="8" applyNumberFormat="1" applyFont="1" applyFill="1" applyBorder="1" applyAlignment="1" applyProtection="1">
      <alignment vertical="center"/>
      <protection locked="0"/>
    </xf>
    <xf numFmtId="185" fontId="6" fillId="0" borderId="75" xfId="8" applyNumberFormat="1" applyFont="1" applyFill="1" applyBorder="1" applyAlignment="1" applyProtection="1">
      <alignment vertical="center"/>
      <protection locked="0"/>
    </xf>
    <xf numFmtId="185" fontId="23" fillId="0" borderId="122" xfId="8" applyNumberFormat="1" applyFont="1" applyFill="1" applyBorder="1" applyAlignment="1" applyProtection="1">
      <alignment vertical="center"/>
      <protection locked="0"/>
    </xf>
    <xf numFmtId="185" fontId="23" fillId="0" borderId="81" xfId="8" applyNumberFormat="1" applyFont="1" applyFill="1" applyBorder="1" applyAlignment="1" applyProtection="1">
      <alignment vertical="center"/>
      <protection locked="0"/>
    </xf>
    <xf numFmtId="0" fontId="6" fillId="0" borderId="133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85" fontId="6" fillId="0" borderId="131" xfId="8" applyNumberFormat="1" applyFont="1" applyFill="1" applyBorder="1" applyAlignment="1" applyProtection="1">
      <alignment horizontal="right" vertical="center"/>
      <protection locked="0"/>
    </xf>
    <xf numFmtId="185" fontId="6" fillId="0" borderId="94" xfId="8" applyNumberFormat="1" applyFont="1" applyFill="1" applyBorder="1" applyAlignment="1" applyProtection="1">
      <alignment horizontal="right" vertical="center"/>
      <protection locked="0"/>
    </xf>
    <xf numFmtId="185" fontId="23" fillId="0" borderId="131" xfId="8" applyNumberFormat="1" applyFont="1" applyFill="1" applyBorder="1" applyAlignment="1" applyProtection="1">
      <alignment horizontal="right" vertical="center"/>
      <protection locked="0"/>
    </xf>
    <xf numFmtId="185" fontId="23" fillId="0" borderId="34" xfId="8" applyNumberFormat="1" applyFont="1" applyFill="1" applyBorder="1" applyAlignment="1" applyProtection="1">
      <alignment horizontal="right" vertical="center"/>
      <protection locked="0"/>
    </xf>
    <xf numFmtId="190" fontId="6" fillId="0" borderId="165" xfId="8" applyNumberFormat="1" applyFont="1" applyFill="1" applyBorder="1" applyAlignment="1" applyProtection="1">
      <alignment vertical="center"/>
      <protection locked="0"/>
    </xf>
    <xf numFmtId="190" fontId="6" fillId="0" borderId="34" xfId="8" applyNumberFormat="1" applyFont="1" applyFill="1" applyBorder="1" applyAlignment="1" applyProtection="1">
      <alignment vertical="center"/>
      <protection locked="0"/>
    </xf>
    <xf numFmtId="41" fontId="6" fillId="0" borderId="131" xfId="8" applyNumberFormat="1" applyFont="1" applyFill="1" applyBorder="1" applyAlignment="1" applyProtection="1">
      <alignment vertical="center"/>
      <protection locked="0"/>
    </xf>
    <xf numFmtId="41" fontId="6" fillId="0" borderId="34" xfId="8" applyNumberFormat="1" applyFont="1" applyFill="1" applyBorder="1" applyAlignment="1" applyProtection="1">
      <alignment vertical="center"/>
      <protection locked="0"/>
    </xf>
    <xf numFmtId="0" fontId="6" fillId="0" borderId="76" xfId="2" applyFont="1" applyFill="1" applyBorder="1" applyAlignment="1">
      <alignment horizontal="center" vertical="center"/>
    </xf>
    <xf numFmtId="0" fontId="6" fillId="0" borderId="76" xfId="2" applyFont="1" applyBorder="1" applyAlignment="1">
      <alignment horizontal="center" vertical="center"/>
    </xf>
    <xf numFmtId="185" fontId="6" fillId="0" borderId="76" xfId="8" applyNumberFormat="1" applyFont="1" applyFill="1" applyBorder="1" applyAlignment="1" applyProtection="1">
      <alignment horizontal="right" vertical="center"/>
      <protection locked="0"/>
    </xf>
    <xf numFmtId="185" fontId="23" fillId="0" borderId="76" xfId="8" applyNumberFormat="1" applyFont="1" applyFill="1" applyBorder="1" applyAlignment="1" applyProtection="1">
      <alignment horizontal="right" vertical="center"/>
      <protection locked="0"/>
    </xf>
    <xf numFmtId="190" fontId="6" fillId="0" borderId="76" xfId="8" applyNumberFormat="1" applyFont="1" applyFill="1" applyBorder="1" applyAlignment="1" applyProtection="1">
      <alignment vertical="center"/>
      <protection locked="0"/>
    </xf>
    <xf numFmtId="41" fontId="6" fillId="0" borderId="76" xfId="8" applyNumberFormat="1" applyFont="1" applyFill="1" applyBorder="1" applyAlignment="1" applyProtection="1">
      <alignment vertical="center"/>
      <protection locked="0"/>
    </xf>
    <xf numFmtId="0" fontId="6" fillId="0" borderId="78" xfId="2" applyFont="1" applyFill="1" applyBorder="1" applyAlignment="1">
      <alignment horizontal="center" vertical="center"/>
    </xf>
    <xf numFmtId="185" fontId="6" fillId="0" borderId="59" xfId="8" applyNumberFormat="1" applyFont="1" applyFill="1" applyBorder="1" applyAlignment="1" applyProtection="1">
      <alignment horizontal="center" vertical="center"/>
      <protection locked="0"/>
    </xf>
    <xf numFmtId="185" fontId="6" fillId="0" borderId="60" xfId="8" applyNumberFormat="1" applyFont="1" applyFill="1" applyBorder="1" applyAlignment="1" applyProtection="1">
      <alignment horizontal="center" vertical="center"/>
      <protection locked="0"/>
    </xf>
    <xf numFmtId="190" fontId="6" fillId="0" borderId="60" xfId="8" applyNumberFormat="1" applyFont="1" applyFill="1" applyBorder="1" applyAlignment="1" applyProtection="1">
      <alignment horizontal="center" vertical="center"/>
      <protection locked="0"/>
    </xf>
    <xf numFmtId="190" fontId="6" fillId="0" borderId="61" xfId="8" applyNumberFormat="1" applyFont="1" applyFill="1" applyBorder="1" applyAlignment="1" applyProtection="1">
      <alignment horizontal="center" vertical="center" wrapText="1"/>
      <protection locked="0"/>
    </xf>
    <xf numFmtId="0" fontId="86" fillId="0" borderId="0" xfId="2" applyFont="1"/>
    <xf numFmtId="0" fontId="6" fillId="0" borderId="69" xfId="2" applyFont="1" applyFill="1" applyBorder="1" applyAlignment="1">
      <alignment horizontal="center" vertical="center" wrapText="1"/>
    </xf>
    <xf numFmtId="197" fontId="6" fillId="0" borderId="68" xfId="8" applyNumberFormat="1" applyFont="1" applyFill="1" applyBorder="1" applyAlignment="1" applyProtection="1">
      <alignment vertical="center"/>
      <protection locked="0"/>
    </xf>
    <xf numFmtId="197" fontId="6" fillId="0" borderId="69" xfId="8" applyNumberFormat="1" applyFont="1" applyFill="1" applyBorder="1" applyAlignment="1" applyProtection="1">
      <alignment vertical="center"/>
      <protection locked="0"/>
    </xf>
    <xf numFmtId="183" fontId="6" fillId="0" borderId="69" xfId="8" applyNumberFormat="1" applyFont="1" applyFill="1" applyBorder="1" applyAlignment="1" applyProtection="1">
      <alignment vertical="center"/>
      <protection locked="0"/>
    </xf>
    <xf numFmtId="197" fontId="6" fillId="0" borderId="70" xfId="8" applyNumberFormat="1" applyFont="1" applyFill="1" applyBorder="1" applyAlignment="1" applyProtection="1">
      <alignment vertical="center"/>
      <protection locked="0"/>
    </xf>
    <xf numFmtId="0" fontId="6" fillId="0" borderId="64" xfId="2" applyFont="1" applyFill="1" applyBorder="1" applyAlignment="1">
      <alignment horizontal="center" vertical="center" wrapText="1"/>
    </xf>
    <xf numFmtId="197" fontId="6" fillId="0" borderId="63" xfId="8" applyNumberFormat="1" applyFont="1" applyFill="1" applyBorder="1" applyAlignment="1" applyProtection="1">
      <alignment vertical="center"/>
      <protection locked="0"/>
    </xf>
    <xf numFmtId="197" fontId="6" fillId="0" borderId="64" xfId="8" applyNumberFormat="1" applyFont="1" applyFill="1" applyBorder="1" applyAlignment="1" applyProtection="1">
      <alignment vertical="center"/>
      <protection locked="0"/>
    </xf>
    <xf numFmtId="183" fontId="6" fillId="0" borderId="64" xfId="8" applyNumberFormat="1" applyFont="1" applyFill="1" applyBorder="1" applyAlignment="1" applyProtection="1">
      <alignment vertical="center"/>
      <protection locked="0"/>
    </xf>
    <xf numFmtId="197" fontId="6" fillId="0" borderId="65" xfId="8" applyNumberFormat="1" applyFont="1" applyFill="1" applyBorder="1" applyAlignment="1" applyProtection="1">
      <alignment vertical="center"/>
      <protection locked="0"/>
    </xf>
    <xf numFmtId="0" fontId="9" fillId="0" borderId="0" xfId="2" applyFont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185" fontId="18" fillId="0" borderId="0" xfId="8" applyNumberFormat="1" applyFont="1" applyFill="1" applyBorder="1" applyAlignment="1" applyProtection="1">
      <alignment vertical="center"/>
      <protection locked="0"/>
    </xf>
    <xf numFmtId="184" fontId="6" fillId="0" borderId="0" xfId="8" applyFont="1" applyFill="1" applyBorder="1" applyAlignment="1">
      <alignment vertical="center"/>
    </xf>
    <xf numFmtId="0" fontId="18" fillId="0" borderId="0" xfId="2" applyFont="1" applyFill="1" applyBorder="1"/>
    <xf numFmtId="0" fontId="22" fillId="0" borderId="0" xfId="2" applyFont="1" applyFill="1" applyAlignment="1">
      <alignment vertical="center"/>
    </xf>
    <xf numFmtId="0" fontId="88" fillId="0" borderId="0" xfId="17" applyFont="1" applyAlignment="1" applyProtection="1"/>
    <xf numFmtId="0" fontId="9" fillId="0" borderId="0" xfId="2" applyFont="1" applyAlignment="1">
      <alignment horizontal="center"/>
    </xf>
    <xf numFmtId="0" fontId="6" fillId="0" borderId="0" xfId="2" applyFont="1" applyAlignment="1">
      <alignment vertical="top"/>
    </xf>
    <xf numFmtId="0" fontId="6" fillId="0" borderId="77" xfId="2" applyFont="1" applyBorder="1" applyAlignment="1">
      <alignment horizontal="centerContinuous" vertical="center"/>
    </xf>
    <xf numFmtId="0" fontId="6" fillId="0" borderId="110" xfId="2" applyFont="1" applyBorder="1" applyAlignment="1">
      <alignment horizontal="centerContinuous" vertical="center"/>
    </xf>
    <xf numFmtId="0" fontId="6" fillId="0" borderId="63" xfId="2" applyFont="1" applyBorder="1" applyAlignment="1">
      <alignment horizontal="center" vertical="center"/>
    </xf>
    <xf numFmtId="0" fontId="6" fillId="0" borderId="84" xfId="2" quotePrefix="1" applyFont="1" applyFill="1" applyBorder="1" applyAlignment="1">
      <alignment horizontal="center" vertical="center"/>
    </xf>
    <xf numFmtId="189" fontId="6" fillId="0" borderId="31" xfId="2" quotePrefix="1" applyNumberFormat="1" applyFont="1" applyFill="1" applyBorder="1" applyAlignment="1">
      <alignment horizontal="center" vertical="center"/>
    </xf>
    <xf numFmtId="189" fontId="6" fillId="0" borderId="12" xfId="2" quotePrefix="1" applyNumberFormat="1" applyFont="1" applyFill="1" applyBorder="1" applyAlignment="1">
      <alignment horizontal="center" vertical="center"/>
    </xf>
    <xf numFmtId="189" fontId="6" fillId="0" borderId="13" xfId="2" quotePrefix="1" applyNumberFormat="1" applyFont="1" applyFill="1" applyBorder="1" applyAlignment="1">
      <alignment horizontal="center" vertical="center"/>
    </xf>
    <xf numFmtId="186" fontId="6" fillId="0" borderId="31" xfId="2" quotePrefix="1" applyNumberFormat="1" applyFont="1" applyFill="1" applyBorder="1" applyAlignment="1">
      <alignment horizontal="center" vertical="center"/>
    </xf>
    <xf numFmtId="186" fontId="6" fillId="0" borderId="12" xfId="2" quotePrefix="1" applyNumberFormat="1" applyFont="1" applyFill="1" applyBorder="1" applyAlignment="1">
      <alignment horizontal="center" vertical="center"/>
    </xf>
    <xf numFmtId="186" fontId="6" fillId="0" borderId="13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/>
    </xf>
    <xf numFmtId="0" fontId="6" fillId="0" borderId="107" xfId="2" quotePrefix="1" applyFont="1" applyFill="1" applyBorder="1" applyAlignment="1">
      <alignment horizontal="center" vertical="center"/>
    </xf>
    <xf numFmtId="0" fontId="6" fillId="0" borderId="124" xfId="2" quotePrefix="1" applyFont="1" applyFill="1" applyBorder="1" applyAlignment="1">
      <alignment horizontal="center" vertical="center"/>
    </xf>
    <xf numFmtId="189" fontId="6" fillId="0" borderId="32" xfId="2" quotePrefix="1" applyNumberFormat="1" applyFont="1" applyFill="1" applyBorder="1" applyAlignment="1">
      <alignment horizontal="center" vertical="center"/>
    </xf>
    <xf numFmtId="189" fontId="6" fillId="0" borderId="15" xfId="2" quotePrefix="1" applyNumberFormat="1" applyFont="1" applyFill="1" applyBorder="1" applyAlignment="1">
      <alignment horizontal="center" vertical="center"/>
    </xf>
    <xf numFmtId="189" fontId="6" fillId="0" borderId="16" xfId="2" quotePrefix="1" applyNumberFormat="1" applyFont="1" applyFill="1" applyBorder="1" applyAlignment="1">
      <alignment horizontal="center" vertical="center"/>
    </xf>
    <xf numFmtId="186" fontId="6" fillId="0" borderId="32" xfId="2" quotePrefix="1" applyNumberFormat="1" applyFont="1" applyFill="1" applyBorder="1" applyAlignment="1">
      <alignment horizontal="center" vertical="center"/>
    </xf>
    <xf numFmtId="186" fontId="6" fillId="0" borderId="15" xfId="2" quotePrefix="1" applyNumberFormat="1" applyFont="1" applyFill="1" applyBorder="1" applyAlignment="1">
      <alignment horizontal="center" vertical="center"/>
    </xf>
    <xf numFmtId="186" fontId="6" fillId="0" borderId="16" xfId="2" quotePrefix="1" applyNumberFormat="1" applyFont="1" applyFill="1" applyBorder="1" applyAlignment="1">
      <alignment horizontal="center" vertical="center"/>
    </xf>
    <xf numFmtId="0" fontId="6" fillId="0" borderId="119" xfId="2" applyFont="1" applyFill="1" applyBorder="1"/>
    <xf numFmtId="0" fontId="6" fillId="0" borderId="119" xfId="2" applyFont="1" applyFill="1" applyBorder="1" applyAlignment="1">
      <alignment horizontal="center"/>
    </xf>
    <xf numFmtId="189" fontId="6" fillId="0" borderId="124" xfId="2" quotePrefix="1" applyNumberFormat="1" applyFont="1" applyFill="1" applyBorder="1" applyAlignment="1">
      <alignment horizontal="center" vertical="center"/>
    </xf>
    <xf numFmtId="2" fontId="6" fillId="0" borderId="89" xfId="2" quotePrefix="1" applyNumberFormat="1" applyFont="1" applyFill="1" applyBorder="1" applyAlignment="1">
      <alignment horizontal="center" vertical="center"/>
    </xf>
    <xf numFmtId="2" fontId="6" fillId="0" borderId="140" xfId="2" quotePrefix="1" applyNumberFormat="1" applyFont="1" applyFill="1" applyBorder="1" applyAlignment="1">
      <alignment horizontal="center" vertical="center"/>
    </xf>
    <xf numFmtId="0" fontId="23" fillId="0" borderId="0" xfId="2" applyFont="1" applyFill="1" applyBorder="1"/>
    <xf numFmtId="0" fontId="23" fillId="0" borderId="0" xfId="2" applyFont="1" applyFill="1" applyBorder="1" applyAlignment="1">
      <alignment horizontal="center"/>
    </xf>
    <xf numFmtId="2" fontId="23" fillId="0" borderId="91" xfId="2" quotePrefix="1" applyNumberFormat="1" applyFont="1" applyFill="1" applyBorder="1" applyAlignment="1">
      <alignment horizontal="center" vertical="center"/>
    </xf>
    <xf numFmtId="189" fontId="23" fillId="0" borderId="68" xfId="2" quotePrefix="1" applyNumberFormat="1" applyFont="1" applyFill="1" applyBorder="1" applyAlignment="1">
      <alignment horizontal="center" vertical="center"/>
    </xf>
    <xf numFmtId="189" fontId="23" fillId="0" borderId="69" xfId="2" quotePrefix="1" applyNumberFormat="1" applyFont="1" applyFill="1" applyBorder="1" applyAlignment="1">
      <alignment horizontal="center" vertical="center"/>
    </xf>
    <xf numFmtId="189" fontId="23" fillId="0" borderId="70" xfId="2" quotePrefix="1" applyNumberFormat="1" applyFont="1" applyFill="1" applyBorder="1" applyAlignment="1">
      <alignment horizontal="center" vertical="center"/>
    </xf>
    <xf numFmtId="186" fontId="23" fillId="0" borderId="68" xfId="2" quotePrefix="1" applyNumberFormat="1" applyFont="1" applyFill="1" applyBorder="1" applyAlignment="1">
      <alignment horizontal="center" vertical="center"/>
    </xf>
    <xf numFmtId="186" fontId="23" fillId="0" borderId="69" xfId="2" quotePrefix="1" applyNumberFormat="1" applyFont="1" applyFill="1" applyBorder="1" applyAlignment="1">
      <alignment horizontal="center" vertical="center"/>
    </xf>
    <xf numFmtId="186" fontId="23" fillId="0" borderId="70" xfId="2" quotePrefix="1" applyNumberFormat="1" applyFont="1" applyFill="1" applyBorder="1" applyAlignment="1">
      <alignment horizontal="center" vertical="center"/>
    </xf>
    <xf numFmtId="0" fontId="23" fillId="0" borderId="85" xfId="2" applyFont="1" applyFill="1" applyBorder="1"/>
    <xf numFmtId="0" fontId="23" fillId="0" borderId="85" xfId="2" applyFont="1" applyFill="1" applyBorder="1" applyAlignment="1">
      <alignment horizontal="center"/>
    </xf>
    <xf numFmtId="189" fontId="6" fillId="0" borderId="88" xfId="2" quotePrefix="1" applyNumberFormat="1" applyFont="1" applyFill="1" applyBorder="1" applyAlignment="1">
      <alignment horizontal="center" vertical="center"/>
    </xf>
    <xf numFmtId="189" fontId="6" fillId="0" borderId="82" xfId="2" quotePrefix="1" applyNumberFormat="1" applyFont="1" applyFill="1" applyBorder="1" applyAlignment="1">
      <alignment horizontal="center" vertical="center"/>
    </xf>
    <xf numFmtId="186" fontId="6" fillId="0" borderId="88" xfId="2" quotePrefix="1" applyNumberFormat="1" applyFont="1" applyFill="1" applyBorder="1" applyAlignment="1">
      <alignment horizontal="center" vertical="center"/>
    </xf>
    <xf numFmtId="0" fontId="6" fillId="0" borderId="166" xfId="2" applyFont="1" applyFill="1" applyBorder="1"/>
    <xf numFmtId="0" fontId="6" fillId="0" borderId="166" xfId="2" applyFont="1" applyFill="1" applyBorder="1" applyAlignment="1">
      <alignment horizontal="center"/>
    </xf>
    <xf numFmtId="0" fontId="6" fillId="0" borderId="85" xfId="2" applyFont="1" applyFill="1" applyBorder="1"/>
    <xf numFmtId="0" fontId="6" fillId="0" borderId="85" xfId="2" applyFont="1" applyFill="1" applyBorder="1" applyAlignment="1">
      <alignment horizontal="center"/>
    </xf>
    <xf numFmtId="0" fontId="6" fillId="0" borderId="86" xfId="2" applyFont="1" applyFill="1" applyBorder="1"/>
    <xf numFmtId="0" fontId="6" fillId="0" borderId="86" xfId="2" applyFont="1" applyFill="1" applyBorder="1" applyAlignment="1">
      <alignment horizontal="center"/>
    </xf>
    <xf numFmtId="189" fontId="23" fillId="0" borderId="31" xfId="2" quotePrefix="1" applyNumberFormat="1" applyFont="1" applyFill="1" applyBorder="1" applyAlignment="1">
      <alignment horizontal="center" vertical="center"/>
    </xf>
    <xf numFmtId="189" fontId="23" fillId="0" borderId="12" xfId="2" quotePrefix="1" applyNumberFormat="1" applyFont="1" applyFill="1" applyBorder="1" applyAlignment="1">
      <alignment horizontal="center" vertical="center"/>
    </xf>
    <xf numFmtId="189" fontId="23" fillId="0" borderId="13" xfId="2" quotePrefix="1" applyNumberFormat="1" applyFont="1" applyFill="1" applyBorder="1" applyAlignment="1">
      <alignment horizontal="center" vertical="center"/>
    </xf>
    <xf numFmtId="186" fontId="23" fillId="0" borderId="31" xfId="2" quotePrefix="1" applyNumberFormat="1" applyFont="1" applyFill="1" applyBorder="1" applyAlignment="1">
      <alignment horizontal="center" vertical="center"/>
    </xf>
    <xf numFmtId="186" fontId="23" fillId="0" borderId="12" xfId="2" quotePrefix="1" applyNumberFormat="1" applyFont="1" applyFill="1" applyBorder="1" applyAlignment="1">
      <alignment horizontal="center" vertical="center"/>
    </xf>
    <xf numFmtId="186" fontId="23" fillId="0" borderId="13" xfId="2" quotePrefix="1" applyNumberFormat="1" applyFont="1" applyFill="1" applyBorder="1" applyAlignment="1">
      <alignment horizontal="center" vertical="center"/>
    </xf>
    <xf numFmtId="189" fontId="23" fillId="0" borderId="30" xfId="2" quotePrefix="1" applyNumberFormat="1" applyFont="1" applyFill="1" applyBorder="1" applyAlignment="1">
      <alignment horizontal="center" vertical="center"/>
    </xf>
    <xf numFmtId="189" fontId="23" fillId="0" borderId="10" xfId="2" quotePrefix="1" applyNumberFormat="1" applyFont="1" applyFill="1" applyBorder="1" applyAlignment="1">
      <alignment horizontal="center" vertical="center"/>
    </xf>
    <xf numFmtId="189" fontId="23" fillId="0" borderId="11" xfId="2" quotePrefix="1" applyNumberFormat="1" applyFont="1" applyFill="1" applyBorder="1" applyAlignment="1">
      <alignment horizontal="center" vertical="center"/>
    </xf>
    <xf numFmtId="186" fontId="23" fillId="0" borderId="30" xfId="2" quotePrefix="1" applyNumberFormat="1" applyFont="1" applyFill="1" applyBorder="1" applyAlignment="1">
      <alignment horizontal="center" vertical="center"/>
    </xf>
    <xf numFmtId="186" fontId="23" fillId="0" borderId="10" xfId="2" quotePrefix="1" applyNumberFormat="1" applyFont="1" applyFill="1" applyBorder="1" applyAlignment="1">
      <alignment horizontal="center" vertical="center"/>
    </xf>
    <xf numFmtId="186" fontId="23" fillId="0" borderId="11" xfId="2" quotePrefix="1" applyNumberFormat="1" applyFont="1" applyFill="1" applyBorder="1" applyAlignment="1">
      <alignment horizontal="center" vertical="center"/>
    </xf>
    <xf numFmtId="2" fontId="23" fillId="0" borderId="0" xfId="2" applyNumberFormat="1" applyFont="1" applyFill="1" applyBorder="1"/>
    <xf numFmtId="2" fontId="23" fillId="0" borderId="0" xfId="2" applyNumberFormat="1" applyFont="1" applyFill="1" applyBorder="1" applyAlignment="1">
      <alignment horizontal="center"/>
    </xf>
    <xf numFmtId="189" fontId="23" fillId="0" borderId="0" xfId="2" quotePrefix="1" applyNumberFormat="1" applyFont="1" applyFill="1" applyBorder="1" applyAlignment="1">
      <alignment vertical="center"/>
    </xf>
    <xf numFmtId="183" fontId="6" fillId="0" borderId="0" xfId="2" applyNumberFormat="1" applyFont="1" applyAlignment="1">
      <alignment horizontal="right" vertical="center"/>
    </xf>
    <xf numFmtId="176" fontId="6" fillId="0" borderId="31" xfId="2" quotePrefix="1" applyNumberFormat="1" applyFont="1" applyFill="1" applyBorder="1" applyAlignment="1">
      <alignment horizontal="center" vertical="center"/>
    </xf>
    <xf numFmtId="176" fontId="6" fillId="0" borderId="82" xfId="2" quotePrefix="1" applyNumberFormat="1" applyFont="1" applyFill="1" applyBorder="1" applyAlignment="1">
      <alignment horizontal="center" vertical="center"/>
    </xf>
    <xf numFmtId="176" fontId="6" fillId="0" borderId="12" xfId="2" quotePrefix="1" applyNumberFormat="1" applyFont="1" applyFill="1" applyBorder="1" applyAlignment="1">
      <alignment horizontal="center" vertical="center"/>
    </xf>
    <xf numFmtId="176" fontId="6" fillId="0" borderId="13" xfId="2" quotePrefix="1" applyNumberFormat="1" applyFont="1" applyFill="1" applyBorder="1" applyAlignment="1">
      <alignment horizontal="center" vertical="center"/>
    </xf>
    <xf numFmtId="183" fontId="6" fillId="0" borderId="31" xfId="2" quotePrefix="1" applyNumberFormat="1" applyFont="1" applyFill="1" applyBorder="1" applyAlignment="1">
      <alignment horizontal="center" vertical="center"/>
    </xf>
    <xf numFmtId="183" fontId="6" fillId="0" borderId="82" xfId="2" quotePrefix="1" applyNumberFormat="1" applyFont="1" applyFill="1" applyBorder="1" applyAlignment="1">
      <alignment horizontal="center" vertical="center"/>
    </xf>
    <xf numFmtId="183" fontId="6" fillId="0" borderId="12" xfId="2" quotePrefix="1" applyNumberFormat="1" applyFont="1" applyFill="1" applyBorder="1" applyAlignment="1">
      <alignment horizontal="center" vertical="center"/>
    </xf>
    <xf numFmtId="183" fontId="6" fillId="0" borderId="13" xfId="2" quotePrefix="1" applyNumberFormat="1" applyFont="1" applyFill="1" applyBorder="1" applyAlignment="1">
      <alignment horizontal="center" vertical="center"/>
    </xf>
    <xf numFmtId="0" fontId="6" fillId="0" borderId="91" xfId="2" quotePrefix="1" applyFont="1" applyFill="1" applyBorder="1" applyAlignment="1">
      <alignment horizontal="center" vertical="center"/>
    </xf>
    <xf numFmtId="176" fontId="6" fillId="0" borderId="68" xfId="2" quotePrefix="1" applyNumberFormat="1" applyFont="1" applyFill="1" applyBorder="1" applyAlignment="1">
      <alignment horizontal="center" vertical="center"/>
    </xf>
    <xf numFmtId="176" fontId="6" fillId="0" borderId="71" xfId="2" quotePrefix="1" applyNumberFormat="1" applyFont="1" applyFill="1" applyBorder="1" applyAlignment="1">
      <alignment horizontal="center" vertical="center"/>
    </xf>
    <xf numFmtId="176" fontId="6" fillId="0" borderId="69" xfId="2" quotePrefix="1" applyNumberFormat="1" applyFont="1" applyFill="1" applyBorder="1" applyAlignment="1">
      <alignment horizontal="center" vertical="center"/>
    </xf>
    <xf numFmtId="176" fontId="6" fillId="0" borderId="70" xfId="2" quotePrefix="1" applyNumberFormat="1" applyFont="1" applyFill="1" applyBorder="1" applyAlignment="1">
      <alignment horizontal="center" vertical="center"/>
    </xf>
    <xf numFmtId="183" fontId="6" fillId="0" borderId="68" xfId="2" quotePrefix="1" applyNumberFormat="1" applyFont="1" applyFill="1" applyBorder="1" applyAlignment="1">
      <alignment horizontal="center" vertical="center"/>
    </xf>
    <xf numFmtId="183" fontId="6" fillId="0" borderId="71" xfId="2" quotePrefix="1" applyNumberFormat="1" applyFont="1" applyFill="1" applyBorder="1" applyAlignment="1">
      <alignment horizontal="center" vertical="center"/>
    </xf>
    <xf numFmtId="183" fontId="6" fillId="0" borderId="69" xfId="2" quotePrefix="1" applyNumberFormat="1" applyFont="1" applyFill="1" applyBorder="1" applyAlignment="1">
      <alignment horizontal="center" vertical="center"/>
    </xf>
    <xf numFmtId="183" fontId="6" fillId="0" borderId="70" xfId="2" quotePrefix="1" applyNumberFormat="1" applyFont="1" applyFill="1" applyBorder="1" applyAlignment="1">
      <alignment horizontal="center" vertical="center"/>
    </xf>
    <xf numFmtId="2" fontId="6" fillId="0" borderId="91" xfId="2" quotePrefix="1" applyNumberFormat="1" applyFont="1" applyFill="1" applyBorder="1" applyAlignment="1">
      <alignment horizontal="center" vertical="center"/>
    </xf>
    <xf numFmtId="176" fontId="23" fillId="0" borderId="31" xfId="2" quotePrefix="1" applyNumberFormat="1" applyFont="1" applyFill="1" applyBorder="1" applyAlignment="1">
      <alignment horizontal="center" vertical="center"/>
    </xf>
    <xf numFmtId="176" fontId="23" fillId="0" borderId="82" xfId="2" quotePrefix="1" applyNumberFormat="1" applyFont="1" applyFill="1" applyBorder="1" applyAlignment="1">
      <alignment horizontal="center" vertical="center"/>
    </xf>
    <xf numFmtId="176" fontId="23" fillId="0" borderId="12" xfId="2" quotePrefix="1" applyNumberFormat="1" applyFont="1" applyFill="1" applyBorder="1" applyAlignment="1">
      <alignment horizontal="center" vertical="center"/>
    </xf>
    <xf numFmtId="176" fontId="23" fillId="0" borderId="13" xfId="2" quotePrefix="1" applyNumberFormat="1" applyFont="1" applyFill="1" applyBorder="1" applyAlignment="1">
      <alignment horizontal="center" vertical="center"/>
    </xf>
    <xf numFmtId="183" fontId="23" fillId="0" borderId="31" xfId="2" quotePrefix="1" applyNumberFormat="1" applyFont="1" applyFill="1" applyBorder="1" applyAlignment="1">
      <alignment horizontal="center" vertical="center"/>
    </xf>
    <xf numFmtId="183" fontId="23" fillId="0" borderId="82" xfId="2" quotePrefix="1" applyNumberFormat="1" applyFont="1" applyFill="1" applyBorder="1" applyAlignment="1">
      <alignment horizontal="center" vertical="center"/>
    </xf>
    <xf numFmtId="183" fontId="23" fillId="0" borderId="12" xfId="2" quotePrefix="1" applyNumberFormat="1" applyFont="1" applyFill="1" applyBorder="1" applyAlignment="1">
      <alignment horizontal="center" vertical="center"/>
    </xf>
    <xf numFmtId="183" fontId="23" fillId="0" borderId="13" xfId="2" quotePrefix="1" applyNumberFormat="1" applyFont="1" applyFill="1" applyBorder="1" applyAlignment="1">
      <alignment horizontal="center" vertical="center"/>
    </xf>
    <xf numFmtId="176" fontId="23" fillId="0" borderId="30" xfId="2" quotePrefix="1" applyNumberFormat="1" applyFont="1" applyFill="1" applyBorder="1" applyAlignment="1">
      <alignment horizontal="center" vertical="center"/>
    </xf>
    <xf numFmtId="176" fontId="23" fillId="0" borderId="47" xfId="2" quotePrefix="1" applyNumberFormat="1" applyFont="1" applyFill="1" applyBorder="1" applyAlignment="1">
      <alignment horizontal="center" vertical="center"/>
    </xf>
    <xf numFmtId="176" fontId="23" fillId="0" borderId="10" xfId="2" quotePrefix="1" applyNumberFormat="1" applyFont="1" applyFill="1" applyBorder="1" applyAlignment="1">
      <alignment horizontal="center" vertical="center"/>
    </xf>
    <xf numFmtId="176" fontId="23" fillId="0" borderId="11" xfId="2" quotePrefix="1" applyNumberFormat="1" applyFont="1" applyFill="1" applyBorder="1" applyAlignment="1">
      <alignment horizontal="center" vertical="center"/>
    </xf>
    <xf numFmtId="183" fontId="23" fillId="0" borderId="30" xfId="2" quotePrefix="1" applyNumberFormat="1" applyFont="1" applyFill="1" applyBorder="1" applyAlignment="1">
      <alignment horizontal="center" vertical="center"/>
    </xf>
    <xf numFmtId="183" fontId="23" fillId="0" borderId="47" xfId="2" quotePrefix="1" applyNumberFormat="1" applyFont="1" applyFill="1" applyBorder="1" applyAlignment="1">
      <alignment horizontal="center" vertical="center"/>
    </xf>
    <xf numFmtId="183" fontId="23" fillId="0" borderId="10" xfId="2" quotePrefix="1" applyNumberFormat="1" applyFont="1" applyFill="1" applyBorder="1" applyAlignment="1">
      <alignment horizontal="center" vertical="center"/>
    </xf>
    <xf numFmtId="183" fontId="23" fillId="0" borderId="11" xfId="2" quotePrefix="1" applyNumberFormat="1" applyFont="1" applyFill="1" applyBorder="1" applyAlignment="1">
      <alignment horizontal="center" vertical="center"/>
    </xf>
    <xf numFmtId="189" fontId="23" fillId="0" borderId="0" xfId="8" quotePrefix="1" applyNumberFormat="1" applyFont="1" applyFill="1" applyBorder="1" applyAlignment="1">
      <alignment vertical="center"/>
    </xf>
    <xf numFmtId="189" fontId="23" fillId="0" borderId="0" xfId="8" quotePrefix="1" applyNumberFormat="1" applyFont="1" applyFill="1" applyBorder="1" applyAlignment="1">
      <alignment horizontal="center" vertical="center"/>
    </xf>
    <xf numFmtId="186" fontId="23" fillId="0" borderId="0" xfId="8" quotePrefix="1" applyNumberFormat="1" applyFont="1" applyFill="1" applyBorder="1" applyAlignment="1">
      <alignment horizontal="center" vertical="center"/>
    </xf>
    <xf numFmtId="0" fontId="6" fillId="0" borderId="0" xfId="2" applyFont="1" applyAlignment="1"/>
    <xf numFmtId="0" fontId="6" fillId="0" borderId="78" xfId="2" applyFont="1" applyBorder="1" applyAlignment="1">
      <alignment horizontal="centerContinuous" vertical="center"/>
    </xf>
    <xf numFmtId="0" fontId="6" fillId="0" borderId="72" xfId="2" applyFont="1" applyBorder="1" applyAlignment="1">
      <alignment horizontal="centerContinuous" vertical="center"/>
    </xf>
    <xf numFmtId="186" fontId="6" fillId="0" borderId="107" xfId="8" applyNumberFormat="1" applyFont="1" applyFill="1" applyBorder="1" applyAlignment="1">
      <alignment horizontal="center" vertical="center"/>
    </xf>
    <xf numFmtId="186" fontId="6" fillId="0" borderId="12" xfId="8" applyNumberFormat="1" applyFont="1" applyFill="1" applyBorder="1" applyAlignment="1">
      <alignment horizontal="center" vertical="center"/>
    </xf>
    <xf numFmtId="186" fontId="6" fillId="0" borderId="13" xfId="8" applyNumberFormat="1" applyFont="1" applyFill="1" applyBorder="1" applyAlignment="1">
      <alignment horizontal="center" vertical="center"/>
    </xf>
    <xf numFmtId="0" fontId="23" fillId="0" borderId="0" xfId="2" applyFont="1" applyFill="1"/>
    <xf numFmtId="0" fontId="6" fillId="0" borderId="89" xfId="2" quotePrefix="1" applyFont="1" applyFill="1" applyBorder="1" applyAlignment="1">
      <alignment horizontal="center" vertical="center"/>
    </xf>
    <xf numFmtId="186" fontId="6" fillId="0" borderId="124" xfId="8" applyNumberFormat="1" applyFont="1" applyFill="1" applyBorder="1" applyAlignment="1">
      <alignment horizontal="center" vertical="center"/>
    </xf>
    <xf numFmtId="186" fontId="6" fillId="0" borderId="15" xfId="8" applyNumberFormat="1" applyFont="1" applyFill="1" applyBorder="1" applyAlignment="1">
      <alignment horizontal="center" vertical="center"/>
    </xf>
    <xf numFmtId="186" fontId="6" fillId="0" borderId="16" xfId="8" applyNumberFormat="1" applyFont="1" applyFill="1" applyBorder="1" applyAlignment="1">
      <alignment horizontal="center" vertical="center"/>
    </xf>
    <xf numFmtId="49" fontId="6" fillId="0" borderId="91" xfId="2" quotePrefix="1" applyNumberFormat="1" applyFont="1" applyFill="1" applyBorder="1" applyAlignment="1">
      <alignment horizontal="center" vertical="center"/>
    </xf>
    <xf numFmtId="186" fontId="6" fillId="0" borderId="106" xfId="8" applyNumberFormat="1" applyFont="1" applyFill="1" applyBorder="1" applyAlignment="1">
      <alignment horizontal="center" vertical="center"/>
    </xf>
    <xf numFmtId="186" fontId="6" fillId="0" borderId="69" xfId="8" applyNumberFormat="1" applyFont="1" applyFill="1" applyBorder="1" applyAlignment="1">
      <alignment horizontal="center" vertical="center"/>
    </xf>
    <xf numFmtId="186" fontId="6" fillId="0" borderId="70" xfId="8" applyNumberFormat="1" applyFont="1" applyFill="1" applyBorder="1" applyAlignment="1">
      <alignment horizontal="center" vertical="center"/>
    </xf>
    <xf numFmtId="186" fontId="23" fillId="0" borderId="106" xfId="8" applyNumberFormat="1" applyFont="1" applyFill="1" applyBorder="1" applyAlignment="1">
      <alignment horizontal="center" vertical="center"/>
    </xf>
    <xf numFmtId="186" fontId="23" fillId="0" borderId="69" xfId="8" applyNumberFormat="1" applyFont="1" applyFill="1" applyBorder="1" applyAlignment="1">
      <alignment horizontal="center" vertical="center"/>
    </xf>
    <xf numFmtId="186" fontId="23" fillId="0" borderId="70" xfId="8" applyNumberFormat="1" applyFont="1" applyFill="1" applyBorder="1" applyAlignment="1">
      <alignment horizontal="center" vertical="center"/>
    </xf>
    <xf numFmtId="0" fontId="9" fillId="0" borderId="85" xfId="2" applyFont="1" applyBorder="1"/>
    <xf numFmtId="186" fontId="23" fillId="0" borderId="107" xfId="8" applyNumberFormat="1" applyFont="1" applyFill="1" applyBorder="1" applyAlignment="1">
      <alignment horizontal="center" vertical="center"/>
    </xf>
    <xf numFmtId="186" fontId="23" fillId="0" borderId="12" xfId="8" applyNumberFormat="1" applyFont="1" applyFill="1" applyBorder="1" applyAlignment="1">
      <alignment horizontal="center" vertical="center"/>
    </xf>
    <xf numFmtId="186" fontId="23" fillId="0" borderId="13" xfId="8" applyNumberFormat="1" applyFont="1" applyFill="1" applyBorder="1" applyAlignment="1">
      <alignment horizontal="center" vertical="center"/>
    </xf>
    <xf numFmtId="186" fontId="23" fillId="0" borderId="108" xfId="8" applyNumberFormat="1" applyFont="1" applyFill="1" applyBorder="1" applyAlignment="1">
      <alignment horizontal="center" vertical="center"/>
    </xf>
    <xf numFmtId="186" fontId="23" fillId="0" borderId="10" xfId="8" applyNumberFormat="1" applyFont="1" applyFill="1" applyBorder="1" applyAlignment="1">
      <alignment horizontal="center" vertical="center"/>
    </xf>
    <xf numFmtId="186" fontId="23" fillId="0" borderId="11" xfId="8" applyNumberFormat="1" applyFont="1" applyFill="1" applyBorder="1" applyAlignment="1">
      <alignment horizontal="center" vertical="center"/>
    </xf>
    <xf numFmtId="0" fontId="6" fillId="0" borderId="41" xfId="2" applyFont="1" applyBorder="1"/>
    <xf numFmtId="0" fontId="16" fillId="0" borderId="0" xfId="2" applyFont="1" applyFill="1" applyBorder="1"/>
    <xf numFmtId="0" fontId="18" fillId="0" borderId="0" xfId="2" applyFont="1" applyFill="1" applyAlignment="1">
      <alignment vertical="center"/>
    </xf>
    <xf numFmtId="0" fontId="43" fillId="0" borderId="43" xfId="2" applyFont="1" applyFill="1" applyBorder="1" applyAlignment="1" applyProtection="1">
      <alignment horizontal="center" vertical="center"/>
      <protection locked="0"/>
    </xf>
    <xf numFmtId="0" fontId="43" fillId="0" borderId="33" xfId="2" applyFont="1" applyFill="1" applyBorder="1" applyAlignment="1">
      <alignment horizontal="center" vertical="center" wrapText="1"/>
    </xf>
    <xf numFmtId="194" fontId="43" fillId="0" borderId="19" xfId="2" applyNumberFormat="1" applyFont="1" applyFill="1" applyBorder="1" applyAlignment="1">
      <alignment horizontal="center" vertical="center" wrapText="1"/>
    </xf>
    <xf numFmtId="0" fontId="43" fillId="0" borderId="101" xfId="2" quotePrefix="1" applyFont="1" applyFill="1" applyBorder="1" applyAlignment="1" applyProtection="1">
      <alignment horizontal="center" vertical="center" wrapText="1"/>
      <protection locked="0"/>
    </xf>
    <xf numFmtId="176" fontId="44" fillId="0" borderId="74" xfId="2" applyNumberFormat="1" applyFont="1" applyFill="1" applyBorder="1" applyAlignment="1">
      <alignment horizontal="center" vertical="center"/>
    </xf>
    <xf numFmtId="181" fontId="44" fillId="0" borderId="100" xfId="8" applyNumberFormat="1" applyFont="1" applyFill="1" applyBorder="1" applyAlignment="1">
      <alignment horizontal="center" vertical="center"/>
    </xf>
    <xf numFmtId="194" fontId="43" fillId="0" borderId="59" xfId="8" applyNumberFormat="1" applyFont="1" applyFill="1" applyBorder="1" applyAlignment="1">
      <alignment horizontal="center" vertical="center"/>
    </xf>
    <xf numFmtId="184" fontId="43" fillId="0" borderId="73" xfId="8" applyFont="1" applyFill="1" applyBorder="1" applyAlignment="1">
      <alignment horizontal="center" vertical="center"/>
    </xf>
    <xf numFmtId="194" fontId="43" fillId="0" borderId="74" xfId="8" applyNumberFormat="1" applyFont="1" applyFill="1" applyBorder="1" applyAlignment="1">
      <alignment horizontal="center" vertical="center"/>
    </xf>
    <xf numFmtId="194" fontId="43" fillId="0" borderId="61" xfId="8" applyNumberFormat="1" applyFont="1" applyFill="1" applyBorder="1" applyAlignment="1">
      <alignment horizontal="center" vertical="center"/>
    </xf>
    <xf numFmtId="177" fontId="43" fillId="0" borderId="59" xfId="8" applyNumberFormat="1" applyFont="1" applyFill="1" applyBorder="1" applyAlignment="1" applyProtection="1">
      <alignment vertical="center"/>
      <protection locked="0"/>
    </xf>
    <xf numFmtId="177" fontId="43" fillId="0" borderId="73" xfId="8" applyNumberFormat="1" applyFont="1" applyFill="1" applyBorder="1" applyAlignment="1" applyProtection="1">
      <alignment vertical="center"/>
      <protection locked="0"/>
    </xf>
    <xf numFmtId="177" fontId="43" fillId="0" borderId="100" xfId="8" applyNumberFormat="1" applyFont="1" applyFill="1" applyBorder="1" applyAlignment="1" applyProtection="1">
      <alignment vertical="center"/>
      <protection locked="0"/>
    </xf>
    <xf numFmtId="176" fontId="44" fillId="0" borderId="106" xfId="2" applyNumberFormat="1" applyFont="1" applyFill="1" applyBorder="1" applyAlignment="1">
      <alignment horizontal="center" vertical="center"/>
    </xf>
    <xf numFmtId="181" fontId="44" fillId="0" borderId="91" xfId="8" applyNumberFormat="1" applyFont="1" applyFill="1" applyBorder="1" applyAlignment="1">
      <alignment horizontal="center" vertical="center"/>
    </xf>
    <xf numFmtId="194" fontId="43" fillId="0" borderId="68" xfId="8" applyNumberFormat="1" applyFont="1" applyFill="1" applyBorder="1" applyAlignment="1">
      <alignment horizontal="center" vertical="center"/>
    </xf>
    <xf numFmtId="184" fontId="43" fillId="0" borderId="80" xfId="8" applyFont="1" applyFill="1" applyBorder="1" applyAlignment="1">
      <alignment horizontal="center" vertical="center"/>
    </xf>
    <xf numFmtId="194" fontId="43" fillId="0" borderId="106" xfId="8" applyNumberFormat="1" applyFont="1" applyFill="1" applyBorder="1" applyAlignment="1">
      <alignment horizontal="center" vertical="center"/>
    </xf>
    <xf numFmtId="194" fontId="43" fillId="0" borderId="70" xfId="8" applyNumberFormat="1" applyFont="1" applyFill="1" applyBorder="1" applyAlignment="1">
      <alignment horizontal="center" vertical="center"/>
    </xf>
    <xf numFmtId="177" fontId="43" fillId="0" borderId="33" xfId="8" applyNumberFormat="1" applyFont="1" applyFill="1" applyBorder="1" applyAlignment="1" applyProtection="1">
      <alignment vertical="center"/>
      <protection locked="0"/>
    </xf>
    <xf numFmtId="177" fontId="43" fillId="0" borderId="70" xfId="8" applyNumberFormat="1" applyFont="1" applyFill="1" applyBorder="1" applyAlignment="1" applyProtection="1">
      <alignment vertical="center"/>
      <protection locked="0"/>
    </xf>
    <xf numFmtId="177" fontId="43" fillId="0" borderId="91" xfId="8" applyNumberFormat="1" applyFont="1" applyFill="1" applyBorder="1" applyAlignment="1" applyProtection="1">
      <alignment vertical="center"/>
      <protection locked="0"/>
    </xf>
    <xf numFmtId="0" fontId="18" fillId="0" borderId="137" xfId="2" applyFont="1" applyFill="1" applyBorder="1" applyAlignment="1">
      <alignment vertical="center"/>
    </xf>
    <xf numFmtId="194" fontId="18" fillId="0" borderId="137" xfId="2" applyNumberFormat="1" applyFont="1" applyFill="1" applyBorder="1" applyAlignment="1">
      <alignment vertical="center"/>
    </xf>
    <xf numFmtId="41" fontId="18" fillId="0" borderId="137" xfId="2" applyNumberFormat="1" applyFont="1" applyFill="1" applyBorder="1" applyAlignment="1">
      <alignment vertical="center"/>
    </xf>
    <xf numFmtId="177" fontId="43" fillId="0" borderId="68" xfId="8" applyNumberFormat="1" applyFont="1" applyFill="1" applyBorder="1" applyAlignment="1" applyProtection="1">
      <alignment vertical="center"/>
      <protection locked="0"/>
    </xf>
    <xf numFmtId="176" fontId="44" fillId="0" borderId="122" xfId="2" applyNumberFormat="1" applyFont="1" applyFill="1" applyBorder="1" applyAlignment="1">
      <alignment horizontal="center" vertical="center"/>
    </xf>
    <xf numFmtId="181" fontId="44" fillId="0" borderId="101" xfId="8" applyNumberFormat="1" applyFont="1" applyFill="1" applyBorder="1" applyAlignment="1">
      <alignment horizontal="center" vertical="center"/>
    </xf>
    <xf numFmtId="185" fontId="43" fillId="0" borderId="63" xfId="8" applyNumberFormat="1" applyFont="1" applyFill="1" applyBorder="1" applyAlignment="1">
      <alignment horizontal="center" vertical="center"/>
    </xf>
    <xf numFmtId="185" fontId="43" fillId="0" borderId="75" xfId="8" applyNumberFormat="1" applyFont="1" applyFill="1" applyBorder="1" applyAlignment="1">
      <alignment horizontal="center" vertical="center"/>
    </xf>
    <xf numFmtId="185" fontId="43" fillId="0" borderId="122" xfId="8" applyNumberFormat="1" applyFont="1" applyFill="1" applyBorder="1" applyAlignment="1">
      <alignment horizontal="center" vertical="center"/>
    </xf>
    <xf numFmtId="185" fontId="43" fillId="0" borderId="65" xfId="8" applyNumberFormat="1" applyFont="1" applyFill="1" applyBorder="1" applyAlignment="1">
      <alignment horizontal="center" vertical="center"/>
    </xf>
    <xf numFmtId="177" fontId="43" fillId="0" borderId="30" xfId="8" applyNumberFormat="1" applyFont="1" applyFill="1" applyBorder="1" applyAlignment="1" applyProtection="1">
      <alignment vertical="center"/>
      <protection locked="0"/>
    </xf>
    <xf numFmtId="177" fontId="43" fillId="0" borderId="65" xfId="8" applyNumberFormat="1" applyFont="1" applyFill="1" applyBorder="1" applyAlignment="1" applyProtection="1">
      <alignment vertical="center"/>
      <protection locked="0"/>
    </xf>
    <xf numFmtId="187" fontId="43" fillId="0" borderId="101" xfId="8" applyNumberFormat="1" applyFont="1" applyFill="1" applyBorder="1" applyAlignment="1">
      <alignment horizontal="right" vertical="center"/>
    </xf>
    <xf numFmtId="3" fontId="18" fillId="0" borderId="137" xfId="2" applyNumberFormat="1" applyFont="1" applyFill="1" applyBorder="1" applyAlignment="1">
      <alignment vertical="center"/>
    </xf>
    <xf numFmtId="194" fontId="43" fillId="0" borderId="26" xfId="8" applyNumberFormat="1" applyFont="1" applyFill="1" applyBorder="1" applyAlignment="1">
      <alignment horizontal="center" vertical="center"/>
    </xf>
    <xf numFmtId="194" fontId="43" fillId="0" borderId="96" xfId="8" applyNumberFormat="1" applyFont="1" applyFill="1" applyBorder="1" applyAlignment="1">
      <alignment horizontal="center" vertical="center"/>
    </xf>
    <xf numFmtId="194" fontId="43" fillId="0" borderId="77" xfId="8" applyNumberFormat="1" applyFont="1" applyFill="1" applyBorder="1" applyAlignment="1">
      <alignment horizontal="center" vertical="center"/>
    </xf>
    <xf numFmtId="194" fontId="43" fillId="0" borderId="29" xfId="8" applyNumberFormat="1" applyFont="1" applyFill="1" applyBorder="1" applyAlignment="1">
      <alignment horizontal="center" vertical="center"/>
    </xf>
    <xf numFmtId="177" fontId="43" fillId="0" borderId="31" xfId="8" applyNumberFormat="1" applyFont="1" applyFill="1" applyBorder="1" applyAlignment="1" applyProtection="1">
      <alignment vertical="center"/>
      <protection locked="0"/>
    </xf>
    <xf numFmtId="177" fontId="43" fillId="0" borderId="102" xfId="8" applyNumberFormat="1" applyFont="1" applyFill="1" applyBorder="1" applyAlignment="1" applyProtection="1">
      <alignment vertical="center"/>
      <protection locked="0"/>
    </xf>
    <xf numFmtId="194" fontId="43" fillId="0" borderId="80" xfId="8" applyNumberFormat="1" applyFont="1" applyFill="1" applyBorder="1" applyAlignment="1">
      <alignment horizontal="center" vertical="center"/>
    </xf>
    <xf numFmtId="177" fontId="43" fillId="0" borderId="115" xfId="8" applyNumberFormat="1" applyFont="1" applyFill="1" applyBorder="1" applyAlignment="1" applyProtection="1">
      <alignment vertical="center"/>
      <protection locked="0"/>
    </xf>
    <xf numFmtId="177" fontId="43" fillId="0" borderId="89" xfId="8" applyNumberFormat="1" applyFont="1" applyFill="1" applyBorder="1" applyAlignment="1" applyProtection="1">
      <alignment vertical="center"/>
      <protection locked="0"/>
    </xf>
    <xf numFmtId="41" fontId="43" fillId="0" borderId="68" xfId="8" applyNumberFormat="1" applyFont="1" applyFill="1" applyBorder="1" applyAlignment="1">
      <alignment horizontal="right" vertical="center"/>
    </xf>
    <xf numFmtId="185" fontId="43" fillId="0" borderId="108" xfId="8" applyNumberFormat="1" applyFont="1" applyFill="1" applyBorder="1" applyAlignment="1">
      <alignment horizontal="right" vertical="center"/>
    </xf>
    <xf numFmtId="177" fontId="43" fillId="0" borderId="63" xfId="8" applyNumberFormat="1" applyFont="1" applyFill="1" applyBorder="1" applyAlignment="1" applyProtection="1">
      <alignment vertical="center"/>
      <protection locked="0"/>
    </xf>
    <xf numFmtId="177" fontId="43" fillId="0" borderId="75" xfId="8" applyNumberFormat="1" applyFont="1" applyFill="1" applyBorder="1" applyAlignment="1" applyProtection="1">
      <alignment vertical="center"/>
      <protection locked="0"/>
    </xf>
    <xf numFmtId="187" fontId="43" fillId="0" borderId="59" xfId="8" applyNumberFormat="1" applyFont="1" applyFill="1" applyBorder="1" applyAlignment="1">
      <alignment horizontal="center" vertical="center"/>
    </xf>
    <xf numFmtId="187" fontId="43" fillId="0" borderId="73" xfId="8" applyNumberFormat="1" applyFont="1" applyFill="1" applyBorder="1" applyAlignment="1">
      <alignment horizontal="center" vertical="center"/>
    </xf>
    <xf numFmtId="184" fontId="18" fillId="0" borderId="137" xfId="8" applyFont="1" applyFill="1" applyBorder="1" applyAlignment="1">
      <alignment vertical="center"/>
    </xf>
    <xf numFmtId="177" fontId="43" fillId="0" borderId="68" xfId="8" applyNumberFormat="1" applyFont="1" applyFill="1" applyBorder="1" applyAlignment="1">
      <alignment vertical="center"/>
    </xf>
    <xf numFmtId="177" fontId="43" fillId="0" borderId="80" xfId="8" applyNumberFormat="1" applyFont="1" applyFill="1" applyBorder="1" applyAlignment="1">
      <alignment vertical="center"/>
    </xf>
    <xf numFmtId="185" fontId="43" fillId="0" borderId="81" xfId="8" applyNumberFormat="1" applyFont="1" applyFill="1" applyBorder="1" applyAlignment="1">
      <alignment horizontal="center" vertical="center"/>
    </xf>
    <xf numFmtId="177" fontId="43" fillId="0" borderId="63" xfId="8" applyNumberFormat="1" applyFont="1" applyFill="1" applyBorder="1" applyAlignment="1">
      <alignment vertical="center"/>
    </xf>
    <xf numFmtId="177" fontId="43" fillId="0" borderId="75" xfId="8" applyNumberFormat="1" applyFont="1" applyFill="1" applyBorder="1" applyAlignment="1">
      <alignment vertical="center"/>
    </xf>
    <xf numFmtId="177" fontId="43" fillId="0" borderId="82" xfId="8" applyNumberFormat="1" applyFont="1" applyFill="1" applyBorder="1" applyAlignment="1" applyProtection="1">
      <alignment vertical="center"/>
      <protection locked="0"/>
    </xf>
    <xf numFmtId="0" fontId="71" fillId="0" borderId="0" xfId="2" applyFont="1" applyFill="1" applyAlignment="1">
      <alignment vertical="center"/>
    </xf>
    <xf numFmtId="190" fontId="43" fillId="0" borderId="68" xfId="8" applyNumberFormat="1" applyFont="1" applyFill="1" applyBorder="1" applyAlignment="1" applyProtection="1">
      <alignment vertical="center"/>
      <protection locked="0"/>
    </xf>
    <xf numFmtId="190" fontId="43" fillId="0" borderId="80" xfId="8" applyNumberFormat="1" applyFont="1" applyFill="1" applyBorder="1" applyAlignment="1" applyProtection="1">
      <alignment vertical="center"/>
      <protection locked="0"/>
    </xf>
    <xf numFmtId="184" fontId="43" fillId="0" borderId="85" xfId="8" applyFont="1" applyFill="1" applyBorder="1" applyAlignment="1">
      <alignment horizontal="center" vertical="center"/>
    </xf>
    <xf numFmtId="194" fontId="43" fillId="0" borderId="106" xfId="8" applyNumberFormat="1" applyFont="1" applyFill="1" applyBorder="1" applyAlignment="1">
      <alignment horizontal="right" vertical="center"/>
    </xf>
    <xf numFmtId="185" fontId="43" fillId="12" borderId="63" xfId="8" applyNumberFormat="1" applyFont="1" applyFill="1" applyBorder="1" applyAlignment="1">
      <alignment horizontal="right" vertical="center"/>
    </xf>
    <xf numFmtId="185" fontId="43" fillId="12" borderId="104" xfId="8" applyNumberFormat="1" applyFont="1" applyFill="1" applyBorder="1" applyAlignment="1">
      <alignment horizontal="right" vertical="center"/>
    </xf>
    <xf numFmtId="202" fontId="43" fillId="0" borderId="59" xfId="8" applyNumberFormat="1" applyFont="1" applyFill="1" applyBorder="1" applyAlignment="1" applyProtection="1">
      <alignment vertical="center"/>
      <protection locked="0"/>
    </xf>
    <xf numFmtId="202" fontId="43" fillId="0" borderId="73" xfId="8" applyNumberFormat="1" applyFont="1" applyFill="1" applyBorder="1" applyAlignment="1" applyProtection="1">
      <alignment vertical="center"/>
      <protection locked="0"/>
    </xf>
    <xf numFmtId="190" fontId="43" fillId="0" borderId="33" xfId="8" applyNumberFormat="1" applyFont="1" applyFill="1" applyBorder="1" applyAlignment="1" applyProtection="1">
      <alignment vertical="center"/>
      <protection locked="0"/>
    </xf>
    <xf numFmtId="190" fontId="43" fillId="0" borderId="115" xfId="8" applyNumberFormat="1" applyFont="1" applyFill="1" applyBorder="1" applyAlignment="1" applyProtection="1">
      <alignment vertical="center"/>
      <protection locked="0"/>
    </xf>
    <xf numFmtId="41" fontId="43" fillId="0" borderId="59" xfId="8" applyNumberFormat="1" applyFont="1" applyFill="1" applyBorder="1" applyAlignment="1">
      <alignment horizontal="right" vertical="center"/>
    </xf>
    <xf numFmtId="177" fontId="43" fillId="0" borderId="59" xfId="8" applyNumberFormat="1" applyFont="1" applyFill="1" applyBorder="1" applyAlignment="1" applyProtection="1">
      <alignment horizontal="right" vertical="center"/>
      <protection locked="0"/>
    </xf>
    <xf numFmtId="177" fontId="43" fillId="0" borderId="61" xfId="8" applyNumberFormat="1" applyFont="1" applyFill="1" applyBorder="1" applyAlignment="1" applyProtection="1">
      <alignment horizontal="right" vertical="center"/>
      <protection locked="0"/>
    </xf>
    <xf numFmtId="177" fontId="43" fillId="0" borderId="68" xfId="8" applyNumberFormat="1" applyFont="1" applyFill="1" applyBorder="1" applyAlignment="1" applyProtection="1">
      <alignment horizontal="right" vertical="center"/>
      <protection locked="0"/>
    </xf>
    <xf numFmtId="177" fontId="43" fillId="0" borderId="70" xfId="8" applyNumberFormat="1" applyFont="1" applyFill="1" applyBorder="1" applyAlignment="1" applyProtection="1">
      <alignment horizontal="right" vertical="center"/>
      <protection locked="0"/>
    </xf>
    <xf numFmtId="194" fontId="43" fillId="0" borderId="68" xfId="8" applyNumberFormat="1" applyFont="1" applyFill="1" applyBorder="1" applyAlignment="1">
      <alignment horizontal="right" vertical="center"/>
    </xf>
    <xf numFmtId="184" fontId="43" fillId="0" borderId="80" xfId="8" applyFont="1" applyFill="1" applyBorder="1" applyAlignment="1">
      <alignment horizontal="right" vertical="center"/>
    </xf>
    <xf numFmtId="41" fontId="43" fillId="0" borderId="106" xfId="8" applyNumberFormat="1" applyFont="1" applyFill="1" applyBorder="1" applyAlignment="1" applyProtection="1">
      <alignment horizontal="center" vertical="center"/>
      <protection locked="0"/>
    </xf>
    <xf numFmtId="41" fontId="43" fillId="0" borderId="91" xfId="8" applyNumberFormat="1" applyFont="1" applyFill="1" applyBorder="1" applyAlignment="1" applyProtection="1">
      <alignment horizontal="center" vertical="center"/>
      <protection locked="0"/>
    </xf>
    <xf numFmtId="185" fontId="43" fillId="0" borderId="63" xfId="8" applyNumberFormat="1" applyFont="1" applyFill="1" applyBorder="1" applyAlignment="1">
      <alignment horizontal="right" vertical="center"/>
    </xf>
    <xf numFmtId="185" fontId="43" fillId="0" borderId="75" xfId="8" applyNumberFormat="1" applyFont="1" applyFill="1" applyBorder="1" applyAlignment="1">
      <alignment horizontal="right" vertical="center"/>
    </xf>
    <xf numFmtId="177" fontId="43" fillId="0" borderId="63" xfId="8" applyNumberFormat="1" applyFont="1" applyFill="1" applyBorder="1" applyAlignment="1" applyProtection="1">
      <alignment horizontal="right" vertical="center"/>
      <protection locked="0"/>
    </xf>
    <xf numFmtId="177" fontId="43" fillId="0" borderId="65" xfId="8" applyNumberFormat="1" applyFont="1" applyFill="1" applyBorder="1" applyAlignment="1" applyProtection="1">
      <alignment horizontal="right" vertical="center"/>
      <protection locked="0"/>
    </xf>
    <xf numFmtId="41" fontId="43" fillId="0" borderId="101" xfId="8" applyNumberFormat="1" applyFont="1" applyFill="1" applyBorder="1" applyAlignment="1" applyProtection="1">
      <alignment horizontal="center" vertical="center"/>
      <protection locked="0"/>
    </xf>
    <xf numFmtId="203" fontId="43" fillId="12" borderId="63" xfId="8" applyNumberFormat="1" applyFont="1" applyFill="1" applyBorder="1" applyAlignment="1">
      <alignment horizontal="center" vertical="center"/>
    </xf>
    <xf numFmtId="203" fontId="43" fillId="12" borderId="75" xfId="8" applyNumberFormat="1" applyFont="1" applyFill="1" applyBorder="1" applyAlignment="1">
      <alignment horizontal="center" vertical="center"/>
    </xf>
    <xf numFmtId="203" fontId="43" fillId="12" borderId="122" xfId="8" applyNumberFormat="1" applyFont="1" applyFill="1" applyBorder="1" applyAlignment="1">
      <alignment horizontal="center" vertical="center"/>
    </xf>
    <xf numFmtId="203" fontId="43" fillId="12" borderId="65" xfId="8" applyNumberFormat="1" applyFont="1" applyFill="1" applyBorder="1" applyAlignment="1">
      <alignment horizontal="center" vertical="center"/>
    </xf>
    <xf numFmtId="190" fontId="43" fillId="0" borderId="63" xfId="8" applyNumberFormat="1" applyFont="1" applyFill="1" applyBorder="1" applyAlignment="1" applyProtection="1">
      <alignment vertical="center"/>
      <protection locked="0"/>
    </xf>
    <xf numFmtId="190" fontId="43" fillId="0" borderId="75" xfId="8" applyNumberFormat="1" applyFont="1" applyFill="1" applyBorder="1" applyAlignment="1" applyProtection="1">
      <alignment vertical="center"/>
      <protection locked="0"/>
    </xf>
    <xf numFmtId="177" fontId="43" fillId="0" borderId="32" xfId="8" applyNumberFormat="1" applyFont="1" applyFill="1" applyBorder="1" applyAlignment="1" applyProtection="1">
      <alignment vertical="center"/>
      <protection locked="0"/>
    </xf>
    <xf numFmtId="3" fontId="18" fillId="0" borderId="0" xfId="2" applyNumberFormat="1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41" fontId="43" fillId="0" borderId="68" xfId="8" applyNumberFormat="1" applyFont="1" applyFill="1" applyBorder="1" applyAlignment="1" applyProtection="1">
      <alignment horizontal="right" vertical="center"/>
      <protection locked="0"/>
    </xf>
    <xf numFmtId="184" fontId="43" fillId="0" borderId="80" xfId="8" applyNumberFormat="1" applyFont="1" applyFill="1" applyBorder="1" applyAlignment="1" applyProtection="1">
      <alignment horizontal="center" vertical="center"/>
      <protection locked="0"/>
    </xf>
    <xf numFmtId="177" fontId="43" fillId="0" borderId="33" xfId="8" applyNumberFormat="1" applyFont="1" applyFill="1" applyBorder="1" applyAlignment="1" applyProtection="1">
      <alignment horizontal="right" vertical="center"/>
      <protection locked="0"/>
    </xf>
    <xf numFmtId="194" fontId="18" fillId="0" borderId="0" xfId="2" applyNumberFormat="1" applyFont="1" applyFill="1" applyBorder="1" applyAlignment="1">
      <alignment vertical="center"/>
    </xf>
    <xf numFmtId="177" fontId="43" fillId="0" borderId="30" xfId="8" applyNumberFormat="1" applyFont="1" applyFill="1" applyBorder="1" applyAlignment="1" applyProtection="1">
      <alignment horizontal="right" vertical="center"/>
      <protection locked="0"/>
    </xf>
    <xf numFmtId="41" fontId="43" fillId="0" borderId="68" xfId="8" applyNumberFormat="1" applyFont="1" applyFill="1" applyBorder="1" applyAlignment="1" applyProtection="1">
      <alignment horizontal="center" vertical="center"/>
      <protection locked="0"/>
    </xf>
    <xf numFmtId="185" fontId="43" fillId="0" borderId="81" xfId="8" applyNumberFormat="1" applyFont="1" applyFill="1" applyBorder="1" applyAlignment="1">
      <alignment horizontal="right" vertical="center"/>
    </xf>
    <xf numFmtId="194" fontId="43" fillId="0" borderId="74" xfId="8" applyNumberFormat="1" applyFont="1" applyFill="1" applyBorder="1" applyAlignment="1">
      <alignment horizontal="right" vertical="center"/>
    </xf>
    <xf numFmtId="194" fontId="43" fillId="0" borderId="61" xfId="8" applyNumberFormat="1" applyFont="1" applyFill="1" applyBorder="1" applyAlignment="1">
      <alignment horizontal="right" vertical="center"/>
    </xf>
    <xf numFmtId="177" fontId="43" fillId="0" borderId="61" xfId="8" applyNumberFormat="1" applyFont="1" applyFill="1" applyBorder="1" applyAlignment="1" applyProtection="1">
      <alignment vertical="center"/>
      <protection locked="0"/>
    </xf>
    <xf numFmtId="194" fontId="43" fillId="0" borderId="70" xfId="8" applyNumberFormat="1" applyFont="1" applyFill="1" applyBorder="1" applyAlignment="1">
      <alignment horizontal="right" vertical="center"/>
    </xf>
    <xf numFmtId="190" fontId="43" fillId="0" borderId="70" xfId="8" applyNumberFormat="1" applyFont="1" applyFill="1" applyBorder="1" applyAlignment="1" applyProtection="1">
      <alignment vertical="center"/>
      <protection locked="0"/>
    </xf>
    <xf numFmtId="176" fontId="43" fillId="0" borderId="68" xfId="8" applyNumberFormat="1" applyFont="1" applyFill="1" applyBorder="1" applyAlignment="1">
      <alignment horizontal="right" vertical="center"/>
    </xf>
    <xf numFmtId="176" fontId="43" fillId="0" borderId="80" xfId="8" applyNumberFormat="1" applyFont="1" applyFill="1" applyBorder="1" applyAlignment="1">
      <alignment horizontal="right" vertical="center"/>
    </xf>
    <xf numFmtId="176" fontId="43" fillId="0" borderId="106" xfId="8" applyNumberFormat="1" applyFont="1" applyFill="1" applyBorder="1" applyAlignment="1">
      <alignment horizontal="right" vertical="center"/>
    </xf>
    <xf numFmtId="176" fontId="43" fillId="0" borderId="70" xfId="8" applyNumberFormat="1" applyFont="1" applyFill="1" applyBorder="1" applyAlignment="1">
      <alignment horizontal="right" vertical="center"/>
    </xf>
    <xf numFmtId="194" fontId="43" fillId="0" borderId="80" xfId="8" applyNumberFormat="1" applyFont="1" applyFill="1" applyBorder="1" applyAlignment="1">
      <alignment horizontal="right" vertical="center"/>
    </xf>
    <xf numFmtId="203" fontId="43" fillId="0" borderId="122" xfId="8" applyNumberFormat="1" applyFont="1" applyFill="1" applyBorder="1" applyAlignment="1">
      <alignment horizontal="center" vertical="center"/>
    </xf>
    <xf numFmtId="203" fontId="43" fillId="0" borderId="65" xfId="8" applyNumberFormat="1" applyFont="1" applyFill="1" applyBorder="1" applyAlignment="1">
      <alignment horizontal="center" vertical="center"/>
    </xf>
    <xf numFmtId="190" fontId="43" fillId="0" borderId="65" xfId="8" applyNumberFormat="1" applyFont="1" applyFill="1" applyBorder="1" applyAlignment="1" applyProtection="1">
      <alignment vertical="center"/>
      <protection locked="0"/>
    </xf>
    <xf numFmtId="0" fontId="21" fillId="0" borderId="0" xfId="2" applyFont="1" applyFill="1" applyBorder="1" applyAlignment="1">
      <alignment horizontal="center" vertical="center"/>
    </xf>
    <xf numFmtId="181" fontId="6" fillId="0" borderId="0" xfId="8" applyNumberFormat="1" applyFont="1" applyFill="1" applyBorder="1" applyAlignment="1">
      <alignment horizontal="center" vertical="center"/>
    </xf>
    <xf numFmtId="203" fontId="6" fillId="0" borderId="0" xfId="8" applyNumberFormat="1" applyFont="1" applyFill="1" applyBorder="1" applyAlignment="1">
      <alignment horizontal="center" vertical="center"/>
    </xf>
    <xf numFmtId="190" fontId="6" fillId="0" borderId="0" xfId="8" applyNumberFormat="1" applyFont="1" applyFill="1" applyBorder="1" applyAlignment="1" applyProtection="1">
      <alignment vertical="center"/>
      <protection locked="0"/>
    </xf>
    <xf numFmtId="0" fontId="44" fillId="0" borderId="0" xfId="2" applyFont="1" applyAlignment="1">
      <alignment vertical="center"/>
    </xf>
    <xf numFmtId="0" fontId="22" fillId="0" borderId="0" xfId="2" applyFont="1" applyFill="1" applyBorder="1" applyAlignment="1">
      <alignment vertical="center"/>
    </xf>
    <xf numFmtId="183" fontId="22" fillId="0" borderId="0" xfId="2" applyNumberFormat="1" applyFont="1" applyFill="1" applyBorder="1" applyAlignment="1">
      <alignment vertical="center"/>
    </xf>
    <xf numFmtId="181" fontId="18" fillId="0" borderId="0" xfId="8" applyNumberFormat="1" applyFont="1" applyFill="1" applyBorder="1" applyAlignment="1">
      <alignment horizontal="center" vertical="center"/>
    </xf>
    <xf numFmtId="194" fontId="18" fillId="0" borderId="0" xfId="8" applyNumberFormat="1" applyFont="1" applyFill="1" applyBorder="1" applyAlignment="1">
      <alignment horizontal="center" vertical="center"/>
    </xf>
    <xf numFmtId="194" fontId="18" fillId="0" borderId="0" xfId="8" applyNumberFormat="1" applyFont="1" applyFill="1" applyBorder="1" applyAlignment="1">
      <alignment horizontal="right" vertical="center"/>
    </xf>
    <xf numFmtId="197" fontId="18" fillId="0" borderId="0" xfId="8" applyNumberFormat="1" applyFont="1" applyFill="1" applyBorder="1" applyAlignment="1">
      <alignment horizontal="right" vertical="center"/>
    </xf>
    <xf numFmtId="0" fontId="89" fillId="0" borderId="0" xfId="2" applyFont="1" applyAlignment="1" applyProtection="1">
      <alignment vertical="center"/>
      <protection locked="0"/>
    </xf>
    <xf numFmtId="0" fontId="90" fillId="0" borderId="0" xfId="2" applyFont="1" applyAlignment="1">
      <alignment vertical="center"/>
    </xf>
    <xf numFmtId="176" fontId="42" fillId="0" borderId="0" xfId="2" applyNumberFormat="1" applyFont="1" applyAlignment="1">
      <alignment vertical="center"/>
    </xf>
    <xf numFmtId="0" fontId="91" fillId="0" borderId="0" xfId="2" applyFont="1" applyAlignment="1"/>
    <xf numFmtId="41" fontId="92" fillId="0" borderId="0" xfId="10" quotePrefix="1" applyFont="1" applyBorder="1" applyAlignment="1">
      <alignment horizontal="center" vertical="center"/>
    </xf>
    <xf numFmtId="0" fontId="93" fillId="0" borderId="0" xfId="2" applyFont="1" applyAlignment="1">
      <alignment horizontal="right" vertical="center"/>
    </xf>
    <xf numFmtId="2" fontId="94" fillId="0" borderId="137" xfId="2" quotePrefix="1" applyNumberFormat="1" applyFont="1" applyBorder="1" applyAlignment="1">
      <alignment horizontal="center" vertical="center"/>
    </xf>
    <xf numFmtId="0" fontId="34" fillId="0" borderId="0" xfId="2" applyFont="1" applyFill="1" applyBorder="1" applyAlignment="1" applyProtection="1">
      <alignment vertical="center"/>
      <protection locked="0"/>
    </xf>
    <xf numFmtId="204" fontId="95" fillId="0" borderId="137" xfId="10" quotePrefix="1" applyNumberFormat="1" applyFont="1" applyBorder="1" applyAlignment="1">
      <alignment horizontal="center" vertical="center"/>
    </xf>
    <xf numFmtId="41" fontId="96" fillId="0" borderId="137" xfId="10" quotePrefix="1" applyFont="1" applyBorder="1" applyAlignment="1">
      <alignment horizontal="center" vertical="center"/>
    </xf>
    <xf numFmtId="2" fontId="94" fillId="0" borderId="0" xfId="2" quotePrefix="1" applyNumberFormat="1" applyFont="1" applyBorder="1" applyAlignment="1">
      <alignment horizontal="center" vertical="center"/>
    </xf>
    <xf numFmtId="204" fontId="95" fillId="0" borderId="0" xfId="10" quotePrefix="1" applyNumberFormat="1" applyFont="1" applyBorder="1" applyAlignment="1">
      <alignment horizontal="center" vertical="center"/>
    </xf>
    <xf numFmtId="41" fontId="95" fillId="0" borderId="0" xfId="10" quotePrefix="1" applyFont="1" applyBorder="1" applyAlignment="1">
      <alignment horizontal="center" vertical="center"/>
    </xf>
    <xf numFmtId="194" fontId="34" fillId="0" borderId="0" xfId="18" applyNumberFormat="1" applyFont="1" applyFill="1" applyBorder="1" applyAlignment="1">
      <alignment horizontal="center" vertical="center"/>
    </xf>
    <xf numFmtId="177" fontId="34" fillId="0" borderId="0" xfId="18" applyNumberFormat="1" applyFont="1" applyFill="1" applyBorder="1" applyAlignment="1" applyProtection="1">
      <alignment vertical="center"/>
      <protection locked="0"/>
    </xf>
    <xf numFmtId="0" fontId="86" fillId="0" borderId="0" xfId="2" applyFont="1" applyFill="1" applyAlignment="1">
      <alignment vertical="center"/>
    </xf>
    <xf numFmtId="185" fontId="34" fillId="0" borderId="0" xfId="18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 wrapText="1"/>
    </xf>
    <xf numFmtId="177" fontId="34" fillId="0" borderId="0" xfId="18" applyNumberFormat="1" applyFont="1" applyFill="1" applyBorder="1" applyAlignment="1">
      <alignment vertical="center"/>
    </xf>
    <xf numFmtId="190" fontId="34" fillId="0" borderId="0" xfId="18" applyNumberFormat="1" applyFont="1" applyFill="1" applyBorder="1" applyAlignment="1" applyProtection="1">
      <alignment vertical="center"/>
      <protection locked="0"/>
    </xf>
    <xf numFmtId="202" fontId="34" fillId="0" borderId="0" xfId="18" applyNumberFormat="1" applyFont="1" applyFill="1" applyBorder="1" applyAlignment="1" applyProtection="1">
      <alignment vertical="center"/>
      <protection locked="0"/>
    </xf>
    <xf numFmtId="0" fontId="97" fillId="0" borderId="0" xfId="9" applyFont="1" applyAlignment="1">
      <alignment horizontal="left"/>
    </xf>
    <xf numFmtId="0" fontId="11" fillId="0" borderId="0" xfId="9"/>
    <xf numFmtId="0" fontId="98" fillId="0" borderId="0" xfId="3" applyFont="1">
      <alignment vertical="center"/>
    </xf>
    <xf numFmtId="0" fontId="99" fillId="0" borderId="0" xfId="2" applyFont="1" applyBorder="1" applyAlignment="1" applyProtection="1">
      <alignment vertical="center"/>
      <protection locked="0"/>
    </xf>
    <xf numFmtId="0" fontId="17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top"/>
    </xf>
    <xf numFmtId="0" fontId="6" fillId="0" borderId="27" xfId="2" applyFont="1" applyFill="1" applyBorder="1" applyAlignment="1">
      <alignment vertical="center"/>
    </xf>
    <xf numFmtId="0" fontId="6" fillId="0" borderId="63" xfId="2" applyFont="1" applyFill="1" applyBorder="1" applyAlignment="1">
      <alignment horizontal="center" vertical="center"/>
    </xf>
    <xf numFmtId="0" fontId="6" fillId="0" borderId="64" xfId="2" applyFont="1" applyFill="1" applyBorder="1" applyAlignment="1">
      <alignment horizontal="center" vertical="center"/>
    </xf>
    <xf numFmtId="176" fontId="6" fillId="0" borderId="82" xfId="2" applyNumberFormat="1" applyFont="1" applyFill="1" applyBorder="1" applyAlignment="1">
      <alignment horizontal="right" vertical="center"/>
    </xf>
    <xf numFmtId="176" fontId="6" fillId="0" borderId="12" xfId="2" applyNumberFormat="1" applyFont="1" applyFill="1" applyBorder="1" applyAlignment="1">
      <alignment horizontal="right" vertical="center"/>
    </xf>
    <xf numFmtId="177" fontId="6" fillId="0" borderId="12" xfId="2" applyNumberFormat="1" applyFont="1" applyFill="1" applyBorder="1" applyAlignment="1">
      <alignment horizontal="right" vertical="center"/>
    </xf>
    <xf numFmtId="183" fontId="6" fillId="0" borderId="12" xfId="2" applyNumberFormat="1" applyFont="1" applyFill="1" applyBorder="1" applyAlignment="1">
      <alignment horizontal="right" vertical="center"/>
    </xf>
    <xf numFmtId="183" fontId="6" fillId="0" borderId="13" xfId="2" applyNumberFormat="1" applyFont="1" applyFill="1" applyBorder="1" applyAlignment="1">
      <alignment horizontal="right" vertical="center"/>
    </xf>
    <xf numFmtId="177" fontId="6" fillId="0" borderId="82" xfId="2" applyNumberFormat="1" applyFont="1" applyFill="1" applyBorder="1" applyAlignment="1">
      <alignment horizontal="right" vertical="center"/>
    </xf>
    <xf numFmtId="183" fontId="6" fillId="0" borderId="82" xfId="2" applyNumberFormat="1" applyFont="1" applyFill="1" applyBorder="1" applyAlignment="1">
      <alignment horizontal="right" vertical="center"/>
    </xf>
    <xf numFmtId="0" fontId="28" fillId="0" borderId="0" xfId="2" applyFont="1" applyBorder="1" applyAlignment="1">
      <alignment vertical="center"/>
    </xf>
    <xf numFmtId="176" fontId="6" fillId="0" borderId="82" xfId="2" quotePrefix="1" applyNumberFormat="1" applyFont="1" applyFill="1" applyBorder="1" applyAlignment="1">
      <alignment vertical="center"/>
    </xf>
    <xf numFmtId="176" fontId="6" fillId="0" borderId="12" xfId="2" quotePrefix="1" applyNumberFormat="1" applyFont="1" applyFill="1" applyBorder="1" applyAlignment="1">
      <alignment vertical="center"/>
    </xf>
    <xf numFmtId="176" fontId="6" fillId="0" borderId="71" xfId="2" quotePrefix="1" applyNumberFormat="1" applyFont="1" applyFill="1" applyBorder="1" applyAlignment="1">
      <alignment vertical="center"/>
    </xf>
    <xf numFmtId="176" fontId="6" fillId="0" borderId="69" xfId="2" quotePrefix="1" applyNumberFormat="1" applyFont="1" applyFill="1" applyBorder="1" applyAlignment="1">
      <alignment vertical="center"/>
    </xf>
    <xf numFmtId="177" fontId="6" fillId="0" borderId="69" xfId="2" applyNumberFormat="1" applyFont="1" applyFill="1" applyBorder="1" applyAlignment="1">
      <alignment horizontal="right" vertical="center"/>
    </xf>
    <xf numFmtId="176" fontId="6" fillId="0" borderId="69" xfId="2" applyNumberFormat="1" applyFont="1" applyFill="1" applyBorder="1" applyAlignment="1">
      <alignment horizontal="right" vertical="center"/>
    </xf>
    <xf numFmtId="183" fontId="6" fillId="0" borderId="69" xfId="2" applyNumberFormat="1" applyFont="1" applyFill="1" applyBorder="1" applyAlignment="1">
      <alignment horizontal="right" vertical="center"/>
    </xf>
    <xf numFmtId="183" fontId="6" fillId="0" borderId="70" xfId="2" applyNumberFormat="1" applyFont="1" applyFill="1" applyBorder="1" applyAlignment="1">
      <alignment horizontal="right" vertical="center"/>
    </xf>
    <xf numFmtId="176" fontId="6" fillId="0" borderId="47" xfId="2" quotePrefix="1" applyNumberFormat="1" applyFont="1" applyFill="1" applyBorder="1" applyAlignment="1">
      <alignment vertical="center"/>
    </xf>
    <xf numFmtId="176" fontId="6" fillId="0" borderId="10" xfId="2" quotePrefix="1" applyNumberFormat="1" applyFont="1" applyFill="1" applyBorder="1" applyAlignment="1">
      <alignment vertical="center"/>
    </xf>
    <xf numFmtId="177" fontId="6" fillId="0" borderId="10" xfId="2" applyNumberFormat="1" applyFont="1" applyFill="1" applyBorder="1" applyAlignment="1">
      <alignment horizontal="right" vertical="center"/>
    </xf>
    <xf numFmtId="176" fontId="6" fillId="0" borderId="10" xfId="2" applyNumberFormat="1" applyFont="1" applyFill="1" applyBorder="1" applyAlignment="1">
      <alignment horizontal="right" vertical="center"/>
    </xf>
    <xf numFmtId="183" fontId="6" fillId="0" borderId="10" xfId="2" applyNumberFormat="1" applyFont="1" applyFill="1" applyBorder="1" applyAlignment="1">
      <alignment horizontal="right" vertical="center"/>
    </xf>
    <xf numFmtId="183" fontId="6" fillId="0" borderId="11" xfId="2" applyNumberFormat="1" applyFont="1" applyFill="1" applyBorder="1" applyAlignment="1">
      <alignment horizontal="right" vertical="center"/>
    </xf>
    <xf numFmtId="0" fontId="23" fillId="0" borderId="0" xfId="2" quotePrefix="1" applyFont="1" applyFill="1" applyBorder="1" applyAlignment="1">
      <alignment vertical="center"/>
    </xf>
    <xf numFmtId="176" fontId="23" fillId="0" borderId="0" xfId="2" applyNumberFormat="1" applyFont="1" applyFill="1" applyBorder="1" applyAlignment="1">
      <alignment horizontal="right" vertical="center"/>
    </xf>
    <xf numFmtId="177" fontId="23" fillId="0" borderId="0" xfId="2" applyNumberFormat="1" applyFont="1" applyFill="1" applyBorder="1" applyAlignment="1">
      <alignment horizontal="right" vertical="center"/>
    </xf>
    <xf numFmtId="183" fontId="23" fillId="0" borderId="0" xfId="2" applyNumberFormat="1" applyFont="1" applyFill="1" applyBorder="1" applyAlignment="1">
      <alignment horizontal="right" vertical="center"/>
    </xf>
    <xf numFmtId="205" fontId="6" fillId="0" borderId="0" xfId="2" applyNumberFormat="1" applyFont="1" applyFill="1" applyBorder="1" applyAlignment="1">
      <alignment horizontal="right" vertical="center"/>
    </xf>
    <xf numFmtId="205" fontId="23" fillId="0" borderId="0" xfId="2" applyNumberFormat="1" applyFont="1" applyFill="1" applyBorder="1" applyAlignment="1">
      <alignment horizontal="right" vertical="center"/>
    </xf>
    <xf numFmtId="197" fontId="23" fillId="0" borderId="0" xfId="2" applyNumberFormat="1" applyFont="1" applyFill="1" applyBorder="1" applyAlignment="1">
      <alignment horizontal="right" vertical="center"/>
    </xf>
    <xf numFmtId="0" fontId="6" fillId="0" borderId="0" xfId="2" applyFont="1" applyBorder="1" applyAlignment="1"/>
    <xf numFmtId="0" fontId="6" fillId="12" borderId="0" xfId="1" applyFont="1" applyFill="1" applyBorder="1" applyAlignment="1">
      <alignment horizontal="center" vertical="center"/>
    </xf>
    <xf numFmtId="176" fontId="9" fillId="12" borderId="0" xfId="1" applyNumberFormat="1" applyFont="1" applyFill="1" applyBorder="1" applyAlignment="1">
      <alignment horizontal="right" vertical="center" wrapText="1"/>
    </xf>
    <xf numFmtId="0" fontId="99" fillId="0" borderId="0" xfId="2" applyFont="1" applyAlignment="1" applyProtection="1">
      <alignment horizontal="left" vertical="center"/>
      <protection locked="0"/>
    </xf>
    <xf numFmtId="190" fontId="9" fillId="0" borderId="0" xfId="2" applyNumberFormat="1" applyFont="1" applyAlignment="1">
      <alignment vertical="center"/>
    </xf>
    <xf numFmtId="190" fontId="9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190" fontId="17" fillId="0" borderId="0" xfId="2" applyNumberFormat="1" applyFont="1" applyAlignment="1">
      <alignment vertical="center"/>
    </xf>
    <xf numFmtId="190" fontId="22" fillId="0" borderId="0" xfId="2" applyNumberFormat="1" applyFont="1" applyBorder="1" applyAlignment="1">
      <alignment vertical="center"/>
    </xf>
    <xf numFmtId="190" fontId="17" fillId="0" borderId="0" xfId="2" applyNumberFormat="1" applyFont="1" applyAlignment="1">
      <alignment horizontal="center" vertical="center"/>
    </xf>
    <xf numFmtId="0" fontId="22" fillId="0" borderId="0" xfId="2" applyFont="1" applyBorder="1" applyAlignment="1">
      <alignment horizontal="center" vertical="center"/>
    </xf>
    <xf numFmtId="190" fontId="9" fillId="0" borderId="0" xfId="2" applyNumberFormat="1" applyFont="1" applyBorder="1" applyAlignment="1">
      <alignment vertical="center"/>
    </xf>
    <xf numFmtId="190" fontId="22" fillId="0" borderId="0" xfId="2" applyNumberFormat="1" applyFont="1" applyBorder="1" applyAlignment="1">
      <alignment vertical="top"/>
    </xf>
    <xf numFmtId="0" fontId="22" fillId="0" borderId="0" xfId="2" applyFont="1" applyBorder="1" applyAlignment="1">
      <alignment vertical="top"/>
    </xf>
    <xf numFmtId="0" fontId="6" fillId="0" borderId="137" xfId="2" applyFont="1" applyBorder="1" applyAlignment="1">
      <alignment horizontal="center" vertical="center"/>
    </xf>
    <xf numFmtId="0" fontId="6" fillId="0" borderId="95" xfId="2" applyFont="1" applyBorder="1" applyAlignment="1">
      <alignment horizontal="center" vertical="center"/>
    </xf>
    <xf numFmtId="190" fontId="6" fillId="0" borderId="165" xfId="2" applyNumberFormat="1" applyFont="1" applyBorder="1" applyAlignment="1">
      <alignment horizontal="center" vertical="center"/>
    </xf>
    <xf numFmtId="0" fontId="6" fillId="0" borderId="133" xfId="2" applyFont="1" applyBorder="1" applyAlignment="1">
      <alignment horizontal="center" vertical="center"/>
    </xf>
    <xf numFmtId="190" fontId="6" fillId="0" borderId="34" xfId="2" applyNumberFormat="1" applyFont="1" applyBorder="1" applyAlignment="1">
      <alignment horizontal="center" vertical="center"/>
    </xf>
    <xf numFmtId="176" fontId="6" fillId="0" borderId="107" xfId="2" applyNumberFormat="1" applyFont="1" applyFill="1" applyBorder="1" applyAlignment="1">
      <alignment horizontal="right" vertical="center"/>
    </xf>
    <xf numFmtId="177" fontId="6" fillId="0" borderId="0" xfId="2" applyNumberFormat="1" applyFont="1" applyFill="1" applyBorder="1" applyAlignment="1">
      <alignment horizontal="right" vertical="center"/>
    </xf>
    <xf numFmtId="177" fontId="6" fillId="0" borderId="13" xfId="2" applyNumberFormat="1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/>
    </xf>
    <xf numFmtId="176" fontId="6" fillId="0" borderId="0" xfId="2" applyNumberFormat="1" applyFont="1" applyFill="1" applyBorder="1" applyAlignment="1">
      <alignment horizontal="right" vertical="center"/>
    </xf>
    <xf numFmtId="176" fontId="6" fillId="0" borderId="31" xfId="2" applyNumberFormat="1" applyFont="1" applyFill="1" applyBorder="1" applyAlignment="1">
      <alignment horizontal="right" vertical="center"/>
    </xf>
    <xf numFmtId="176" fontId="6" fillId="0" borderId="31" xfId="2" quotePrefix="1" applyNumberFormat="1" applyFont="1" applyBorder="1" applyAlignment="1">
      <alignment vertical="center"/>
    </xf>
    <xf numFmtId="177" fontId="6" fillId="0" borderId="12" xfId="2" quotePrefix="1" applyNumberFormat="1" applyFont="1" applyBorder="1" applyAlignment="1">
      <alignment vertical="center"/>
    </xf>
    <xf numFmtId="176" fontId="6" fillId="0" borderId="12" xfId="2" quotePrefix="1" applyNumberFormat="1" applyFont="1" applyBorder="1" applyAlignment="1">
      <alignment vertical="center"/>
    </xf>
    <xf numFmtId="177" fontId="6" fillId="0" borderId="13" xfId="2" quotePrefix="1" applyNumberFormat="1" applyFont="1" applyBorder="1" applyAlignment="1">
      <alignment vertical="center"/>
    </xf>
    <xf numFmtId="176" fontId="6" fillId="0" borderId="82" xfId="2" quotePrefix="1" applyNumberFormat="1" applyFont="1" applyBorder="1" applyAlignment="1">
      <alignment vertical="center"/>
    </xf>
    <xf numFmtId="0" fontId="28" fillId="0" borderId="0" xfId="2" applyFont="1" applyFill="1" applyBorder="1" applyAlignment="1">
      <alignment vertical="center"/>
    </xf>
    <xf numFmtId="0" fontId="6" fillId="0" borderId="107" xfId="2" quotePrefix="1" applyFont="1" applyBorder="1" applyAlignment="1">
      <alignment horizontal="center" vertical="center"/>
    </xf>
    <xf numFmtId="176" fontId="6" fillId="0" borderId="68" xfId="2" quotePrefix="1" applyNumberFormat="1" applyFont="1" applyBorder="1" applyAlignment="1">
      <alignment vertical="center"/>
    </xf>
    <xf numFmtId="177" fontId="6" fillId="0" borderId="69" xfId="2" quotePrefix="1" applyNumberFormat="1" applyFont="1" applyBorder="1" applyAlignment="1">
      <alignment vertical="center"/>
    </xf>
    <xf numFmtId="176" fontId="6" fillId="0" borderId="69" xfId="2" quotePrefix="1" applyNumberFormat="1" applyFont="1" applyBorder="1" applyAlignment="1">
      <alignment vertical="center"/>
    </xf>
    <xf numFmtId="177" fontId="6" fillId="0" borderId="70" xfId="2" quotePrefix="1" applyNumberFormat="1" applyFont="1" applyBorder="1" applyAlignment="1">
      <alignment vertical="center"/>
    </xf>
    <xf numFmtId="176" fontId="6" fillId="0" borderId="71" xfId="2" quotePrefix="1" applyNumberFormat="1" applyFont="1" applyBorder="1" applyAlignment="1">
      <alignment vertical="center"/>
    </xf>
    <xf numFmtId="176" fontId="6" fillId="0" borderId="30" xfId="2" quotePrefix="1" applyNumberFormat="1" applyFont="1" applyBorder="1" applyAlignment="1">
      <alignment vertical="center"/>
    </xf>
    <xf numFmtId="177" fontId="6" fillId="0" borderId="10" xfId="2" quotePrefix="1" applyNumberFormat="1" applyFont="1" applyBorder="1" applyAlignment="1">
      <alignment vertical="center"/>
    </xf>
    <xf numFmtId="176" fontId="6" fillId="0" borderId="10" xfId="2" quotePrefix="1" applyNumberFormat="1" applyFont="1" applyBorder="1" applyAlignment="1">
      <alignment vertical="center"/>
    </xf>
    <xf numFmtId="177" fontId="6" fillId="0" borderId="11" xfId="2" quotePrefix="1" applyNumberFormat="1" applyFont="1" applyBorder="1" applyAlignment="1">
      <alignment vertical="center"/>
    </xf>
    <xf numFmtId="176" fontId="6" fillId="0" borderId="47" xfId="2" quotePrefix="1" applyNumberFormat="1" applyFont="1" applyBorder="1" applyAlignment="1">
      <alignment vertical="center"/>
    </xf>
    <xf numFmtId="3" fontId="23" fillId="0" borderId="0" xfId="2" applyNumberFormat="1" applyFont="1" applyFill="1" applyBorder="1" applyAlignment="1">
      <alignment vertical="center"/>
    </xf>
    <xf numFmtId="0" fontId="23" fillId="0" borderId="0" xfId="2" quotePrefix="1" applyFont="1" applyBorder="1" applyAlignment="1">
      <alignment horizontal="center" vertical="center"/>
    </xf>
    <xf numFmtId="176" fontId="23" fillId="0" borderId="0" xfId="2" quotePrefix="1" applyNumberFormat="1" applyFont="1" applyBorder="1" applyAlignment="1">
      <alignment vertical="center"/>
    </xf>
    <xf numFmtId="190" fontId="23" fillId="0" borderId="0" xfId="2" quotePrefix="1" applyNumberFormat="1" applyFont="1" applyBorder="1" applyAlignment="1">
      <alignment vertical="center"/>
    </xf>
    <xf numFmtId="0" fontId="18" fillId="0" borderId="0" xfId="2" applyFont="1" applyBorder="1" applyAlignment="1">
      <alignment horizontal="left" vertical="center"/>
    </xf>
    <xf numFmtId="197" fontId="22" fillId="0" borderId="0" xfId="2" applyNumberFormat="1" applyFont="1" applyBorder="1" applyAlignment="1">
      <alignment horizontal="center" vertical="center"/>
    </xf>
    <xf numFmtId="190" fontId="22" fillId="0" borderId="0" xfId="2" applyNumberFormat="1" applyFont="1" applyBorder="1" applyAlignment="1">
      <alignment horizontal="center" vertical="center"/>
    </xf>
    <xf numFmtId="0" fontId="18" fillId="0" borderId="0" xfId="2" applyFont="1" applyBorder="1" applyAlignment="1">
      <alignment vertical="top"/>
    </xf>
    <xf numFmtId="0" fontId="18" fillId="0" borderId="0" xfId="2" applyFont="1" applyBorder="1" applyAlignment="1"/>
    <xf numFmtId="197" fontId="22" fillId="0" borderId="0" xfId="2" quotePrefix="1" applyNumberFormat="1" applyFont="1" applyBorder="1" applyAlignment="1">
      <alignment horizontal="center" vertical="center"/>
    </xf>
    <xf numFmtId="190" fontId="22" fillId="0" borderId="0" xfId="2" quotePrefix="1" applyNumberFormat="1" applyFont="1" applyBorder="1" applyAlignment="1">
      <alignment horizontal="center" vertical="center"/>
    </xf>
    <xf numFmtId="0" fontId="18" fillId="0" borderId="0" xfId="2" applyFont="1" applyBorder="1" applyAlignment="1">
      <alignment horizontal="center"/>
    </xf>
    <xf numFmtId="0" fontId="18" fillId="0" borderId="0" xfId="2" applyFont="1" applyBorder="1" applyAlignment="1">
      <alignment horizontal="center" vertical="center"/>
    </xf>
    <xf numFmtId="190" fontId="22" fillId="0" borderId="0" xfId="2" applyNumberFormat="1" applyFont="1" applyAlignment="1">
      <alignment vertical="center"/>
    </xf>
    <xf numFmtId="183" fontId="22" fillId="0" borderId="0" xfId="2" applyNumberFormat="1" applyFont="1" applyAlignment="1">
      <alignment vertical="center"/>
    </xf>
    <xf numFmtId="190" fontId="22" fillId="0" borderId="0" xfId="2" applyNumberFormat="1" applyFont="1" applyAlignment="1">
      <alignment horizontal="center" vertical="center"/>
    </xf>
    <xf numFmtId="0" fontId="22" fillId="0" borderId="0" xfId="2" quotePrefix="1" applyFont="1" applyFill="1" applyBorder="1" applyAlignment="1">
      <alignment horizontal="center" vertical="center"/>
    </xf>
    <xf numFmtId="189" fontId="18" fillId="0" borderId="0" xfId="2" applyNumberFormat="1" applyFont="1" applyFill="1" applyBorder="1" applyAlignment="1">
      <alignment horizontal="right" vertical="center"/>
    </xf>
    <xf numFmtId="190" fontId="22" fillId="0" borderId="0" xfId="2" applyNumberFormat="1" applyFont="1" applyFill="1" applyBorder="1" applyAlignment="1">
      <alignment vertical="center"/>
    </xf>
    <xf numFmtId="189" fontId="18" fillId="0" borderId="0" xfId="2" applyNumberFormat="1" applyFont="1" applyFill="1" applyBorder="1" applyAlignment="1">
      <alignment vertical="center"/>
    </xf>
    <xf numFmtId="0" fontId="22" fillId="0" borderId="0" xfId="2" quotePrefix="1" applyFont="1" applyBorder="1" applyAlignment="1">
      <alignment horizontal="center" vertical="center"/>
    </xf>
    <xf numFmtId="176" fontId="22" fillId="0" borderId="0" xfId="2" applyNumberFormat="1" applyFont="1" applyFill="1" applyBorder="1" applyAlignment="1">
      <alignment vertical="center"/>
    </xf>
    <xf numFmtId="182" fontId="22" fillId="0" borderId="0" xfId="2" applyNumberFormat="1" applyFont="1" applyFill="1" applyBorder="1" applyAlignment="1">
      <alignment vertical="center"/>
    </xf>
    <xf numFmtId="176" fontId="80" fillId="0" borderId="0" xfId="2" applyNumberFormat="1" applyFont="1" applyFill="1" applyBorder="1" applyAlignment="1">
      <alignment vertical="center"/>
    </xf>
    <xf numFmtId="0" fontId="80" fillId="0" borderId="0" xfId="2" applyFont="1" applyBorder="1"/>
    <xf numFmtId="190" fontId="9" fillId="0" borderId="0" xfId="2" applyNumberFormat="1" applyFont="1"/>
    <xf numFmtId="190" fontId="9" fillId="0" borderId="0" xfId="2" applyNumberFormat="1" applyFont="1" applyAlignment="1">
      <alignment horizontal="center"/>
    </xf>
    <xf numFmtId="0" fontId="99" fillId="0" borderId="0" xfId="2" applyFont="1" applyAlignment="1" applyProtection="1">
      <alignment vertical="center"/>
      <protection locked="0"/>
    </xf>
    <xf numFmtId="177" fontId="6" fillId="0" borderId="88" xfId="2" applyNumberFormat="1" applyFont="1" applyFill="1" applyBorder="1" applyAlignment="1">
      <alignment horizontal="right" vertical="center"/>
    </xf>
    <xf numFmtId="176" fontId="6" fillId="0" borderId="88" xfId="2" applyNumberFormat="1" applyFont="1" applyFill="1" applyBorder="1" applyAlignment="1">
      <alignment horizontal="right" vertical="center"/>
    </xf>
    <xf numFmtId="0" fontId="6" fillId="0" borderId="0" xfId="2" quotePrefix="1" applyFont="1" applyBorder="1" applyAlignment="1">
      <alignment vertical="center"/>
    </xf>
    <xf numFmtId="0" fontId="23" fillId="0" borderId="0" xfId="2" quotePrefix="1" applyFont="1" applyBorder="1" applyAlignment="1">
      <alignment vertical="center"/>
    </xf>
    <xf numFmtId="49" fontId="6" fillId="0" borderId="89" xfId="2" quotePrefix="1" applyNumberFormat="1" applyFont="1" applyFill="1" applyBorder="1" applyAlignment="1">
      <alignment horizontal="center" vertical="center"/>
    </xf>
    <xf numFmtId="176" fontId="6" fillId="0" borderId="124" xfId="2" applyNumberFormat="1" applyFont="1" applyFill="1" applyBorder="1" applyAlignment="1">
      <alignment horizontal="right" vertical="center"/>
    </xf>
    <xf numFmtId="177" fontId="6" fillId="0" borderId="90" xfId="2" applyNumberFormat="1" applyFont="1" applyFill="1" applyBorder="1" applyAlignment="1">
      <alignment horizontal="right" vertical="center"/>
    </xf>
    <xf numFmtId="176" fontId="6" fillId="0" borderId="90" xfId="2" applyNumberFormat="1" applyFont="1" applyFill="1" applyBorder="1" applyAlignment="1">
      <alignment horizontal="right" vertical="center"/>
    </xf>
    <xf numFmtId="177" fontId="6" fillId="0" borderId="15" xfId="2" applyNumberFormat="1" applyFont="1" applyFill="1" applyBorder="1" applyAlignment="1">
      <alignment horizontal="right" vertical="center"/>
    </xf>
    <xf numFmtId="176" fontId="6" fillId="0" borderId="119" xfId="2" applyNumberFormat="1" applyFont="1" applyFill="1" applyBorder="1" applyAlignment="1">
      <alignment horizontal="right" vertical="center"/>
    </xf>
    <xf numFmtId="177" fontId="6" fillId="0" borderId="16" xfId="2" applyNumberFormat="1" applyFont="1" applyFill="1" applyBorder="1" applyAlignment="1">
      <alignment horizontal="right" vertical="center"/>
    </xf>
    <xf numFmtId="176" fontId="6" fillId="0" borderId="106" xfId="2" applyNumberFormat="1" applyFont="1" applyFill="1" applyBorder="1" applyAlignment="1">
      <alignment horizontal="right" vertical="center"/>
    </xf>
    <xf numFmtId="177" fontId="6" fillId="0" borderId="79" xfId="2" applyNumberFormat="1" applyFont="1" applyFill="1" applyBorder="1" applyAlignment="1">
      <alignment horizontal="right" vertical="center"/>
    </xf>
    <xf numFmtId="176" fontId="6" fillId="0" borderId="79" xfId="2" applyNumberFormat="1" applyFont="1" applyFill="1" applyBorder="1" applyAlignment="1">
      <alignment horizontal="right" vertical="center"/>
    </xf>
    <xf numFmtId="176" fontId="6" fillId="0" borderId="85" xfId="2" applyNumberFormat="1" applyFont="1" applyFill="1" applyBorder="1" applyAlignment="1">
      <alignment horizontal="right" vertical="center"/>
    </xf>
    <xf numFmtId="177" fontId="6" fillId="0" borderId="70" xfId="2" applyNumberFormat="1" applyFont="1" applyFill="1" applyBorder="1" applyAlignment="1">
      <alignment horizontal="right" vertical="center"/>
    </xf>
    <xf numFmtId="2" fontId="6" fillId="0" borderId="46" xfId="2" quotePrefix="1" applyNumberFormat="1" applyFont="1" applyFill="1" applyBorder="1" applyAlignment="1">
      <alignment horizontal="center" vertical="center"/>
    </xf>
    <xf numFmtId="176" fontId="6" fillId="0" borderId="108" xfId="2" applyNumberFormat="1" applyFont="1" applyFill="1" applyBorder="1" applyAlignment="1">
      <alignment horizontal="right" vertical="center"/>
    </xf>
    <xf numFmtId="177" fontId="6" fillId="0" borderId="92" xfId="2" applyNumberFormat="1" applyFont="1" applyFill="1" applyBorder="1" applyAlignment="1">
      <alignment horizontal="right" vertical="center"/>
    </xf>
    <xf numFmtId="176" fontId="6" fillId="0" borderId="92" xfId="2" applyNumberFormat="1" applyFont="1" applyFill="1" applyBorder="1" applyAlignment="1">
      <alignment horizontal="right" vertical="center"/>
    </xf>
    <xf numFmtId="176" fontId="6" fillId="0" borderId="103" xfId="2" applyNumberFormat="1" applyFont="1" applyFill="1" applyBorder="1" applyAlignment="1">
      <alignment horizontal="right" vertical="center"/>
    </xf>
    <xf numFmtId="177" fontId="6" fillId="0" borderId="11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center" vertical="center"/>
    </xf>
    <xf numFmtId="190" fontId="6" fillId="0" borderId="0" xfId="2" applyNumberFormat="1" applyFont="1" applyFill="1" applyBorder="1" applyAlignment="1">
      <alignment horizontal="right" vertical="center"/>
    </xf>
    <xf numFmtId="190" fontId="6" fillId="0" borderId="0" xfId="2" applyNumberFormat="1" applyFont="1" applyAlignment="1">
      <alignment vertical="center"/>
    </xf>
    <xf numFmtId="183" fontId="6" fillId="0" borderId="0" xfId="2" applyNumberFormat="1" applyFont="1" applyAlignment="1">
      <alignment vertical="center"/>
    </xf>
    <xf numFmtId="190" fontId="6" fillId="0" borderId="0" xfId="2" applyNumberFormat="1" applyFont="1"/>
    <xf numFmtId="0" fontId="6" fillId="0" borderId="0" xfId="2" applyFont="1" applyAlignment="1">
      <alignment horizontal="center" vertical="center"/>
    </xf>
    <xf numFmtId="190" fontId="88" fillId="0" borderId="0" xfId="17" applyNumberFormat="1" applyFont="1" applyAlignment="1" applyProtection="1">
      <alignment vertical="center"/>
    </xf>
    <xf numFmtId="190" fontId="6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horizontal="left" vertical="center" indent="1"/>
    </xf>
    <xf numFmtId="190" fontId="6" fillId="0" borderId="0" xfId="2" applyNumberFormat="1" applyFont="1" applyBorder="1" applyAlignment="1">
      <alignment vertical="top"/>
    </xf>
    <xf numFmtId="0" fontId="6" fillId="0" borderId="0" xfId="2" applyFont="1" applyBorder="1" applyAlignment="1">
      <alignment horizontal="right" vertical="top"/>
    </xf>
    <xf numFmtId="0" fontId="6" fillId="0" borderId="132" xfId="2" applyFont="1" applyBorder="1" applyAlignment="1">
      <alignment horizontal="center" vertical="center"/>
    </xf>
    <xf numFmtId="190" fontId="6" fillId="0" borderId="132" xfId="2" applyNumberFormat="1" applyFont="1" applyBorder="1" applyAlignment="1">
      <alignment horizontal="center" vertical="center"/>
    </xf>
    <xf numFmtId="190" fontId="6" fillId="0" borderId="94" xfId="2" applyNumberFormat="1" applyFont="1" applyBorder="1" applyAlignment="1">
      <alignment horizontal="center" vertical="center"/>
    </xf>
    <xf numFmtId="176" fontId="22" fillId="0" borderId="0" xfId="2" applyNumberFormat="1" applyFont="1" applyBorder="1" applyAlignment="1">
      <alignment vertical="center"/>
    </xf>
    <xf numFmtId="189" fontId="6" fillId="0" borderId="107" xfId="2" applyNumberFormat="1" applyFont="1" applyFill="1" applyBorder="1" applyAlignment="1">
      <alignment horizontal="right" vertical="center"/>
    </xf>
    <xf numFmtId="189" fontId="6" fillId="0" borderId="82" xfId="2" applyNumberFormat="1" applyFont="1" applyFill="1" applyBorder="1" applyAlignment="1">
      <alignment horizontal="right" vertical="center"/>
    </xf>
    <xf numFmtId="189" fontId="6" fillId="0" borderId="0" xfId="2" applyNumberFormat="1" applyFont="1" applyFill="1" applyBorder="1" applyAlignment="1">
      <alignment horizontal="right" vertical="center"/>
    </xf>
    <xf numFmtId="189" fontId="6" fillId="0" borderId="32" xfId="2" applyNumberFormat="1" applyFont="1" applyFill="1" applyBorder="1" applyAlignment="1">
      <alignment horizontal="right" vertical="center"/>
    </xf>
    <xf numFmtId="189" fontId="6" fillId="0" borderId="15" xfId="2" applyNumberFormat="1" applyFont="1" applyFill="1" applyBorder="1" applyAlignment="1">
      <alignment horizontal="right" vertical="center"/>
    </xf>
    <xf numFmtId="189" fontId="6" fillId="0" borderId="67" xfId="2" applyNumberFormat="1" applyFont="1" applyFill="1" applyBorder="1" applyAlignment="1">
      <alignment horizontal="right" vertical="center"/>
    </xf>
    <xf numFmtId="189" fontId="6" fillId="0" borderId="71" xfId="2" quotePrefix="1" applyNumberFormat="1" applyFont="1" applyFill="1" applyBorder="1" applyAlignment="1">
      <alignment vertical="center"/>
    </xf>
    <xf numFmtId="177" fontId="6" fillId="0" borderId="69" xfId="2" quotePrefix="1" applyNumberFormat="1" applyFont="1" applyFill="1" applyBorder="1" applyAlignment="1">
      <alignment vertical="center"/>
    </xf>
    <xf numFmtId="189" fontId="6" fillId="0" borderId="69" xfId="2" quotePrefix="1" applyNumberFormat="1" applyFont="1" applyFill="1" applyBorder="1" applyAlignment="1">
      <alignment vertical="center"/>
    </xf>
    <xf numFmtId="177" fontId="6" fillId="0" borderId="71" xfId="2" quotePrefix="1" applyNumberFormat="1" applyFont="1" applyFill="1" applyBorder="1" applyAlignment="1">
      <alignment vertical="center"/>
    </xf>
    <xf numFmtId="177" fontId="6" fillId="0" borderId="70" xfId="2" quotePrefix="1" applyNumberFormat="1" applyFont="1" applyFill="1" applyBorder="1" applyAlignment="1">
      <alignment vertical="center"/>
    </xf>
    <xf numFmtId="189" fontId="6" fillId="0" borderId="82" xfId="2" quotePrefix="1" applyNumberFormat="1" applyFont="1" applyFill="1" applyBorder="1" applyAlignment="1">
      <alignment vertical="center"/>
    </xf>
    <xf numFmtId="177" fontId="6" fillId="0" borderId="12" xfId="2" quotePrefix="1" applyNumberFormat="1" applyFont="1" applyFill="1" applyBorder="1" applyAlignment="1">
      <alignment vertical="center"/>
    </xf>
    <xf numFmtId="177" fontId="6" fillId="0" borderId="82" xfId="2" quotePrefix="1" applyNumberFormat="1" applyFont="1" applyFill="1" applyBorder="1" applyAlignment="1">
      <alignment vertical="center"/>
    </xf>
    <xf numFmtId="177" fontId="6" fillId="0" borderId="13" xfId="2" quotePrefix="1" applyNumberFormat="1" applyFont="1" applyFill="1" applyBorder="1" applyAlignment="1">
      <alignment vertical="center"/>
    </xf>
    <xf numFmtId="189" fontId="6" fillId="0" borderId="47" xfId="2" quotePrefix="1" applyNumberFormat="1" applyFont="1" applyFill="1" applyBorder="1" applyAlignment="1">
      <alignment vertical="center"/>
    </xf>
    <xf numFmtId="177" fontId="6" fillId="0" borderId="10" xfId="2" quotePrefix="1" applyNumberFormat="1" applyFont="1" applyFill="1" applyBorder="1" applyAlignment="1">
      <alignment vertical="center"/>
    </xf>
    <xf numFmtId="189" fontId="6" fillId="0" borderId="10" xfId="2" quotePrefix="1" applyNumberFormat="1" applyFont="1" applyFill="1" applyBorder="1" applyAlignment="1">
      <alignment vertical="center"/>
    </xf>
    <xf numFmtId="177" fontId="6" fillId="0" borderId="47" xfId="2" quotePrefix="1" applyNumberFormat="1" applyFont="1" applyFill="1" applyBorder="1" applyAlignment="1">
      <alignment vertical="center"/>
    </xf>
    <xf numFmtId="177" fontId="6" fillId="0" borderId="11" xfId="2" quotePrefix="1" applyNumberFormat="1" applyFont="1" applyFill="1" applyBorder="1" applyAlignment="1">
      <alignment vertical="center"/>
    </xf>
    <xf numFmtId="180" fontId="28" fillId="0" borderId="0" xfId="2" applyNumberFormat="1" applyFont="1" applyFill="1" applyBorder="1" applyAlignment="1">
      <alignment vertical="center"/>
    </xf>
    <xf numFmtId="190" fontId="23" fillId="0" borderId="0" xfId="2" quotePrefix="1" applyNumberFormat="1" applyFont="1" applyFill="1" applyBorder="1" applyAlignment="1">
      <alignment vertical="center"/>
    </xf>
    <xf numFmtId="197" fontId="6" fillId="0" borderId="0" xfId="2" applyNumberFormat="1" applyFont="1" applyBorder="1" applyAlignment="1">
      <alignment horizontal="center" vertical="center"/>
    </xf>
    <xf numFmtId="190" fontId="6" fillId="0" borderId="0" xfId="2" applyNumberFormat="1" applyFont="1" applyBorder="1" applyAlignment="1">
      <alignment horizontal="center" vertical="center"/>
    </xf>
    <xf numFmtId="197" fontId="6" fillId="0" borderId="0" xfId="2" quotePrefix="1" applyNumberFormat="1" applyFont="1" applyBorder="1" applyAlignment="1">
      <alignment horizontal="center" vertical="center"/>
    </xf>
    <xf numFmtId="190" fontId="6" fillId="0" borderId="0" xfId="2" quotePrefix="1" applyNumberFormat="1" applyFont="1" applyBorder="1" applyAlignment="1">
      <alignment horizontal="center" vertical="center"/>
    </xf>
    <xf numFmtId="176" fontId="9" fillId="0" borderId="0" xfId="2" applyNumberFormat="1" applyFont="1" applyBorder="1"/>
    <xf numFmtId="190" fontId="6" fillId="0" borderId="0" xfId="2" applyNumberFormat="1" applyFont="1" applyAlignment="1">
      <alignment horizontal="center" vertical="center"/>
    </xf>
    <xf numFmtId="176" fontId="9" fillId="0" borderId="0" xfId="2" applyNumberFormat="1" applyFont="1"/>
    <xf numFmtId="0" fontId="17" fillId="0" borderId="0" xfId="2" applyFont="1" applyBorder="1" applyAlignment="1">
      <alignment horizontal="center" vertical="center"/>
    </xf>
    <xf numFmtId="0" fontId="19" fillId="0" borderId="84" xfId="2" quotePrefix="1" applyFont="1" applyBorder="1" applyAlignment="1">
      <alignment horizontal="center" vertical="center"/>
    </xf>
    <xf numFmtId="176" fontId="19" fillId="0" borderId="0" xfId="2" applyNumberFormat="1" applyFont="1" applyBorder="1" applyAlignment="1">
      <alignment horizontal="right" vertical="center"/>
    </xf>
    <xf numFmtId="190" fontId="19" fillId="0" borderId="12" xfId="2" applyNumberFormat="1" applyFont="1" applyBorder="1" applyAlignment="1">
      <alignment horizontal="right" vertical="center"/>
    </xf>
    <xf numFmtId="176" fontId="19" fillId="0" borderId="88" xfId="2" applyNumberFormat="1" applyFont="1" applyBorder="1" applyAlignment="1">
      <alignment horizontal="right" vertical="center"/>
    </xf>
    <xf numFmtId="176" fontId="19" fillId="0" borderId="12" xfId="2" applyNumberFormat="1" applyFont="1" applyBorder="1" applyAlignment="1">
      <alignment horizontal="right" vertical="center"/>
    </xf>
    <xf numFmtId="190" fontId="19" fillId="0" borderId="13" xfId="2" applyNumberFormat="1" applyFont="1" applyBorder="1" applyAlignment="1">
      <alignment horizontal="right" vertical="center"/>
    </xf>
    <xf numFmtId="176" fontId="19" fillId="0" borderId="31" xfId="2" applyNumberFormat="1" applyFont="1" applyBorder="1" applyAlignment="1">
      <alignment horizontal="right" vertical="center"/>
    </xf>
    <xf numFmtId="176" fontId="9" fillId="0" borderId="0" xfId="2" applyNumberFormat="1" applyFont="1" applyBorder="1" applyAlignment="1">
      <alignment vertical="center"/>
    </xf>
    <xf numFmtId="176" fontId="19" fillId="0" borderId="82" xfId="2" applyNumberFormat="1" applyFont="1" applyBorder="1" applyAlignment="1">
      <alignment horizontal="right" vertical="center"/>
    </xf>
    <xf numFmtId="177" fontId="19" fillId="0" borderId="12" xfId="2" applyNumberFormat="1" applyFont="1" applyBorder="1" applyAlignment="1">
      <alignment horizontal="right" vertical="center"/>
    </xf>
    <xf numFmtId="177" fontId="19" fillId="0" borderId="102" xfId="2" applyNumberFormat="1" applyFont="1" applyBorder="1" applyAlignment="1">
      <alignment horizontal="right" vertical="center"/>
    </xf>
    <xf numFmtId="176" fontId="19" fillId="0" borderId="107" xfId="2" applyNumberFormat="1" applyFont="1" applyBorder="1" applyAlignment="1">
      <alignment horizontal="right" vertical="center"/>
    </xf>
    <xf numFmtId="177" fontId="19" fillId="0" borderId="13" xfId="2" applyNumberFormat="1" applyFont="1" applyBorder="1" applyAlignment="1">
      <alignment horizontal="right" vertical="center"/>
    </xf>
    <xf numFmtId="0" fontId="19" fillId="0" borderId="107" xfId="2" quotePrefix="1" applyFont="1" applyBorder="1" applyAlignment="1">
      <alignment horizontal="center" vertical="center"/>
    </xf>
    <xf numFmtId="176" fontId="80" fillId="0" borderId="0" xfId="2" applyNumberFormat="1" applyFont="1" applyBorder="1" applyAlignment="1">
      <alignment vertical="center"/>
    </xf>
    <xf numFmtId="176" fontId="28" fillId="0" borderId="0" xfId="2" applyNumberFormat="1" applyFont="1" applyBorder="1" applyAlignment="1">
      <alignment vertical="center"/>
    </xf>
    <xf numFmtId="0" fontId="19" fillId="0" borderId="89" xfId="2" quotePrefix="1" applyFont="1" applyBorder="1" applyAlignment="1">
      <alignment horizontal="center" vertical="center"/>
    </xf>
    <xf numFmtId="176" fontId="19" fillId="0" borderId="124" xfId="2" applyNumberFormat="1" applyFont="1" applyBorder="1" applyAlignment="1">
      <alignment horizontal="right" vertical="center"/>
    </xf>
    <xf numFmtId="177" fontId="19" fillId="0" borderId="15" xfId="2" applyNumberFormat="1" applyFont="1" applyBorder="1" applyAlignment="1">
      <alignment horizontal="right" vertical="center"/>
    </xf>
    <xf numFmtId="176" fontId="19" fillId="0" borderId="15" xfId="2" applyNumberFormat="1" applyFont="1" applyBorder="1" applyAlignment="1">
      <alignment horizontal="right" vertical="center"/>
    </xf>
    <xf numFmtId="177" fontId="19" fillId="0" borderId="105" xfId="2" applyNumberFormat="1" applyFont="1" applyBorder="1" applyAlignment="1">
      <alignment horizontal="right" vertical="center"/>
    </xf>
    <xf numFmtId="176" fontId="19" fillId="0" borderId="32" xfId="2" applyNumberFormat="1" applyFont="1" applyBorder="1" applyAlignment="1">
      <alignment horizontal="right" vertical="center"/>
    </xf>
    <xf numFmtId="176" fontId="19" fillId="0" borderId="71" xfId="2" applyNumberFormat="1" applyFont="1" applyBorder="1" applyAlignment="1">
      <alignment horizontal="right" vertical="center"/>
    </xf>
    <xf numFmtId="177" fontId="19" fillId="0" borderId="69" xfId="2" applyNumberFormat="1" applyFont="1" applyBorder="1" applyAlignment="1">
      <alignment horizontal="right" vertical="center"/>
    </xf>
    <xf numFmtId="176" fontId="19" fillId="0" borderId="69" xfId="2" applyNumberFormat="1" applyFont="1" applyBorder="1" applyAlignment="1">
      <alignment horizontal="right" vertical="center"/>
    </xf>
    <xf numFmtId="177" fontId="19" fillId="0" borderId="70" xfId="2" applyNumberFormat="1" applyFont="1" applyBorder="1" applyAlignment="1">
      <alignment horizontal="right" vertical="center"/>
    </xf>
    <xf numFmtId="176" fontId="19" fillId="0" borderId="18" xfId="2" applyNumberFormat="1" applyFont="1" applyBorder="1" applyAlignment="1">
      <alignment horizontal="right" vertical="center"/>
    </xf>
    <xf numFmtId="177" fontId="19" fillId="0" borderId="18" xfId="2" applyNumberFormat="1" applyFont="1" applyBorder="1" applyAlignment="1">
      <alignment horizontal="right" vertical="center"/>
    </xf>
    <xf numFmtId="2" fontId="6" fillId="0" borderId="13" xfId="2" quotePrefix="1" applyNumberFormat="1" applyFont="1" applyBorder="1" applyAlignment="1">
      <alignment horizontal="center" vertical="center"/>
    </xf>
    <xf numFmtId="176" fontId="19" fillId="0" borderId="47" xfId="2" applyNumberFormat="1" applyFont="1" applyBorder="1" applyAlignment="1">
      <alignment horizontal="right" vertical="center"/>
    </xf>
    <xf numFmtId="177" fontId="19" fillId="0" borderId="10" xfId="2" applyNumberFormat="1" applyFont="1" applyBorder="1" applyAlignment="1">
      <alignment horizontal="right" vertical="center"/>
    </xf>
    <xf numFmtId="176" fontId="19" fillId="0" borderId="10" xfId="2" applyNumberFormat="1" applyFont="1" applyBorder="1" applyAlignment="1">
      <alignment horizontal="right" vertical="center"/>
    </xf>
    <xf numFmtId="177" fontId="19" fillId="0" borderId="11" xfId="2" applyNumberFormat="1" applyFont="1" applyBorder="1" applyAlignment="1">
      <alignment horizontal="right" vertical="center"/>
    </xf>
    <xf numFmtId="176" fontId="18" fillId="0" borderId="0" xfId="2" applyNumberFormat="1" applyFont="1" applyBorder="1" applyAlignment="1">
      <alignment vertical="center"/>
    </xf>
    <xf numFmtId="0" fontId="18" fillId="0" borderId="84" xfId="2" quotePrefix="1" applyFont="1" applyBorder="1" applyAlignment="1">
      <alignment horizontal="center" vertical="center"/>
    </xf>
    <xf numFmtId="176" fontId="6" fillId="0" borderId="107" xfId="2" applyNumberFormat="1" applyFont="1" applyBorder="1" applyAlignment="1">
      <alignment horizontal="right" vertical="center"/>
    </xf>
    <xf numFmtId="190" fontId="6" fillId="0" borderId="12" xfId="2" applyNumberFormat="1" applyFont="1" applyBorder="1" applyAlignment="1">
      <alignment horizontal="right" vertical="center"/>
    </xf>
    <xf numFmtId="176" fontId="6" fillId="0" borderId="12" xfId="2" applyNumberFormat="1" applyFont="1" applyBorder="1" applyAlignment="1">
      <alignment horizontal="right" vertical="center"/>
    </xf>
    <xf numFmtId="184" fontId="6" fillId="0" borderId="0" xfId="8" applyFont="1" applyBorder="1" applyAlignment="1">
      <alignment horizontal="right" vertical="center"/>
    </xf>
    <xf numFmtId="184" fontId="6" fillId="0" borderId="31" xfId="8" applyFont="1" applyBorder="1" applyAlignment="1">
      <alignment horizontal="right" vertical="center"/>
    </xf>
    <xf numFmtId="190" fontId="6" fillId="0" borderId="13" xfId="2" applyNumberFormat="1" applyFont="1" applyBorder="1" applyAlignment="1">
      <alignment horizontal="right" vertical="center"/>
    </xf>
    <xf numFmtId="0" fontId="18" fillId="0" borderId="107" xfId="2" quotePrefix="1" applyFont="1" applyBorder="1" applyAlignment="1">
      <alignment horizontal="center" vertical="center"/>
    </xf>
    <xf numFmtId="49" fontId="18" fillId="0" borderId="89" xfId="2" quotePrefix="1" applyNumberFormat="1" applyFont="1" applyFill="1" applyBorder="1" applyAlignment="1">
      <alignment horizontal="center" vertical="center"/>
    </xf>
    <xf numFmtId="176" fontId="6" fillId="0" borderId="124" xfId="2" applyNumberFormat="1" applyFont="1" applyBorder="1" applyAlignment="1">
      <alignment horizontal="right" vertical="center"/>
    </xf>
    <xf numFmtId="190" fontId="6" fillId="0" borderId="15" xfId="2" applyNumberFormat="1" applyFont="1" applyBorder="1" applyAlignment="1">
      <alignment horizontal="right" vertical="center"/>
    </xf>
    <xf numFmtId="176" fontId="6" fillId="0" borderId="15" xfId="2" applyNumberFormat="1" applyFont="1" applyBorder="1" applyAlignment="1">
      <alignment horizontal="right" vertical="center"/>
    </xf>
    <xf numFmtId="184" fontId="6" fillId="0" borderId="119" xfId="8" applyFont="1" applyBorder="1" applyAlignment="1">
      <alignment horizontal="right" vertical="center"/>
    </xf>
    <xf numFmtId="184" fontId="6" fillId="0" borderId="32" xfId="8" applyFont="1" applyBorder="1" applyAlignment="1">
      <alignment horizontal="right" vertical="center"/>
    </xf>
    <xf numFmtId="190" fontId="6" fillId="0" borderId="16" xfId="2" applyNumberFormat="1" applyFont="1" applyBorder="1" applyAlignment="1">
      <alignment horizontal="right" vertical="center"/>
    </xf>
    <xf numFmtId="2" fontId="18" fillId="0" borderId="91" xfId="2" quotePrefix="1" applyNumberFormat="1" applyFont="1" applyBorder="1" applyAlignment="1">
      <alignment horizontal="center" vertical="center"/>
    </xf>
    <xf numFmtId="176" fontId="6" fillId="0" borderId="106" xfId="2" applyNumberFormat="1" applyFont="1" applyBorder="1" applyAlignment="1">
      <alignment horizontal="right" vertical="center"/>
    </xf>
    <xf numFmtId="190" fontId="6" fillId="0" borderId="69" xfId="2" applyNumberFormat="1" applyFont="1" applyBorder="1" applyAlignment="1">
      <alignment horizontal="right" vertical="center"/>
    </xf>
    <xf numFmtId="176" fontId="6" fillId="0" borderId="69" xfId="2" applyNumberFormat="1" applyFont="1" applyBorder="1" applyAlignment="1">
      <alignment horizontal="right" vertical="center"/>
    </xf>
    <xf numFmtId="184" fontId="6" fillId="0" borderId="85" xfId="8" applyFont="1" applyBorder="1" applyAlignment="1">
      <alignment horizontal="right" vertical="center"/>
    </xf>
    <xf numFmtId="184" fontId="6" fillId="0" borderId="68" xfId="8" applyFont="1" applyBorder="1" applyAlignment="1">
      <alignment horizontal="right" vertical="center"/>
    </xf>
    <xf numFmtId="190" fontId="6" fillId="0" borderId="70" xfId="2" applyNumberFormat="1" applyFont="1" applyBorder="1" applyAlignment="1">
      <alignment horizontal="right" vertical="center"/>
    </xf>
    <xf numFmtId="2" fontId="18" fillId="0" borderId="84" xfId="2" quotePrefix="1" applyNumberFormat="1" applyFont="1" applyBorder="1" applyAlignment="1">
      <alignment horizontal="center" vertical="center"/>
    </xf>
    <xf numFmtId="176" fontId="6" fillId="0" borderId="31" xfId="2" applyNumberFormat="1" applyFont="1" applyBorder="1" applyAlignment="1">
      <alignment horizontal="right" vertical="center"/>
    </xf>
    <xf numFmtId="184" fontId="6" fillId="0" borderId="12" xfId="8" applyFont="1" applyBorder="1" applyAlignment="1">
      <alignment horizontal="right" vertical="center"/>
    </xf>
    <xf numFmtId="2" fontId="18" fillId="0" borderId="13" xfId="2" quotePrefix="1" applyNumberFormat="1" applyFont="1" applyBorder="1" applyAlignment="1">
      <alignment horizontal="center" vertical="center"/>
    </xf>
    <xf numFmtId="2" fontId="18" fillId="0" borderId="46" xfId="2" quotePrefix="1" applyNumberFormat="1" applyFont="1" applyBorder="1" applyAlignment="1">
      <alignment horizontal="center" vertical="center"/>
    </xf>
    <xf numFmtId="176" fontId="6" fillId="0" borderId="108" xfId="2" applyNumberFormat="1" applyFont="1" applyBorder="1" applyAlignment="1">
      <alignment horizontal="right" vertical="center"/>
    </xf>
    <xf numFmtId="190" fontId="6" fillId="0" borderId="10" xfId="2" applyNumberFormat="1" applyFont="1" applyBorder="1" applyAlignment="1">
      <alignment horizontal="right" vertical="center"/>
    </xf>
    <xf numFmtId="176" fontId="6" fillId="0" borderId="10" xfId="2" applyNumberFormat="1" applyFont="1" applyBorder="1" applyAlignment="1">
      <alignment horizontal="right" vertical="center"/>
    </xf>
    <xf numFmtId="184" fontId="6" fillId="0" borderId="103" xfId="8" applyFont="1" applyBorder="1" applyAlignment="1">
      <alignment horizontal="right" vertical="center"/>
    </xf>
    <xf numFmtId="184" fontId="6" fillId="0" borderId="30" xfId="8" applyFont="1" applyBorder="1" applyAlignment="1">
      <alignment horizontal="right" vertical="center"/>
    </xf>
    <xf numFmtId="190" fontId="6" fillId="0" borderId="11" xfId="2" applyNumberFormat="1" applyFont="1" applyBorder="1" applyAlignment="1">
      <alignment horizontal="right" vertical="center"/>
    </xf>
    <xf numFmtId="190" fontId="6" fillId="0" borderId="0" xfId="2" applyNumberFormat="1" applyFont="1" applyBorder="1" applyAlignment="1">
      <alignment horizontal="right" vertical="center"/>
    </xf>
    <xf numFmtId="0" fontId="6" fillId="0" borderId="89" xfId="2" quotePrefix="1" applyFont="1" applyBorder="1" applyAlignment="1">
      <alignment horizontal="center" vertical="center"/>
    </xf>
    <xf numFmtId="176" fontId="19" fillId="0" borderId="106" xfId="2" applyNumberFormat="1" applyFont="1" applyBorder="1" applyAlignment="1">
      <alignment horizontal="right" vertical="center"/>
    </xf>
    <xf numFmtId="176" fontId="19" fillId="0" borderId="68" xfId="2" applyNumberFormat="1" applyFont="1" applyBorder="1" applyAlignment="1">
      <alignment horizontal="right" vertical="center"/>
    </xf>
    <xf numFmtId="177" fontId="19" fillId="0" borderId="80" xfId="2" applyNumberFormat="1" applyFont="1" applyBorder="1" applyAlignment="1">
      <alignment horizontal="right" vertical="center"/>
    </xf>
    <xf numFmtId="176" fontId="19" fillId="0" borderId="108" xfId="2" applyNumberFormat="1" applyFont="1" applyBorder="1" applyAlignment="1">
      <alignment horizontal="right" vertical="center"/>
    </xf>
    <xf numFmtId="176" fontId="19" fillId="0" borderId="30" xfId="2" applyNumberFormat="1" applyFont="1" applyBorder="1" applyAlignment="1">
      <alignment horizontal="right" vertical="center"/>
    </xf>
    <xf numFmtId="177" fontId="19" fillId="0" borderId="48" xfId="2" applyNumberFormat="1" applyFont="1" applyBorder="1" applyAlignment="1">
      <alignment horizontal="right" vertical="center"/>
    </xf>
    <xf numFmtId="177" fontId="19" fillId="0" borderId="0" xfId="2" applyNumberFormat="1" applyFont="1" applyBorder="1" applyAlignment="1">
      <alignment horizontal="right" vertical="center"/>
    </xf>
    <xf numFmtId="0" fontId="52" fillId="0" borderId="0" xfId="2" applyFont="1" applyBorder="1" applyAlignment="1">
      <alignment vertical="center"/>
    </xf>
    <xf numFmtId="0" fontId="6" fillId="0" borderId="94" xfId="2" applyFont="1" applyBorder="1" applyAlignment="1">
      <alignment horizontal="center" vertical="center"/>
    </xf>
    <xf numFmtId="176" fontId="6" fillId="0" borderId="82" xfId="2" applyNumberFormat="1" applyFont="1" applyBorder="1" applyAlignment="1">
      <alignment horizontal="right" vertical="center"/>
    </xf>
    <xf numFmtId="176" fontId="6" fillId="0" borderId="88" xfId="2" applyNumberFormat="1" applyFont="1" applyBorder="1" applyAlignment="1">
      <alignment horizontal="right" vertical="center"/>
    </xf>
    <xf numFmtId="176" fontId="6" fillId="0" borderId="102" xfId="2" applyNumberFormat="1" applyFont="1" applyBorder="1" applyAlignment="1">
      <alignment horizontal="right" vertical="center"/>
    </xf>
    <xf numFmtId="176" fontId="6" fillId="0" borderId="13" xfId="2" applyNumberFormat="1" applyFont="1" applyBorder="1" applyAlignment="1">
      <alignment horizontal="right" vertical="center"/>
    </xf>
    <xf numFmtId="181" fontId="6" fillId="0" borderId="12" xfId="8" applyNumberFormat="1" applyFont="1" applyBorder="1" applyAlignment="1">
      <alignment horizontal="right" vertical="center"/>
    </xf>
    <xf numFmtId="176" fontId="6" fillId="0" borderId="32" xfId="2" applyNumberFormat="1" applyFont="1" applyBorder="1" applyAlignment="1">
      <alignment horizontal="right" vertical="center"/>
    </xf>
    <xf numFmtId="41" fontId="6" fillId="0" borderId="15" xfId="8" applyNumberFormat="1" applyFont="1" applyBorder="1" applyAlignment="1">
      <alignment horizontal="right" vertical="center"/>
    </xf>
    <xf numFmtId="176" fontId="6" fillId="0" borderId="16" xfId="2" applyNumberFormat="1" applyFont="1" applyBorder="1" applyAlignment="1">
      <alignment horizontal="right" vertical="center"/>
    </xf>
    <xf numFmtId="184" fontId="28" fillId="0" borderId="0" xfId="2" applyNumberFormat="1" applyFont="1" applyBorder="1" applyAlignment="1">
      <alignment vertical="center"/>
    </xf>
    <xf numFmtId="184" fontId="6" fillId="0" borderId="68" xfId="2" quotePrefix="1" applyNumberFormat="1" applyFont="1" applyBorder="1" applyAlignment="1">
      <alignment vertical="center"/>
    </xf>
    <xf numFmtId="184" fontId="6" fillId="0" borderId="69" xfId="2" quotePrefix="1" applyNumberFormat="1" applyFont="1" applyBorder="1" applyAlignment="1">
      <alignment vertical="center"/>
    </xf>
    <xf numFmtId="41" fontId="6" fillId="0" borderId="69" xfId="8" quotePrefix="1" applyNumberFormat="1" applyFont="1" applyBorder="1" applyAlignment="1">
      <alignment horizontal="right" vertical="center"/>
    </xf>
    <xf numFmtId="184" fontId="6" fillId="0" borderId="70" xfId="2" quotePrefix="1" applyNumberFormat="1" applyFont="1" applyBorder="1" applyAlignment="1">
      <alignment vertical="center"/>
    </xf>
    <xf numFmtId="184" fontId="6" fillId="0" borderId="31" xfId="2" quotePrefix="1" applyNumberFormat="1" applyFont="1" applyBorder="1" applyAlignment="1">
      <alignment vertical="center"/>
    </xf>
    <xf numFmtId="184" fontId="6" fillId="0" borderId="12" xfId="2" quotePrefix="1" applyNumberFormat="1" applyFont="1" applyBorder="1" applyAlignment="1">
      <alignment vertical="center"/>
    </xf>
    <xf numFmtId="41" fontId="6" fillId="0" borderId="12" xfId="8" quotePrefix="1" applyNumberFormat="1" applyFont="1" applyBorder="1" applyAlignment="1">
      <alignment horizontal="right" vertical="center"/>
    </xf>
    <xf numFmtId="184" fontId="6" fillId="0" borderId="13" xfId="2" quotePrefix="1" applyNumberFormat="1" applyFont="1" applyBorder="1" applyAlignment="1">
      <alignment vertical="center"/>
    </xf>
    <xf numFmtId="184" fontId="6" fillId="0" borderId="30" xfId="2" quotePrefix="1" applyNumberFormat="1" applyFont="1" applyBorder="1" applyAlignment="1">
      <alignment vertical="center"/>
    </xf>
    <xf numFmtId="184" fontId="6" fillId="0" borderId="10" xfId="2" quotePrefix="1" applyNumberFormat="1" applyFont="1" applyBorder="1" applyAlignment="1">
      <alignment vertical="center"/>
    </xf>
    <xf numFmtId="41" fontId="6" fillId="0" borderId="10" xfId="8" quotePrefix="1" applyNumberFormat="1" applyFont="1" applyBorder="1" applyAlignment="1">
      <alignment horizontal="right" vertical="center"/>
    </xf>
    <xf numFmtId="184" fontId="6" fillId="0" borderId="11" xfId="2" quotePrefix="1" applyNumberFormat="1" applyFont="1" applyBorder="1" applyAlignment="1">
      <alignment vertical="center"/>
    </xf>
    <xf numFmtId="0" fontId="80" fillId="0" borderId="0" xfId="2" quotePrefix="1" applyFont="1" applyBorder="1" applyAlignment="1">
      <alignment vertical="center"/>
    </xf>
    <xf numFmtId="184" fontId="23" fillId="0" borderId="0" xfId="2" quotePrefix="1" applyNumberFormat="1" applyFont="1" applyBorder="1" applyAlignment="1">
      <alignment vertical="center"/>
    </xf>
    <xf numFmtId="184" fontId="6" fillId="0" borderId="12" xfId="2" quotePrefix="1" applyNumberFormat="1" applyFont="1" applyBorder="1" applyAlignment="1">
      <alignment horizontal="right" vertical="center"/>
    </xf>
    <xf numFmtId="181" fontId="6" fillId="0" borderId="12" xfId="2" quotePrefix="1" applyNumberFormat="1" applyFont="1" applyBorder="1" applyAlignment="1">
      <alignment horizontal="right" vertical="center"/>
    </xf>
    <xf numFmtId="184" fontId="6" fillId="0" borderId="32" xfId="2" quotePrefix="1" applyNumberFormat="1" applyFont="1" applyBorder="1" applyAlignment="1">
      <alignment vertical="center"/>
    </xf>
    <xf numFmtId="184" fontId="6" fillId="0" borderId="15" xfId="2" quotePrefix="1" applyNumberFormat="1" applyFont="1" applyBorder="1" applyAlignment="1">
      <alignment vertical="center"/>
    </xf>
    <xf numFmtId="176" fontId="6" fillId="0" borderId="105" xfId="2" applyNumberFormat="1" applyFont="1" applyBorder="1" applyAlignment="1">
      <alignment horizontal="right" vertical="center"/>
    </xf>
    <xf numFmtId="184" fontId="9" fillId="0" borderId="0" xfId="2" applyNumberFormat="1" applyFont="1" applyBorder="1" applyAlignment="1">
      <alignment vertical="center"/>
    </xf>
    <xf numFmtId="176" fontId="6" fillId="0" borderId="80" xfId="2" applyNumberFormat="1" applyFont="1" applyBorder="1" applyAlignment="1">
      <alignment horizontal="right" vertical="center"/>
    </xf>
    <xf numFmtId="176" fontId="6" fillId="0" borderId="48" xfId="2" applyNumberFormat="1" applyFont="1" applyBorder="1" applyAlignment="1">
      <alignment horizontal="right" vertical="center"/>
    </xf>
    <xf numFmtId="184" fontId="6" fillId="0" borderId="0" xfId="2" quotePrefix="1" applyNumberFormat="1" applyFont="1" applyBorder="1" applyAlignment="1">
      <alignment vertical="center"/>
    </xf>
    <xf numFmtId="176" fontId="6" fillId="0" borderId="119" xfId="2" applyNumberFormat="1" applyFont="1" applyBorder="1" applyAlignment="1">
      <alignment horizontal="right" vertical="center"/>
    </xf>
    <xf numFmtId="176" fontId="6" fillId="0" borderId="67" xfId="2" applyNumberFormat="1" applyFont="1" applyBorder="1" applyAlignment="1">
      <alignment horizontal="right" vertical="center"/>
    </xf>
    <xf numFmtId="176" fontId="6" fillId="0" borderId="90" xfId="2" applyNumberFormat="1" applyFont="1" applyBorder="1" applyAlignment="1">
      <alignment horizontal="right" vertical="center"/>
    </xf>
    <xf numFmtId="41" fontId="6" fillId="0" borderId="67" xfId="2" applyNumberFormat="1" applyFont="1" applyBorder="1" applyAlignment="1">
      <alignment horizontal="right" vertical="center"/>
    </xf>
    <xf numFmtId="180" fontId="28" fillId="0" borderId="0" xfId="2" applyNumberFormat="1" applyFont="1" applyBorder="1" applyAlignment="1">
      <alignment vertical="center"/>
    </xf>
    <xf numFmtId="184" fontId="6" fillId="0" borderId="68" xfId="2" applyNumberFormat="1" applyFont="1" applyFill="1" applyBorder="1" applyAlignment="1">
      <alignment horizontal="right" vertical="center"/>
    </xf>
    <xf numFmtId="184" fontId="6" fillId="0" borderId="69" xfId="2" applyNumberFormat="1" applyFont="1" applyFill="1" applyBorder="1" applyAlignment="1">
      <alignment horizontal="right" vertical="center"/>
    </xf>
    <xf numFmtId="184" fontId="6" fillId="0" borderId="79" xfId="2" applyNumberFormat="1" applyFont="1" applyFill="1" applyBorder="1" applyAlignment="1">
      <alignment horizontal="right" vertical="center"/>
    </xf>
    <xf numFmtId="41" fontId="6" fillId="0" borderId="15" xfId="2" applyNumberFormat="1" applyFont="1" applyBorder="1" applyAlignment="1">
      <alignment horizontal="right" vertical="center"/>
    </xf>
    <xf numFmtId="184" fontId="6" fillId="0" borderId="31" xfId="2" applyNumberFormat="1" applyFont="1" applyFill="1" applyBorder="1" applyAlignment="1">
      <alignment horizontal="right" vertical="center"/>
    </xf>
    <xf numFmtId="184" fontId="6" fillId="0" borderId="12" xfId="2" applyNumberFormat="1" applyFont="1" applyFill="1" applyBorder="1" applyAlignment="1">
      <alignment horizontal="right" vertical="center"/>
    </xf>
    <xf numFmtId="184" fontId="6" fillId="0" borderId="88" xfId="2" applyNumberFormat="1" applyFont="1" applyFill="1" applyBorder="1" applyAlignment="1">
      <alignment horizontal="right" vertical="center"/>
    </xf>
    <xf numFmtId="176" fontId="6" fillId="0" borderId="19" xfId="2" applyNumberFormat="1" applyFont="1" applyBorder="1" applyAlignment="1">
      <alignment horizontal="right" vertical="center"/>
    </xf>
    <xf numFmtId="176" fontId="6" fillId="0" borderId="70" xfId="2" applyNumberFormat="1" applyFont="1" applyBorder="1" applyAlignment="1">
      <alignment horizontal="right" vertical="center"/>
    </xf>
    <xf numFmtId="184" fontId="6" fillId="0" borderId="30" xfId="2" applyNumberFormat="1" applyFont="1" applyFill="1" applyBorder="1" applyAlignment="1">
      <alignment horizontal="right" vertical="center"/>
    </xf>
    <xf numFmtId="184" fontId="6" fillId="0" borderId="10" xfId="2" applyNumberFormat="1" applyFont="1" applyFill="1" applyBorder="1" applyAlignment="1">
      <alignment horizontal="right" vertical="center"/>
    </xf>
    <xf numFmtId="184" fontId="6" fillId="0" borderId="92" xfId="2" applyNumberFormat="1" applyFont="1" applyFill="1" applyBorder="1" applyAlignment="1">
      <alignment horizontal="right" vertical="center"/>
    </xf>
    <xf numFmtId="41" fontId="6" fillId="0" borderId="10" xfId="2" applyNumberFormat="1" applyFont="1" applyBorder="1" applyAlignment="1">
      <alignment horizontal="right" vertical="center"/>
    </xf>
    <xf numFmtId="176" fontId="6" fillId="0" borderId="11" xfId="2" applyNumberFormat="1" applyFont="1" applyBorder="1" applyAlignment="1">
      <alignment horizontal="right" vertical="center"/>
    </xf>
    <xf numFmtId="0" fontId="100" fillId="0" borderId="0" xfId="2" quotePrefix="1" applyFont="1" applyBorder="1" applyAlignment="1">
      <alignment vertical="center"/>
    </xf>
    <xf numFmtId="184" fontId="80" fillId="0" borderId="0" xfId="2" applyNumberFormat="1" applyFont="1" applyFill="1" applyBorder="1" applyAlignment="1">
      <alignment horizontal="right" vertical="center"/>
    </xf>
    <xf numFmtId="0" fontId="9" fillId="0" borderId="0" xfId="2" applyFont="1" applyBorder="1" applyAlignment="1" applyProtection="1">
      <alignment vertical="center"/>
      <protection locked="0"/>
    </xf>
    <xf numFmtId="0" fontId="17" fillId="0" borderId="0" xfId="2" applyFont="1" applyFill="1" applyBorder="1" applyAlignment="1" applyProtection="1">
      <alignment vertical="center"/>
      <protection locked="0"/>
    </xf>
    <xf numFmtId="0" fontId="17" fillId="0" borderId="0" xfId="2" applyFont="1" applyBorder="1" applyAlignment="1" applyProtection="1">
      <alignment vertical="center"/>
      <protection locked="0"/>
    </xf>
    <xf numFmtId="0" fontId="18" fillId="0" borderId="0" xfId="2" applyFont="1" applyBorder="1" applyAlignment="1">
      <alignment horizontal="right" vertical="top"/>
    </xf>
    <xf numFmtId="0" fontId="6" fillId="0" borderId="60" xfId="2" applyFont="1" applyBorder="1" applyAlignment="1" applyProtection="1">
      <alignment horizontal="center" vertical="center"/>
    </xf>
    <xf numFmtId="0" fontId="6" fillId="0" borderId="60" xfId="2" applyFont="1" applyBorder="1" applyAlignment="1">
      <alignment horizontal="center" vertical="center"/>
    </xf>
    <xf numFmtId="0" fontId="6" fillId="0" borderId="61" xfId="2" applyFont="1" applyBorder="1" applyAlignment="1" applyProtection="1">
      <alignment horizontal="center" vertical="center"/>
    </xf>
    <xf numFmtId="0" fontId="22" fillId="0" borderId="0" xfId="2" applyFont="1" applyBorder="1" applyAlignment="1" applyProtection="1">
      <alignment vertical="center"/>
    </xf>
    <xf numFmtId="0" fontId="6" fillId="0" borderId="69" xfId="2" applyFont="1" applyBorder="1" applyAlignment="1" applyProtection="1">
      <alignment horizontal="center" vertical="center"/>
    </xf>
    <xf numFmtId="176" fontId="6" fillId="0" borderId="69" xfId="19" applyNumberFormat="1" applyFont="1" applyBorder="1">
      <alignment vertical="center"/>
    </xf>
    <xf numFmtId="176" fontId="6" fillId="0" borderId="15" xfId="19" applyNumberFormat="1" applyFont="1" applyBorder="1">
      <alignment vertical="center"/>
    </xf>
    <xf numFmtId="184" fontId="6" fillId="0" borderId="69" xfId="8" applyFont="1" applyBorder="1" applyAlignment="1">
      <alignment horizontal="right" vertical="center"/>
    </xf>
    <xf numFmtId="176" fontId="6" fillId="0" borderId="70" xfId="19" applyNumberFormat="1" applyFont="1" applyBorder="1">
      <alignment vertical="center"/>
    </xf>
    <xf numFmtId="176" fontId="22" fillId="0" borderId="0" xfId="2" applyNumberFormat="1" applyFont="1" applyBorder="1" applyAlignment="1" applyProtection="1">
      <alignment vertical="center"/>
    </xf>
    <xf numFmtId="0" fontId="6" fillId="6" borderId="69" xfId="2" applyFont="1" applyFill="1" applyBorder="1" applyAlignment="1" applyProtection="1">
      <alignment horizontal="center" vertical="center"/>
    </xf>
    <xf numFmtId="176" fontId="6" fillId="6" borderId="69" xfId="19" applyNumberFormat="1" applyFont="1" applyFill="1" applyBorder="1">
      <alignment vertical="center"/>
    </xf>
    <xf numFmtId="184" fontId="6" fillId="6" borderId="69" xfId="8" applyFont="1" applyFill="1" applyBorder="1" applyAlignment="1">
      <alignment horizontal="right" vertical="center"/>
    </xf>
    <xf numFmtId="176" fontId="6" fillId="6" borderId="70" xfId="19" applyNumberFormat="1" applyFont="1" applyFill="1" applyBorder="1">
      <alignment vertical="center"/>
    </xf>
    <xf numFmtId="176" fontId="102" fillId="0" borderId="0" xfId="2" applyNumberFormat="1" applyFont="1" applyBorder="1" applyAlignment="1" applyProtection="1">
      <alignment vertical="center"/>
    </xf>
    <xf numFmtId="0" fontId="102" fillId="0" borderId="0" xfId="2" applyFont="1" applyBorder="1" applyAlignment="1" applyProtection="1">
      <alignment vertical="center"/>
    </xf>
    <xf numFmtId="183" fontId="102" fillId="0" borderId="0" xfId="2" applyNumberFormat="1" applyFont="1" applyBorder="1" applyAlignment="1" applyProtection="1">
      <alignment vertical="center"/>
    </xf>
    <xf numFmtId="0" fontId="6" fillId="0" borderId="15" xfId="2" applyFont="1" applyBorder="1" applyAlignment="1" applyProtection="1">
      <alignment horizontal="center" vertical="center"/>
    </xf>
    <xf numFmtId="176" fontId="6" fillId="0" borderId="16" xfId="19" applyNumberFormat="1" applyFont="1" applyBorder="1">
      <alignment vertical="center"/>
    </xf>
    <xf numFmtId="0" fontId="6" fillId="6" borderId="64" xfId="2" applyFont="1" applyFill="1" applyBorder="1" applyAlignment="1" applyProtection="1">
      <alignment horizontal="center" vertical="center"/>
    </xf>
    <xf numFmtId="176" fontId="6" fillId="6" borderId="64" xfId="19" applyNumberFormat="1" applyFont="1" applyFill="1" applyBorder="1">
      <alignment vertical="center"/>
    </xf>
    <xf numFmtId="184" fontId="6" fillId="6" borderId="64" xfId="8" applyFont="1" applyFill="1" applyBorder="1" applyAlignment="1">
      <alignment horizontal="right" vertical="center"/>
    </xf>
    <xf numFmtId="176" fontId="6" fillId="6" borderId="65" xfId="19" applyNumberFormat="1" applyFont="1" applyFill="1" applyBorder="1">
      <alignment vertical="center"/>
    </xf>
    <xf numFmtId="0" fontId="6" fillId="0" borderId="103" xfId="2" applyFont="1" applyBorder="1" applyAlignment="1">
      <alignment horizontal="right" vertical="top"/>
    </xf>
    <xf numFmtId="2" fontId="6" fillId="0" borderId="133" xfId="2" quotePrefix="1" applyNumberFormat="1" applyFont="1" applyBorder="1" applyAlignment="1">
      <alignment horizontal="center" vertical="center"/>
    </xf>
    <xf numFmtId="2" fontId="6" fillId="0" borderId="132" xfId="2" quotePrefix="1" applyNumberFormat="1" applyFont="1" applyBorder="1" applyAlignment="1">
      <alignment horizontal="center" vertical="center"/>
    </xf>
    <xf numFmtId="2" fontId="6" fillId="0" borderId="76" xfId="2" quotePrefix="1" applyNumberFormat="1" applyFont="1" applyBorder="1" applyAlignment="1">
      <alignment horizontal="center" vertical="center"/>
    </xf>
    <xf numFmtId="2" fontId="6" fillId="0" borderId="76" xfId="2" applyNumberFormat="1" applyFont="1" applyBorder="1" applyAlignment="1">
      <alignment horizontal="center" vertical="center"/>
    </xf>
    <xf numFmtId="2" fontId="6" fillId="0" borderId="132" xfId="2" applyNumberFormat="1" applyFont="1" applyBorder="1" applyAlignment="1">
      <alignment horizontal="center" vertical="center"/>
    </xf>
    <xf numFmtId="2" fontId="6" fillId="0" borderId="94" xfId="2" quotePrefix="1" applyNumberFormat="1" applyFont="1" applyBorder="1" applyAlignment="1">
      <alignment horizontal="center" vertical="center"/>
    </xf>
    <xf numFmtId="189" fontId="6" fillId="0" borderId="78" xfId="2" applyNumberFormat="1" applyFont="1" applyFill="1" applyBorder="1" applyAlignment="1">
      <alignment horizontal="right" vertical="center"/>
    </xf>
    <xf numFmtId="189" fontId="6" fillId="0" borderId="60" xfId="2" applyNumberFormat="1" applyFont="1" applyFill="1" applyBorder="1" applyAlignment="1">
      <alignment horizontal="right" vertical="center"/>
    </xf>
    <xf numFmtId="189" fontId="6" fillId="0" borderId="73" xfId="2" applyNumberFormat="1" applyFont="1" applyFill="1" applyBorder="1" applyAlignment="1">
      <alignment horizontal="right" vertical="center"/>
    </xf>
    <xf numFmtId="0" fontId="102" fillId="0" borderId="0" xfId="2" applyFont="1" applyBorder="1" applyAlignment="1">
      <alignment vertical="center"/>
    </xf>
    <xf numFmtId="189" fontId="6" fillId="0" borderId="79" xfId="2" applyNumberFormat="1" applyFont="1" applyFill="1" applyBorder="1" applyAlignment="1">
      <alignment horizontal="right" vertical="center"/>
    </xf>
    <xf numFmtId="189" fontId="6" fillId="0" borderId="69" xfId="2" applyNumberFormat="1" applyFont="1" applyFill="1" applyBorder="1" applyAlignment="1">
      <alignment horizontal="right" vertical="center"/>
    </xf>
    <xf numFmtId="189" fontId="6" fillId="0" borderId="80" xfId="2" applyNumberFormat="1" applyFont="1" applyFill="1" applyBorder="1" applyAlignment="1">
      <alignment horizontal="right" vertical="center"/>
    </xf>
    <xf numFmtId="189" fontId="6" fillId="0" borderId="81" xfId="2" applyNumberFormat="1" applyFont="1" applyFill="1" applyBorder="1" applyAlignment="1">
      <alignment horizontal="right" vertical="center"/>
    </xf>
    <xf numFmtId="189" fontId="6" fillId="0" borderId="64" xfId="2" applyNumberFormat="1" applyFont="1" applyFill="1" applyBorder="1" applyAlignment="1">
      <alignment horizontal="right" vertical="center"/>
    </xf>
    <xf numFmtId="189" fontId="6" fillId="0" borderId="75" xfId="2" applyNumberFormat="1" applyFont="1" applyFill="1" applyBorder="1" applyAlignment="1">
      <alignment horizontal="right" vertical="center"/>
    </xf>
    <xf numFmtId="0" fontId="6" fillId="0" borderId="31" xfId="2" applyFont="1" applyBorder="1" applyAlignment="1" applyProtection="1">
      <alignment horizontal="center" vertical="center"/>
    </xf>
    <xf numFmtId="0" fontId="6" fillId="0" borderId="105" xfId="2" applyFont="1" applyBorder="1" applyAlignment="1" applyProtection="1">
      <alignment horizontal="center" vertical="center"/>
    </xf>
    <xf numFmtId="189" fontId="6" fillId="0" borderId="90" xfId="2" applyNumberFormat="1" applyFont="1" applyFill="1" applyBorder="1" applyAlignment="1">
      <alignment horizontal="right" vertical="center"/>
    </xf>
    <xf numFmtId="189" fontId="6" fillId="0" borderId="105" xfId="2" applyNumberFormat="1" applyFont="1" applyFill="1" applyBorder="1" applyAlignment="1">
      <alignment horizontal="right" vertical="center"/>
    </xf>
    <xf numFmtId="0" fontId="6" fillId="0" borderId="80" xfId="2" applyFont="1" applyBorder="1" applyAlignment="1" applyProtection="1">
      <alignment horizontal="center" vertical="center"/>
    </xf>
    <xf numFmtId="0" fontId="6" fillId="0" borderId="30" xfId="2" applyFont="1" applyBorder="1" applyAlignment="1" applyProtection="1">
      <alignment horizontal="center" vertical="center"/>
    </xf>
    <xf numFmtId="189" fontId="6" fillId="0" borderId="133" xfId="2" applyNumberFormat="1" applyFont="1" applyFill="1" applyBorder="1" applyAlignment="1">
      <alignment horizontal="right" vertical="center"/>
    </xf>
    <xf numFmtId="189" fontId="6" fillId="0" borderId="132" xfId="2" applyNumberFormat="1" applyFont="1" applyFill="1" applyBorder="1" applyAlignment="1">
      <alignment horizontal="right" vertical="center"/>
    </xf>
    <xf numFmtId="189" fontId="6" fillId="0" borderId="94" xfId="2" applyNumberFormat="1" applyFont="1" applyFill="1" applyBorder="1" applyAlignment="1">
      <alignment horizontal="right" vertical="center"/>
    </xf>
    <xf numFmtId="189" fontId="9" fillId="0" borderId="0" xfId="2" applyNumberFormat="1" applyFont="1" applyBorder="1" applyAlignment="1">
      <alignment vertical="center"/>
    </xf>
    <xf numFmtId="0" fontId="17" fillId="0" borderId="0" xfId="2" quotePrefix="1" applyFont="1" applyBorder="1" applyAlignment="1">
      <alignment vertical="center"/>
    </xf>
    <xf numFmtId="0" fontId="6" fillId="0" borderId="131" xfId="2" applyFont="1" applyBorder="1" applyAlignment="1" applyProtection="1">
      <alignment horizontal="center" vertical="center"/>
    </xf>
    <xf numFmtId="0" fontId="6" fillId="0" borderId="132" xfId="2" applyFont="1" applyBorder="1" applyAlignment="1" applyProtection="1">
      <alignment horizontal="center" vertical="center"/>
    </xf>
    <xf numFmtId="0" fontId="6" fillId="0" borderId="165" xfId="2" applyFont="1" applyBorder="1" applyAlignment="1" applyProtection="1">
      <alignment horizontal="center" vertical="center"/>
    </xf>
    <xf numFmtId="0" fontId="6" fillId="0" borderId="27" xfId="2" applyFont="1" applyBorder="1" applyAlignment="1" applyProtection="1">
      <alignment horizontal="center" vertical="center"/>
    </xf>
    <xf numFmtId="0" fontId="6" fillId="0" borderId="41" xfId="2" applyFont="1" applyBorder="1" applyAlignment="1" applyProtection="1">
      <alignment horizontal="center" vertical="center"/>
    </xf>
    <xf numFmtId="0" fontId="6" fillId="0" borderId="110" xfId="2" applyFont="1" applyBorder="1" applyAlignment="1" applyProtection="1">
      <alignment horizontal="center" vertical="center"/>
    </xf>
    <xf numFmtId="0" fontId="6" fillId="0" borderId="29" xfId="2" applyFont="1" applyBorder="1" applyAlignment="1" applyProtection="1">
      <alignment horizontal="center" vertical="center"/>
    </xf>
    <xf numFmtId="176" fontId="6" fillId="0" borderId="59" xfId="2" applyNumberFormat="1" applyFont="1" applyFill="1" applyBorder="1" applyAlignment="1" applyProtection="1">
      <alignment horizontal="right" vertical="center"/>
    </xf>
    <xf numFmtId="176" fontId="6" fillId="0" borderId="27" xfId="2" applyNumberFormat="1" applyFont="1" applyFill="1" applyBorder="1" applyAlignment="1" applyProtection="1">
      <alignment horizontal="right" vertical="center"/>
    </xf>
    <xf numFmtId="176" fontId="6" fillId="0" borderId="29" xfId="2" applyNumberFormat="1" applyFont="1" applyFill="1" applyBorder="1" applyAlignment="1" applyProtection="1">
      <alignment horizontal="right" vertical="center"/>
    </xf>
    <xf numFmtId="176" fontId="6" fillId="0" borderId="33" xfId="2" applyNumberFormat="1" applyFont="1" applyFill="1" applyBorder="1" applyAlignment="1" applyProtection="1">
      <alignment horizontal="right" vertical="center"/>
    </xf>
    <xf numFmtId="176" fontId="6" fillId="0" borderId="18" xfId="2" applyNumberFormat="1" applyFont="1" applyFill="1" applyBorder="1" applyAlignment="1" applyProtection="1">
      <alignment horizontal="right" vertical="center"/>
    </xf>
    <xf numFmtId="176" fontId="6" fillId="0" borderId="19" xfId="2" applyNumberFormat="1" applyFont="1" applyFill="1" applyBorder="1" applyAlignment="1" applyProtection="1">
      <alignment horizontal="right" vertical="center"/>
    </xf>
    <xf numFmtId="0" fontId="18" fillId="0" borderId="0" xfId="2" applyFont="1" applyBorder="1" applyAlignment="1" applyProtection="1">
      <alignment vertical="center"/>
    </xf>
    <xf numFmtId="176" fontId="6" fillId="0" borderId="68" xfId="2" applyNumberFormat="1" applyFont="1" applyFill="1" applyBorder="1" applyAlignment="1" applyProtection="1">
      <alignment horizontal="right" vertical="center"/>
    </xf>
    <xf numFmtId="176" fontId="6" fillId="0" borderId="69" xfId="2" applyNumberFormat="1" applyFont="1" applyFill="1" applyBorder="1" applyAlignment="1" applyProtection="1">
      <alignment horizontal="right" vertical="center"/>
    </xf>
    <xf numFmtId="176" fontId="6" fillId="0" borderId="70" xfId="2" applyNumberFormat="1" applyFont="1" applyFill="1" applyBorder="1" applyAlignment="1" applyProtection="1">
      <alignment horizontal="right" vertical="center"/>
    </xf>
    <xf numFmtId="176" fontId="6" fillId="0" borderId="63" xfId="2" applyNumberFormat="1" applyFont="1" applyFill="1" applyBorder="1" applyAlignment="1" applyProtection="1">
      <alignment horizontal="right" vertical="center"/>
    </xf>
    <xf numFmtId="176" fontId="6" fillId="0" borderId="64" xfId="2" applyNumberFormat="1" applyFont="1" applyFill="1" applyBorder="1" applyAlignment="1" applyProtection="1">
      <alignment horizontal="right" vertical="center"/>
    </xf>
    <xf numFmtId="176" fontId="6" fillId="0" borderId="65" xfId="2" applyNumberFormat="1" applyFont="1" applyFill="1" applyBorder="1" applyAlignment="1" applyProtection="1">
      <alignment horizontal="right" vertical="center"/>
    </xf>
    <xf numFmtId="176" fontId="6" fillId="0" borderId="32" xfId="2" applyNumberFormat="1" applyFont="1" applyFill="1" applyBorder="1" applyAlignment="1" applyProtection="1">
      <alignment horizontal="right" vertical="center"/>
    </xf>
    <xf numFmtId="176" fontId="6" fillId="0" borderId="15" xfId="2" applyNumberFormat="1" applyFont="1" applyFill="1" applyBorder="1" applyAlignment="1" applyProtection="1">
      <alignment horizontal="right" vertical="center"/>
    </xf>
    <xf numFmtId="176" fontId="6" fillId="0" borderId="16" xfId="2" applyNumberFormat="1" applyFont="1" applyFill="1" applyBorder="1" applyAlignment="1" applyProtection="1">
      <alignment horizontal="right" vertical="center"/>
    </xf>
    <xf numFmtId="0" fontId="6" fillId="0" borderId="0" xfId="2" applyFont="1" applyBorder="1" applyAlignment="1" applyProtection="1">
      <alignment vertical="center"/>
    </xf>
    <xf numFmtId="176" fontId="6" fillId="0" borderId="131" xfId="2" applyNumberFormat="1" applyFont="1" applyFill="1" applyBorder="1" applyAlignment="1" applyProtection="1">
      <alignment horizontal="right" vertical="center"/>
    </xf>
    <xf numFmtId="176" fontId="6" fillId="0" borderId="132" xfId="2" applyNumberFormat="1" applyFont="1" applyFill="1" applyBorder="1" applyAlignment="1" applyProtection="1">
      <alignment horizontal="right" vertical="center"/>
    </xf>
    <xf numFmtId="176" fontId="6" fillId="0" borderId="10" xfId="2" applyNumberFormat="1" applyFont="1" applyFill="1" applyBorder="1" applyAlignment="1" applyProtection="1">
      <alignment horizontal="right" vertical="center"/>
    </xf>
    <xf numFmtId="176" fontId="6" fillId="0" borderId="34" xfId="2" applyNumberFormat="1" applyFont="1" applyFill="1" applyBorder="1" applyAlignment="1" applyProtection="1">
      <alignment horizontal="right" vertical="center"/>
    </xf>
    <xf numFmtId="0" fontId="16" fillId="0" borderId="0" xfId="2" applyFont="1" applyBorder="1" applyAlignment="1" applyProtection="1">
      <alignment vertical="center"/>
      <protection locked="0"/>
    </xf>
    <xf numFmtId="189" fontId="19" fillId="0" borderId="103" xfId="2" applyNumberFormat="1" applyFont="1" applyFill="1" applyBorder="1" applyAlignment="1">
      <alignment horizontal="right" vertical="center"/>
    </xf>
    <xf numFmtId="0" fontId="6" fillId="0" borderId="103" xfId="2" applyFont="1" applyBorder="1" applyAlignment="1">
      <alignment horizontal="right" vertical="center"/>
    </xf>
    <xf numFmtId="0" fontId="6" fillId="0" borderId="96" xfId="2" applyFont="1" applyBorder="1" applyAlignment="1" applyProtection="1">
      <alignment horizontal="center" vertical="center"/>
    </xf>
    <xf numFmtId="189" fontId="6" fillId="0" borderId="59" xfId="2" applyNumberFormat="1" applyFont="1" applyFill="1" applyBorder="1" applyAlignment="1">
      <alignment horizontal="right" vertical="center"/>
    </xf>
    <xf numFmtId="189" fontId="6" fillId="0" borderId="44" xfId="2" applyNumberFormat="1" applyFont="1" applyFill="1" applyBorder="1" applyAlignment="1">
      <alignment horizontal="right" vertical="center"/>
    </xf>
    <xf numFmtId="189" fontId="6" fillId="0" borderId="41" xfId="2" applyNumberFormat="1" applyFont="1" applyFill="1" applyBorder="1" applyAlignment="1">
      <alignment horizontal="right" vertical="center"/>
    </xf>
    <xf numFmtId="189" fontId="6" fillId="0" borderId="61" xfId="2" applyNumberFormat="1" applyFont="1" applyFill="1" applyBorder="1" applyAlignment="1">
      <alignment horizontal="right" vertical="center"/>
    </xf>
    <xf numFmtId="189" fontId="19" fillId="0" borderId="0" xfId="2" applyNumberFormat="1" applyFont="1" applyBorder="1" applyAlignment="1">
      <alignment vertical="center"/>
    </xf>
    <xf numFmtId="189" fontId="102" fillId="0" borderId="0" xfId="2" applyNumberFormat="1" applyFont="1" applyBorder="1" applyAlignment="1">
      <alignment vertical="center"/>
    </xf>
    <xf numFmtId="189" fontId="6" fillId="0" borderId="33" xfId="2" applyNumberFormat="1" applyFont="1" applyFill="1" applyBorder="1" applyAlignment="1">
      <alignment horizontal="right" vertical="center"/>
    </xf>
    <xf numFmtId="189" fontId="6" fillId="0" borderId="18" xfId="2" applyNumberFormat="1" applyFont="1" applyFill="1" applyBorder="1" applyAlignment="1">
      <alignment horizontal="right" vertical="center"/>
    </xf>
    <xf numFmtId="189" fontId="6" fillId="0" borderId="83" xfId="2" applyNumberFormat="1" applyFont="1" applyFill="1" applyBorder="1" applyAlignment="1">
      <alignment horizontal="right" vertical="center"/>
    </xf>
    <xf numFmtId="189" fontId="6" fillId="0" borderId="19" xfId="2" applyNumberFormat="1" applyFont="1" applyFill="1" applyBorder="1" applyAlignment="1">
      <alignment horizontal="right" vertical="center"/>
    </xf>
    <xf numFmtId="176" fontId="6" fillId="0" borderId="18" xfId="2" applyNumberFormat="1" applyFont="1" applyFill="1" applyBorder="1" applyAlignment="1">
      <alignment horizontal="right" vertical="center"/>
    </xf>
    <xf numFmtId="189" fontId="6" fillId="0" borderId="63" xfId="2" applyNumberFormat="1" applyFont="1" applyFill="1" applyBorder="1" applyAlignment="1">
      <alignment horizontal="right" vertical="center"/>
    </xf>
    <xf numFmtId="189" fontId="6" fillId="0" borderId="65" xfId="2" applyNumberFormat="1" applyFont="1" applyFill="1" applyBorder="1" applyAlignment="1">
      <alignment horizontal="right" vertical="center"/>
    </xf>
    <xf numFmtId="189" fontId="6" fillId="0" borderId="16" xfId="2" applyNumberFormat="1" applyFont="1" applyFill="1" applyBorder="1" applyAlignment="1">
      <alignment horizontal="right" vertical="center"/>
    </xf>
    <xf numFmtId="189" fontId="6" fillId="0" borderId="68" xfId="2" applyNumberFormat="1" applyFont="1" applyFill="1" applyBorder="1" applyAlignment="1">
      <alignment horizontal="right" vertical="center"/>
    </xf>
    <xf numFmtId="189" fontId="6" fillId="0" borderId="70" xfId="2" applyNumberFormat="1" applyFont="1" applyFill="1" applyBorder="1" applyAlignment="1">
      <alignment horizontal="right" vertical="center"/>
    </xf>
    <xf numFmtId="189" fontId="6" fillId="0" borderId="71" xfId="2" applyNumberFormat="1" applyFont="1" applyFill="1" applyBorder="1" applyAlignment="1">
      <alignment horizontal="right" vertical="center"/>
    </xf>
    <xf numFmtId="189" fontId="6" fillId="0" borderId="131" xfId="2" applyNumberFormat="1" applyFont="1" applyFill="1" applyBorder="1" applyAlignment="1">
      <alignment horizontal="right" vertical="center"/>
    </xf>
    <xf numFmtId="176" fontId="6" fillId="0" borderId="132" xfId="2" applyNumberFormat="1" applyFont="1" applyFill="1" applyBorder="1" applyAlignment="1">
      <alignment horizontal="right" vertical="center"/>
    </xf>
    <xf numFmtId="189" fontId="6" fillId="0" borderId="34" xfId="2" applyNumberFormat="1" applyFont="1" applyFill="1" applyBorder="1" applyAlignment="1">
      <alignment horizontal="right" vertical="center"/>
    </xf>
    <xf numFmtId="0" fontId="19" fillId="0" borderId="0" xfId="2" applyFont="1" applyBorder="1" applyAlignment="1">
      <alignment vertical="center"/>
    </xf>
    <xf numFmtId="189" fontId="6" fillId="0" borderId="0" xfId="2" applyNumberFormat="1" applyFont="1" applyBorder="1" applyAlignment="1">
      <alignment vertical="center"/>
    </xf>
    <xf numFmtId="189" fontId="18" fillId="0" borderId="0" xfId="2" applyNumberFormat="1" applyFont="1" applyBorder="1" applyAlignment="1">
      <alignment vertical="center"/>
    </xf>
    <xf numFmtId="189" fontId="22" fillId="0" borderId="0" xfId="2" applyNumberFormat="1" applyFont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189" fontId="17" fillId="0" borderId="0" xfId="2" applyNumberFormat="1" applyFont="1" applyAlignment="1">
      <alignment horizontal="right" vertical="center"/>
    </xf>
    <xf numFmtId="0" fontId="6" fillId="0" borderId="0" xfId="2" applyFont="1" applyFill="1" applyAlignment="1">
      <alignment horizontal="right" vertical="center"/>
    </xf>
    <xf numFmtId="206" fontId="22" fillId="0" borderId="0" xfId="2" applyNumberFormat="1" applyFont="1" applyAlignment="1">
      <alignment vertical="center"/>
    </xf>
    <xf numFmtId="41" fontId="6" fillId="0" borderId="27" xfId="6" applyFont="1" applyFill="1" applyBorder="1" applyAlignment="1">
      <alignment horizontal="center" wrapText="1"/>
    </xf>
    <xf numFmtId="41" fontId="6" fillId="0" borderId="27" xfId="6" applyFont="1" applyFill="1" applyBorder="1" applyAlignment="1">
      <alignment horizontal="center"/>
    </xf>
    <xf numFmtId="41" fontId="6" fillId="0" borderId="10" xfId="6" applyFont="1" applyFill="1" applyBorder="1" applyAlignment="1">
      <alignment horizontal="center" vertical="top" wrapText="1"/>
    </xf>
    <xf numFmtId="41" fontId="6" fillId="0" borderId="10" xfId="6" applyFont="1" applyFill="1" applyBorder="1" applyAlignment="1">
      <alignment horizontal="center" vertical="top"/>
    </xf>
    <xf numFmtId="0" fontId="6" fillId="0" borderId="84" xfId="6" quotePrefix="1" applyNumberFormat="1" applyFont="1" applyBorder="1" applyAlignment="1">
      <alignment horizontal="center" vertical="center"/>
    </xf>
    <xf numFmtId="41" fontId="6" fillId="0" borderId="31" xfId="6" applyFont="1" applyFill="1" applyBorder="1" applyAlignment="1">
      <alignment vertical="center"/>
    </xf>
    <xf numFmtId="41" fontId="6" fillId="0" borderId="12" xfId="6" applyFont="1" applyFill="1" applyBorder="1" applyAlignment="1">
      <alignment vertical="center"/>
    </xf>
    <xf numFmtId="20" fontId="6" fillId="0" borderId="12" xfId="6" applyNumberFormat="1" applyFont="1" applyFill="1" applyBorder="1" applyAlignment="1">
      <alignment vertical="center"/>
    </xf>
    <xf numFmtId="177" fontId="6" fillId="0" borderId="12" xfId="6" applyNumberFormat="1" applyFont="1" applyFill="1" applyBorder="1" applyAlignment="1">
      <alignment vertical="center"/>
    </xf>
    <xf numFmtId="190" fontId="19" fillId="0" borderId="0" xfId="2" quotePrefix="1" applyNumberFormat="1" applyFont="1" applyFill="1" applyBorder="1" applyAlignment="1">
      <alignment horizontal="right" vertical="center"/>
    </xf>
    <xf numFmtId="190" fontId="18" fillId="0" borderId="0" xfId="2" applyNumberFormat="1" applyFont="1" applyAlignment="1">
      <alignment vertical="center"/>
    </xf>
    <xf numFmtId="189" fontId="18" fillId="0" borderId="0" xfId="2" applyNumberFormat="1" applyFont="1" applyAlignment="1">
      <alignment vertical="center"/>
    </xf>
    <xf numFmtId="189" fontId="18" fillId="0" borderId="0" xfId="2" applyNumberFormat="1" applyFont="1" applyAlignment="1">
      <alignment horizontal="right" vertical="center"/>
    </xf>
    <xf numFmtId="179" fontId="6" fillId="0" borderId="12" xfId="6" applyNumberFormat="1" applyFont="1" applyFill="1" applyBorder="1" applyAlignment="1">
      <alignment vertical="center"/>
    </xf>
    <xf numFmtId="179" fontId="6" fillId="0" borderId="13" xfId="6" applyNumberFormat="1" applyFont="1" applyFill="1" applyBorder="1" applyAlignment="1">
      <alignment vertical="center"/>
    </xf>
    <xf numFmtId="20" fontId="6" fillId="0" borderId="12" xfId="6" applyNumberFormat="1" applyFont="1" applyBorder="1" applyAlignment="1">
      <alignment vertical="center"/>
    </xf>
    <xf numFmtId="187" fontId="19" fillId="0" borderId="0" xfId="2" quotePrefix="1" applyNumberFormat="1" applyFont="1" applyFill="1" applyBorder="1" applyAlignment="1">
      <alignment horizontal="right" vertical="center"/>
    </xf>
    <xf numFmtId="190" fontId="18" fillId="0" borderId="0" xfId="2" applyNumberFormat="1" applyFont="1" applyFill="1" applyAlignment="1">
      <alignment vertical="center"/>
    </xf>
    <xf numFmtId="186" fontId="18" fillId="0" borderId="0" xfId="2" applyNumberFormat="1" applyFont="1" applyFill="1" applyAlignment="1">
      <alignment vertical="center"/>
    </xf>
    <xf numFmtId="189" fontId="18" fillId="0" borderId="0" xfId="2" applyNumberFormat="1" applyFont="1" applyFill="1" applyAlignment="1">
      <alignment horizontal="right" vertical="center"/>
    </xf>
    <xf numFmtId="41" fontId="6" fillId="0" borderId="31" xfId="6" applyNumberFormat="1" applyFont="1" applyBorder="1" applyAlignment="1">
      <alignment vertical="center"/>
    </xf>
    <xf numFmtId="41" fontId="6" fillId="0" borderId="12" xfId="6" applyNumberFormat="1" applyFont="1" applyBorder="1" applyAlignment="1">
      <alignment vertical="center"/>
    </xf>
    <xf numFmtId="190" fontId="6" fillId="0" borderId="0" xfId="2" applyNumberFormat="1" applyFont="1" applyFill="1" applyBorder="1" applyAlignment="1">
      <alignment vertical="center"/>
    </xf>
    <xf numFmtId="181" fontId="6" fillId="0" borderId="84" xfId="2" applyNumberFormat="1" applyFont="1" applyBorder="1" applyAlignment="1">
      <alignment horizontal="center" vertical="center"/>
    </xf>
    <xf numFmtId="190" fontId="28" fillId="0" borderId="0" xfId="2" applyNumberFormat="1" applyFont="1"/>
    <xf numFmtId="41" fontId="6" fillId="0" borderId="107" xfId="6" applyFont="1" applyBorder="1" applyAlignment="1">
      <alignment vertical="center"/>
    </xf>
    <xf numFmtId="41" fontId="6" fillId="0" borderId="82" xfId="6" applyFont="1" applyBorder="1" applyAlignment="1">
      <alignment vertical="center"/>
    </xf>
    <xf numFmtId="181" fontId="6" fillId="0" borderId="91" xfId="2" applyNumberFormat="1" applyFont="1" applyBorder="1" applyAlignment="1">
      <alignment vertical="center"/>
    </xf>
    <xf numFmtId="41" fontId="6" fillId="0" borderId="68" xfId="6" quotePrefix="1" applyFont="1" applyFill="1" applyBorder="1" applyAlignment="1">
      <alignment horizontal="right" vertical="center"/>
    </xf>
    <xf numFmtId="41" fontId="6" fillId="0" borderId="69" xfId="6" quotePrefix="1" applyFont="1" applyFill="1" applyBorder="1" applyAlignment="1">
      <alignment horizontal="right" vertical="center"/>
    </xf>
    <xf numFmtId="41" fontId="6" fillId="0" borderId="69" xfId="6" quotePrefix="1" applyFont="1" applyFill="1" applyBorder="1" applyAlignment="1">
      <alignment horizontal="center" vertical="center"/>
    </xf>
    <xf numFmtId="20" fontId="6" fillId="0" borderId="69" xfId="6" quotePrefix="1" applyNumberFormat="1" applyFont="1" applyBorder="1" applyAlignment="1">
      <alignment horizontal="right" vertical="center"/>
    </xf>
    <xf numFmtId="179" fontId="6" fillId="0" borderId="69" xfId="6" quotePrefix="1" applyNumberFormat="1" applyFont="1" applyFill="1" applyBorder="1" applyAlignment="1">
      <alignment horizontal="right" vertical="center"/>
    </xf>
    <xf numFmtId="179" fontId="6" fillId="0" borderId="70" xfId="6" quotePrefix="1" applyNumberFormat="1" applyFont="1" applyFill="1" applyBorder="1" applyAlignment="1">
      <alignment horizontal="right" vertical="center"/>
    </xf>
    <xf numFmtId="0" fontId="103" fillId="0" borderId="0" xfId="20" applyFont="1" applyFill="1" applyBorder="1" applyAlignment="1">
      <alignment vertical="center"/>
    </xf>
    <xf numFmtId="179" fontId="103" fillId="0" borderId="0" xfId="20" applyNumberFormat="1" applyFont="1" applyFill="1" applyBorder="1" applyAlignment="1">
      <alignment vertical="center"/>
    </xf>
    <xf numFmtId="181" fontId="6" fillId="0" borderId="84" xfId="2" applyNumberFormat="1" applyFont="1" applyBorder="1" applyAlignment="1">
      <alignment vertical="center"/>
    </xf>
    <xf numFmtId="41" fontId="6" fillId="0" borderId="31" xfId="6" quotePrefix="1" applyFont="1" applyFill="1" applyBorder="1" applyAlignment="1">
      <alignment horizontal="right" vertical="center"/>
    </xf>
    <xf numFmtId="41" fontId="6" fillId="0" borderId="12" xfId="6" quotePrefix="1" applyFont="1" applyFill="1" applyBorder="1" applyAlignment="1">
      <alignment horizontal="center" vertical="center"/>
    </xf>
    <xf numFmtId="181" fontId="23" fillId="0" borderId="91" xfId="2" applyNumberFormat="1" applyFont="1" applyBorder="1" applyAlignment="1">
      <alignment vertical="center"/>
    </xf>
    <xf numFmtId="41" fontId="23" fillId="0" borderId="68" xfId="6" quotePrefix="1" applyFont="1" applyFill="1" applyBorder="1" applyAlignment="1">
      <alignment horizontal="right" vertical="center"/>
    </xf>
    <xf numFmtId="41" fontId="23" fillId="0" borderId="69" xfId="6" quotePrefix="1" applyFont="1" applyFill="1" applyBorder="1" applyAlignment="1">
      <alignment horizontal="right" vertical="center"/>
    </xf>
    <xf numFmtId="41" fontId="23" fillId="0" borderId="69" xfId="6" quotePrefix="1" applyFont="1" applyFill="1" applyBorder="1" applyAlignment="1">
      <alignment horizontal="center" vertical="center"/>
    </xf>
    <xf numFmtId="20" fontId="23" fillId="0" borderId="69" xfId="6" quotePrefix="1" applyNumberFormat="1" applyFont="1" applyBorder="1" applyAlignment="1">
      <alignment horizontal="right" vertical="center"/>
    </xf>
    <xf numFmtId="179" fontId="23" fillId="0" borderId="69" xfId="6" quotePrefix="1" applyNumberFormat="1" applyFont="1" applyFill="1" applyBorder="1" applyAlignment="1">
      <alignment horizontal="right" vertical="center"/>
    </xf>
    <xf numFmtId="179" fontId="23" fillId="0" borderId="70" xfId="6" quotePrefix="1" applyNumberFormat="1" applyFont="1" applyFill="1" applyBorder="1" applyAlignment="1">
      <alignment horizontal="right" vertical="center"/>
    </xf>
    <xf numFmtId="181" fontId="6" fillId="0" borderId="140" xfId="2" applyNumberFormat="1" applyFont="1" applyBorder="1" applyAlignment="1">
      <alignment vertical="center"/>
    </xf>
    <xf numFmtId="41" fontId="6" fillId="0" borderId="33" xfId="6" quotePrefix="1" applyFont="1" applyFill="1" applyBorder="1" applyAlignment="1">
      <alignment horizontal="right" vertical="center"/>
    </xf>
    <xf numFmtId="41" fontId="6" fillId="0" borderId="18" xfId="6" quotePrefix="1" applyFont="1" applyFill="1" applyBorder="1" applyAlignment="1">
      <alignment horizontal="right" vertical="center"/>
    </xf>
    <xf numFmtId="41" fontId="6" fillId="0" borderId="18" xfId="6" quotePrefix="1" applyFont="1" applyFill="1" applyBorder="1" applyAlignment="1">
      <alignment horizontal="center" vertical="center"/>
    </xf>
    <xf numFmtId="20" fontId="6" fillId="0" borderId="18" xfId="6" quotePrefix="1" applyNumberFormat="1" applyFont="1" applyBorder="1" applyAlignment="1">
      <alignment horizontal="right" vertical="center"/>
    </xf>
    <xf numFmtId="179" fontId="6" fillId="0" borderId="18" xfId="6" quotePrefix="1" applyNumberFormat="1" applyFont="1" applyFill="1" applyBorder="1" applyAlignment="1">
      <alignment horizontal="right" vertical="center"/>
    </xf>
    <xf numFmtId="179" fontId="6" fillId="0" borderId="19" xfId="6" quotePrefix="1" applyNumberFormat="1" applyFont="1" applyFill="1" applyBorder="1" applyAlignment="1">
      <alignment horizontal="right" vertical="center"/>
    </xf>
    <xf numFmtId="0" fontId="28" fillId="0" borderId="0" xfId="2" applyFont="1" applyBorder="1"/>
    <xf numFmtId="190" fontId="28" fillId="0" borderId="0" xfId="2" applyNumberFormat="1" applyFont="1" applyBorder="1"/>
    <xf numFmtId="181" fontId="23" fillId="0" borderId="84" xfId="2" applyNumberFormat="1" applyFont="1" applyBorder="1" applyAlignment="1">
      <alignment vertical="center"/>
    </xf>
    <xf numFmtId="41" fontId="23" fillId="0" borderId="31" xfId="6" quotePrefix="1" applyFont="1" applyFill="1" applyBorder="1" applyAlignment="1">
      <alignment horizontal="right" vertical="center"/>
    </xf>
    <xf numFmtId="41" fontId="23" fillId="0" borderId="12" xfId="6" quotePrefix="1" applyFont="1" applyFill="1" applyBorder="1" applyAlignment="1">
      <alignment horizontal="right" vertical="center"/>
    </xf>
    <xf numFmtId="41" fontId="23" fillId="0" borderId="12" xfId="6" quotePrefix="1" applyFont="1" applyFill="1" applyBorder="1" applyAlignment="1">
      <alignment horizontal="center" vertical="center"/>
    </xf>
    <xf numFmtId="20" fontId="23" fillId="0" borderId="12" xfId="6" quotePrefix="1" applyNumberFormat="1" applyFont="1" applyBorder="1" applyAlignment="1">
      <alignment horizontal="right" vertical="center"/>
    </xf>
    <xf numFmtId="179" fontId="23" fillId="0" borderId="12" xfId="6" quotePrefix="1" applyNumberFormat="1" applyFont="1" applyFill="1" applyBorder="1" applyAlignment="1">
      <alignment horizontal="right" vertical="center"/>
    </xf>
    <xf numFmtId="179" fontId="23" fillId="0" borderId="13" xfId="6" quotePrefix="1" applyNumberFormat="1" applyFont="1" applyFill="1" applyBorder="1" applyAlignment="1">
      <alignment horizontal="right" vertical="center"/>
    </xf>
    <xf numFmtId="181" fontId="23" fillId="0" borderId="46" xfId="2" applyNumberFormat="1" applyFont="1" applyBorder="1" applyAlignment="1">
      <alignment vertical="center"/>
    </xf>
    <xf numFmtId="41" fontId="23" fillId="0" borderId="30" xfId="6" quotePrefix="1" applyFont="1" applyFill="1" applyBorder="1" applyAlignment="1">
      <alignment horizontal="right" vertical="center"/>
    </xf>
    <xf numFmtId="41" fontId="23" fillId="0" borderId="10" xfId="6" quotePrefix="1" applyFont="1" applyFill="1" applyBorder="1" applyAlignment="1">
      <alignment horizontal="right" vertical="center"/>
    </xf>
    <xf numFmtId="41" fontId="23" fillId="0" borderId="10" xfId="6" quotePrefix="1" applyFont="1" applyFill="1" applyBorder="1" applyAlignment="1">
      <alignment horizontal="center" vertical="center"/>
    </xf>
    <xf numFmtId="20" fontId="23" fillId="0" borderId="10" xfId="6" quotePrefix="1" applyNumberFormat="1" applyFont="1" applyBorder="1" applyAlignment="1">
      <alignment horizontal="right" vertical="center"/>
    </xf>
    <xf numFmtId="179" fontId="23" fillId="0" borderId="10" xfId="6" quotePrefix="1" applyNumberFormat="1" applyFont="1" applyFill="1" applyBorder="1" applyAlignment="1">
      <alignment horizontal="right" vertical="center"/>
    </xf>
    <xf numFmtId="179" fontId="23" fillId="0" borderId="11" xfId="6" quotePrefix="1" applyNumberFormat="1" applyFont="1" applyFill="1" applyBorder="1" applyAlignment="1">
      <alignment horizontal="right" vertical="center"/>
    </xf>
    <xf numFmtId="181" fontId="23" fillId="0" borderId="0" xfId="2" applyNumberFormat="1" applyFont="1" applyBorder="1" applyAlignment="1">
      <alignment vertical="center"/>
    </xf>
    <xf numFmtId="41" fontId="6" fillId="0" borderId="0" xfId="6" quotePrefix="1" applyFont="1" applyBorder="1" applyAlignment="1">
      <alignment horizontal="right" vertical="center"/>
    </xf>
    <xf numFmtId="41" fontId="6" fillId="0" borderId="0" xfId="6" quotePrefix="1" applyFont="1" applyFill="1" applyBorder="1" applyAlignment="1">
      <alignment horizontal="right" vertical="center"/>
    </xf>
    <xf numFmtId="41" fontId="23" fillId="0" borderId="0" xfId="6" quotePrefix="1" applyFont="1" applyFill="1" applyBorder="1" applyAlignment="1">
      <alignment horizontal="right" vertical="center"/>
    </xf>
    <xf numFmtId="190" fontId="22" fillId="0" borderId="0" xfId="2" quotePrefix="1" applyNumberFormat="1" applyFont="1" applyFill="1" applyBorder="1" applyAlignment="1">
      <alignment horizontal="right" vertical="center"/>
    </xf>
    <xf numFmtId="41" fontId="6" fillId="0" borderId="0" xfId="6" applyFont="1" applyBorder="1" applyAlignment="1">
      <alignment vertical="center"/>
    </xf>
    <xf numFmtId="41" fontId="6" fillId="0" borderId="0" xfId="6" applyFont="1" applyFill="1" applyBorder="1" applyAlignment="1">
      <alignment vertical="center"/>
    </xf>
    <xf numFmtId="41" fontId="21" fillId="0" borderId="0" xfId="6" applyFont="1" applyBorder="1" applyAlignment="1">
      <alignment vertical="center"/>
    </xf>
    <xf numFmtId="207" fontId="18" fillId="0" borderId="0" xfId="2" applyNumberFormat="1" applyFont="1" applyAlignment="1">
      <alignment vertical="center"/>
    </xf>
    <xf numFmtId="184" fontId="9" fillId="0" borderId="0" xfId="8" applyFont="1" applyAlignment="1">
      <alignment vertical="center"/>
    </xf>
    <xf numFmtId="188" fontId="9" fillId="0" borderId="0" xfId="2" applyNumberFormat="1" applyFont="1" applyAlignment="1">
      <alignment vertical="center"/>
    </xf>
    <xf numFmtId="0" fontId="22" fillId="0" borderId="46" xfId="2" quotePrefix="1" applyFont="1" applyBorder="1" applyAlignment="1">
      <alignment vertical="center"/>
    </xf>
    <xf numFmtId="0" fontId="31" fillId="0" borderId="0" xfId="2" applyFont="1" applyAlignment="1">
      <alignment vertical="center"/>
    </xf>
    <xf numFmtId="184" fontId="31" fillId="0" borderId="0" xfId="8" applyFont="1" applyAlignment="1">
      <alignment vertical="center"/>
    </xf>
    <xf numFmtId="188" fontId="31" fillId="0" borderId="0" xfId="2" applyNumberFormat="1" applyFont="1" applyAlignment="1">
      <alignment vertical="center"/>
    </xf>
    <xf numFmtId="0" fontId="31" fillId="15" borderId="0" xfId="2" applyFont="1" applyFill="1" applyAlignment="1">
      <alignment vertical="center"/>
    </xf>
    <xf numFmtId="184" fontId="31" fillId="15" borderId="0" xfId="8" applyFont="1" applyFill="1" applyAlignment="1">
      <alignment vertical="center"/>
    </xf>
    <xf numFmtId="188" fontId="31" fillId="15" borderId="0" xfId="2" applyNumberFormat="1" applyFont="1" applyFill="1" applyAlignment="1">
      <alignment vertical="center"/>
    </xf>
    <xf numFmtId="0" fontId="6" fillId="0" borderId="77" xfId="2" applyFont="1" applyBorder="1" applyAlignment="1">
      <alignment horizontal="center" vertical="center"/>
    </xf>
    <xf numFmtId="0" fontId="6" fillId="0" borderId="9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96" xfId="2" applyFont="1" applyBorder="1" applyAlignment="1"/>
    <xf numFmtId="0" fontId="6" fillId="0" borderId="12" xfId="2" applyFont="1" applyBorder="1" applyAlignment="1">
      <alignment horizontal="center" vertical="center"/>
    </xf>
    <xf numFmtId="0" fontId="6" fillId="0" borderId="102" xfId="2" applyFont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6" fillId="0" borderId="108" xfId="2" applyFont="1" applyBorder="1" applyAlignment="1">
      <alignment horizontal="center" vertical="center"/>
    </xf>
    <xf numFmtId="0" fontId="6" fillId="0" borderId="48" xfId="2" applyFont="1" applyBorder="1" applyAlignment="1">
      <alignment horizontal="center" vertical="center"/>
    </xf>
    <xf numFmtId="0" fontId="6" fillId="0" borderId="10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201" fontId="6" fillId="0" borderId="107" xfId="2" quotePrefix="1" applyNumberFormat="1" applyFont="1" applyFill="1" applyBorder="1" applyAlignment="1">
      <alignment horizontal="right" vertical="center"/>
    </xf>
    <xf numFmtId="201" fontId="6" fillId="0" borderId="0" xfId="2" applyNumberFormat="1" applyFont="1" applyFill="1" applyBorder="1" applyAlignment="1">
      <alignment horizontal="center" vertical="center"/>
    </xf>
    <xf numFmtId="189" fontId="6" fillId="0" borderId="26" xfId="6" applyNumberFormat="1" applyFont="1" applyFill="1" applyBorder="1" applyAlignment="1">
      <alignment horizontal="right" vertical="center"/>
    </xf>
    <xf numFmtId="189" fontId="6" fillId="0" borderId="27" xfId="6" applyNumberFormat="1" applyFont="1" applyFill="1" applyBorder="1" applyAlignment="1">
      <alignment horizontal="right" vertical="center"/>
    </xf>
    <xf numFmtId="195" fontId="6" fillId="0" borderId="27" xfId="6" applyNumberFormat="1" applyFont="1" applyFill="1" applyBorder="1" applyAlignment="1">
      <alignment horizontal="right" vertical="center"/>
    </xf>
    <xf numFmtId="195" fontId="6" fillId="0" borderId="29" xfId="6" applyNumberFormat="1" applyFont="1" applyFill="1" applyBorder="1" applyAlignment="1">
      <alignment horizontal="right" vertical="center"/>
    </xf>
    <xf numFmtId="179" fontId="6" fillId="7" borderId="96" xfId="6" applyNumberFormat="1" applyFont="1" applyFill="1" applyBorder="1" applyAlignment="1">
      <alignment horizontal="right" vertical="center"/>
    </xf>
    <xf numFmtId="190" fontId="22" fillId="0" borderId="0" xfId="2" applyNumberFormat="1" applyFont="1" applyFill="1" applyBorder="1" applyAlignment="1">
      <alignment horizontal="center" vertical="center"/>
    </xf>
    <xf numFmtId="0" fontId="31" fillId="0" borderId="0" xfId="2" applyFont="1" applyFill="1" applyAlignment="1">
      <alignment vertical="center"/>
    </xf>
    <xf numFmtId="180" fontId="9" fillId="0" borderId="0" xfId="2" applyNumberFormat="1" applyFont="1" applyFill="1"/>
    <xf numFmtId="189" fontId="6" fillId="0" borderId="31" xfId="6" applyNumberFormat="1" applyFont="1" applyFill="1" applyBorder="1" applyAlignment="1">
      <alignment horizontal="right" vertical="center"/>
    </xf>
    <xf numFmtId="189" fontId="6" fillId="0" borderId="12" xfId="6" applyNumberFormat="1" applyFont="1" applyFill="1" applyBorder="1" applyAlignment="1">
      <alignment horizontal="right" vertical="center"/>
    </xf>
    <xf numFmtId="195" fontId="6" fillId="0" borderId="12" xfId="6" applyNumberFormat="1" applyFont="1" applyFill="1" applyBorder="1" applyAlignment="1">
      <alignment horizontal="right" vertical="center"/>
    </xf>
    <xf numFmtId="195" fontId="6" fillId="0" borderId="13" xfId="6" applyNumberFormat="1" applyFont="1" applyFill="1" applyBorder="1" applyAlignment="1">
      <alignment horizontal="right" vertical="center"/>
    </xf>
    <xf numFmtId="179" fontId="6" fillId="0" borderId="102" xfId="6" applyNumberFormat="1" applyFont="1" applyFill="1" applyBorder="1" applyAlignment="1">
      <alignment horizontal="right" vertical="center"/>
    </xf>
    <xf numFmtId="179" fontId="22" fillId="0" borderId="0" xfId="6" applyNumberFormat="1" applyFont="1" applyFill="1" applyBorder="1" applyAlignment="1">
      <alignment vertical="center"/>
    </xf>
    <xf numFmtId="179" fontId="6" fillId="13" borderId="102" xfId="6" applyNumberFormat="1" applyFont="1" applyFill="1" applyBorder="1" applyAlignment="1">
      <alignment horizontal="right" vertical="center"/>
    </xf>
    <xf numFmtId="179" fontId="6" fillId="12" borderId="102" xfId="6" applyNumberFormat="1" applyFont="1" applyFill="1" applyBorder="1" applyAlignment="1">
      <alignment horizontal="right" vertical="center"/>
    </xf>
    <xf numFmtId="201" fontId="6" fillId="17" borderId="107" xfId="2" quotePrefix="1" applyNumberFormat="1" applyFont="1" applyFill="1" applyBorder="1" applyAlignment="1">
      <alignment horizontal="right" vertical="center"/>
    </xf>
    <xf numFmtId="201" fontId="6" fillId="17" borderId="0" xfId="2" applyNumberFormat="1" applyFont="1" applyFill="1" applyBorder="1" applyAlignment="1">
      <alignment horizontal="center" vertical="center"/>
    </xf>
    <xf numFmtId="189" fontId="6" fillId="17" borderId="31" xfId="6" applyNumberFormat="1" applyFont="1" applyFill="1" applyBorder="1" applyAlignment="1">
      <alignment horizontal="right" vertical="center"/>
    </xf>
    <xf numFmtId="189" fontId="6" fillId="17" borderId="12" xfId="6" applyNumberFormat="1" applyFont="1" applyFill="1" applyBorder="1" applyAlignment="1">
      <alignment horizontal="right" vertical="center"/>
    </xf>
    <xf numFmtId="195" fontId="6" fillId="17" borderId="12" xfId="6" applyNumberFormat="1" applyFont="1" applyFill="1" applyBorder="1" applyAlignment="1">
      <alignment horizontal="right" vertical="center"/>
    </xf>
    <xf numFmtId="195" fontId="6" fillId="17" borderId="13" xfId="6" applyNumberFormat="1" applyFont="1" applyFill="1" applyBorder="1" applyAlignment="1">
      <alignment horizontal="right" vertical="center"/>
    </xf>
    <xf numFmtId="201" fontId="6" fillId="0" borderId="108" xfId="2" quotePrefix="1" applyNumberFormat="1" applyFont="1" applyFill="1" applyBorder="1" applyAlignment="1">
      <alignment horizontal="right" vertical="center"/>
    </xf>
    <xf numFmtId="201" fontId="6" fillId="0" borderId="103" xfId="2" applyNumberFormat="1" applyFont="1" applyFill="1" applyBorder="1" applyAlignment="1">
      <alignment horizontal="center" vertical="center"/>
    </xf>
    <xf numFmtId="189" fontId="6" fillId="0" borderId="30" xfId="6" applyNumberFormat="1" applyFont="1" applyFill="1" applyBorder="1" applyAlignment="1">
      <alignment horizontal="right" vertical="center"/>
    </xf>
    <xf numFmtId="189" fontId="6" fillId="0" borderId="10" xfId="6" applyNumberFormat="1" applyFont="1" applyFill="1" applyBorder="1" applyAlignment="1">
      <alignment horizontal="right" vertical="center"/>
    </xf>
    <xf numFmtId="195" fontId="6" fillId="0" borderId="10" xfId="6" applyNumberFormat="1" applyFont="1" applyFill="1" applyBorder="1" applyAlignment="1">
      <alignment horizontal="right" vertical="center"/>
    </xf>
    <xf numFmtId="195" fontId="6" fillId="0" borderId="11" xfId="6" applyNumberFormat="1" applyFont="1" applyFill="1" applyBorder="1" applyAlignment="1">
      <alignment horizontal="right" vertical="center"/>
    </xf>
    <xf numFmtId="176" fontId="22" fillId="0" borderId="0" xfId="2" applyNumberFormat="1" applyFont="1" applyBorder="1" applyAlignment="1">
      <alignment horizontal="center" vertical="center"/>
    </xf>
    <xf numFmtId="41" fontId="6" fillId="0" borderId="0" xfId="6" applyFont="1" applyBorder="1" applyAlignment="1">
      <alignment horizontal="left" vertical="center"/>
    </xf>
    <xf numFmtId="0" fontId="6" fillId="0" borderId="0" xfId="2" applyFont="1" applyBorder="1" applyAlignment="1">
      <alignment horizontal="right"/>
    </xf>
    <xf numFmtId="189" fontId="9" fillId="0" borderId="0" xfId="2" applyNumberFormat="1" applyFont="1"/>
    <xf numFmtId="176" fontId="22" fillId="0" borderId="0" xfId="2" applyNumberFormat="1" applyFont="1" applyAlignment="1">
      <alignment horizontal="center" vertical="center"/>
    </xf>
    <xf numFmtId="20" fontId="22" fillId="0" borderId="0" xfId="2" applyNumberFormat="1" applyFont="1" applyAlignment="1">
      <alignment horizontal="center" vertical="center"/>
    </xf>
    <xf numFmtId="41" fontId="6" fillId="0" borderId="0" xfId="2" applyNumberFormat="1" applyFont="1"/>
    <xf numFmtId="0" fontId="31" fillId="0" borderId="0" xfId="2" applyFont="1" applyAlignment="1">
      <alignment horizontal="right" vertical="center"/>
    </xf>
    <xf numFmtId="0" fontId="17" fillId="0" borderId="0" xfId="2" applyFont="1" applyAlignment="1">
      <alignment horizontal="right" vertical="center"/>
    </xf>
    <xf numFmtId="0" fontId="9" fillId="0" borderId="0" xfId="2" applyFont="1" applyBorder="1" applyAlignment="1">
      <alignment horizontal="right" vertical="center"/>
    </xf>
    <xf numFmtId="0" fontId="22" fillId="0" borderId="0" xfId="2" applyFont="1" applyBorder="1" applyAlignment="1">
      <alignment horizontal="right" vertical="top"/>
    </xf>
    <xf numFmtId="0" fontId="6" fillId="0" borderId="72" xfId="2" applyFont="1" applyBorder="1" applyAlignment="1">
      <alignment horizontal="center" vertical="center"/>
    </xf>
    <xf numFmtId="0" fontId="6" fillId="0" borderId="72" xfId="2" applyFont="1" applyBorder="1" applyAlignment="1">
      <alignment horizontal="center"/>
    </xf>
    <xf numFmtId="0" fontId="6" fillId="0" borderId="41" xfId="2" applyFont="1" applyBorder="1" applyAlignment="1">
      <alignment horizontal="center"/>
    </xf>
    <xf numFmtId="0" fontId="6" fillId="0" borderId="73" xfId="2" applyFont="1" applyBorder="1" applyAlignment="1">
      <alignment horizontal="center" vertical="center"/>
    </xf>
    <xf numFmtId="176" fontId="6" fillId="0" borderId="47" xfId="2" applyNumberFormat="1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center" vertical="center" shrinkToFit="1"/>
    </xf>
    <xf numFmtId="176" fontId="6" fillId="0" borderId="81" xfId="2" applyNumberFormat="1" applyFont="1" applyBorder="1" applyAlignment="1">
      <alignment horizontal="center" vertical="center" wrapText="1" shrinkToFit="1"/>
    </xf>
    <xf numFmtId="184" fontId="6" fillId="0" borderId="81" xfId="2" applyNumberFormat="1" applyFont="1" applyBorder="1" applyAlignment="1">
      <alignment horizontal="center" vertical="center" wrapText="1" shrinkToFit="1"/>
    </xf>
    <xf numFmtId="176" fontId="6" fillId="0" borderId="64" xfId="2" applyNumberFormat="1" applyFont="1" applyBorder="1" applyAlignment="1">
      <alignment horizontal="center" vertical="center" wrapText="1" shrinkToFit="1"/>
    </xf>
    <xf numFmtId="0" fontId="6" fillId="0" borderId="104" xfId="2" applyFont="1" applyBorder="1" applyAlignment="1">
      <alignment horizontal="center" vertical="center" wrapText="1" shrinkToFit="1"/>
    </xf>
    <xf numFmtId="0" fontId="6" fillId="0" borderId="11" xfId="2" applyFont="1" applyBorder="1" applyAlignment="1">
      <alignment horizontal="center" vertical="center"/>
    </xf>
    <xf numFmtId="0" fontId="6" fillId="0" borderId="47" xfId="2" applyFont="1" applyBorder="1" applyAlignment="1">
      <alignment horizontal="center" vertical="center"/>
    </xf>
    <xf numFmtId="0" fontId="6" fillId="0" borderId="64" xfId="2" applyFont="1" applyBorder="1" applyAlignment="1">
      <alignment horizontal="center" vertical="center" wrapText="1"/>
    </xf>
    <xf numFmtId="0" fontId="6" fillId="0" borderId="104" xfId="2" applyFont="1" applyBorder="1" applyAlignment="1">
      <alignment horizontal="center" vertical="center" wrapText="1"/>
    </xf>
    <xf numFmtId="0" fontId="6" fillId="0" borderId="81" xfId="2" applyFont="1" applyBorder="1" applyAlignment="1">
      <alignment horizontal="center" vertical="center" wrapText="1"/>
    </xf>
    <xf numFmtId="181" fontId="6" fillId="0" borderId="100" xfId="2" quotePrefix="1" applyNumberFormat="1" applyFont="1" applyBorder="1" applyAlignment="1">
      <alignment horizontal="center" vertical="center"/>
    </xf>
    <xf numFmtId="176" fontId="6" fillId="0" borderId="62" xfId="2" applyNumberFormat="1" applyFont="1" applyBorder="1" applyAlignment="1">
      <alignment horizontal="center" vertical="center"/>
    </xf>
    <xf numFmtId="176" fontId="6" fillId="0" borderId="60" xfId="2" applyNumberFormat="1" applyFont="1" applyBorder="1" applyAlignment="1">
      <alignment horizontal="center" vertical="center"/>
    </xf>
    <xf numFmtId="176" fontId="6" fillId="0" borderId="78" xfId="2" applyNumberFormat="1" applyFont="1" applyBorder="1" applyAlignment="1">
      <alignment horizontal="center" vertical="center"/>
    </xf>
    <xf numFmtId="184" fontId="6" fillId="0" borderId="59" xfId="8" applyFont="1" applyBorder="1" applyAlignment="1">
      <alignment horizontal="center" vertical="center"/>
    </xf>
    <xf numFmtId="184" fontId="6" fillId="0" borderId="60" xfId="8" applyFont="1" applyBorder="1" applyAlignment="1">
      <alignment horizontal="center" vertical="center"/>
    </xf>
    <xf numFmtId="184" fontId="6" fillId="0" borderId="61" xfId="8" applyFont="1" applyBorder="1" applyAlignment="1">
      <alignment horizontal="center" vertical="center"/>
    </xf>
    <xf numFmtId="176" fontId="6" fillId="0" borderId="62" xfId="2" applyNumberFormat="1" applyFont="1" applyBorder="1" applyAlignment="1">
      <alignment horizontal="right" vertical="center"/>
    </xf>
    <xf numFmtId="177" fontId="6" fillId="0" borderId="60" xfId="2" applyNumberFormat="1" applyFont="1" applyBorder="1" applyAlignment="1">
      <alignment horizontal="center" vertical="center"/>
    </xf>
    <xf numFmtId="177" fontId="6" fillId="0" borderId="61" xfId="2" applyNumberFormat="1" applyFont="1" applyBorder="1" applyAlignment="1">
      <alignment horizontal="center" vertical="center"/>
    </xf>
    <xf numFmtId="0" fontId="6" fillId="0" borderId="137" xfId="2" quotePrefix="1" applyFont="1" applyBorder="1" applyAlignment="1">
      <alignment horizontal="center" vertical="center"/>
    </xf>
    <xf numFmtId="176" fontId="6" fillId="0" borderId="165" xfId="2" applyNumberFormat="1" applyFont="1" applyBorder="1" applyAlignment="1">
      <alignment horizontal="center" vertical="center"/>
    </xf>
    <xf numFmtId="176" fontId="6" fillId="0" borderId="132" xfId="2" applyNumberFormat="1" applyFont="1" applyBorder="1" applyAlignment="1">
      <alignment horizontal="center" vertical="center"/>
    </xf>
    <xf numFmtId="176" fontId="6" fillId="0" borderId="133" xfId="2" applyNumberFormat="1" applyFont="1" applyBorder="1" applyAlignment="1">
      <alignment vertical="center"/>
    </xf>
    <xf numFmtId="176" fontId="6" fillId="0" borderId="133" xfId="2" applyNumberFormat="1" applyFont="1" applyBorder="1" applyAlignment="1">
      <alignment horizontal="center" vertical="center" wrapText="1" shrinkToFit="1"/>
    </xf>
    <xf numFmtId="176" fontId="6" fillId="0" borderId="132" xfId="2" applyNumberFormat="1" applyFont="1" applyBorder="1" applyAlignment="1">
      <alignment horizontal="center" vertical="center" wrapText="1" shrinkToFit="1"/>
    </xf>
    <xf numFmtId="0" fontId="6" fillId="0" borderId="76" xfId="2" applyFont="1" applyBorder="1" applyAlignment="1">
      <alignment horizontal="center" vertical="center" wrapText="1" shrinkToFit="1"/>
    </xf>
    <xf numFmtId="176" fontId="6" fillId="0" borderId="34" xfId="2" applyNumberFormat="1" applyFont="1" applyBorder="1" applyAlignment="1">
      <alignment horizontal="center" vertical="center"/>
    </xf>
    <xf numFmtId="184" fontId="6" fillId="0" borderId="165" xfId="8" applyFont="1" applyBorder="1" applyAlignment="1">
      <alignment horizontal="center" vertical="center"/>
    </xf>
    <xf numFmtId="184" fontId="6" fillId="0" borderId="132" xfId="8" applyFont="1" applyBorder="1" applyAlignment="1">
      <alignment horizontal="center" vertical="center"/>
    </xf>
    <xf numFmtId="184" fontId="6" fillId="0" borderId="133" xfId="8" applyFont="1" applyBorder="1" applyAlignment="1">
      <alignment horizontal="center" vertical="center" wrapText="1"/>
    </xf>
    <xf numFmtId="184" fontId="6" fillId="0" borderId="132" xfId="8" applyFont="1" applyBorder="1" applyAlignment="1">
      <alignment horizontal="center" vertical="center" wrapText="1"/>
    </xf>
    <xf numFmtId="184" fontId="6" fillId="0" borderId="34" xfId="8" applyFont="1" applyBorder="1" applyAlignment="1">
      <alignment horizontal="center" vertical="center"/>
    </xf>
    <xf numFmtId="176" fontId="6" fillId="0" borderId="131" xfId="2" applyNumberFormat="1" applyFont="1" applyBorder="1" applyAlignment="1">
      <alignment horizontal="center" vertical="center"/>
    </xf>
    <xf numFmtId="177" fontId="6" fillId="0" borderId="132" xfId="2" applyNumberFormat="1" applyFont="1" applyBorder="1" applyAlignment="1">
      <alignment horizontal="center" vertical="center"/>
    </xf>
    <xf numFmtId="177" fontId="6" fillId="0" borderId="34" xfId="2" applyNumberFormat="1" applyFont="1" applyBorder="1" applyAlignment="1">
      <alignment horizontal="center" vertical="center"/>
    </xf>
    <xf numFmtId="181" fontId="6" fillId="0" borderId="43" xfId="2" quotePrefix="1" applyNumberFormat="1" applyFont="1" applyBorder="1" applyAlignment="1">
      <alignment horizontal="center" vertical="center"/>
    </xf>
    <xf numFmtId="176" fontId="6" fillId="0" borderId="44" xfId="2" applyNumberFormat="1" applyFont="1" applyBorder="1" applyAlignment="1">
      <alignment horizontal="center" vertical="center"/>
    </xf>
    <xf numFmtId="176" fontId="6" fillId="0" borderId="27" xfId="2" applyNumberFormat="1" applyFont="1" applyBorder="1" applyAlignment="1">
      <alignment horizontal="center" vertical="center"/>
    </xf>
    <xf numFmtId="176" fontId="6" fillId="0" borderId="29" xfId="2" applyNumberFormat="1" applyFont="1" applyBorder="1" applyAlignment="1">
      <alignment horizontal="center" vertical="center"/>
    </xf>
    <xf numFmtId="184" fontId="6" fillId="0" borderId="27" xfId="8" applyFont="1" applyBorder="1" applyAlignment="1">
      <alignment horizontal="center" vertical="center"/>
    </xf>
    <xf numFmtId="184" fontId="6" fillId="0" borderId="29" xfId="8" applyFont="1" applyBorder="1" applyAlignment="1">
      <alignment horizontal="center" vertical="center"/>
    </xf>
    <xf numFmtId="176" fontId="6" fillId="0" borderId="44" xfId="2" applyNumberFormat="1" applyFont="1" applyBorder="1" applyAlignment="1">
      <alignment horizontal="right" vertical="center"/>
    </xf>
    <xf numFmtId="177" fontId="6" fillId="0" borderId="27" xfId="2" applyNumberFormat="1" applyFont="1" applyBorder="1" applyAlignment="1">
      <alignment horizontal="center" vertical="center"/>
    </xf>
    <xf numFmtId="177" fontId="6" fillId="0" borderId="29" xfId="2" applyNumberFormat="1" applyFont="1" applyBorder="1" applyAlignment="1">
      <alignment horizontal="center" vertical="center"/>
    </xf>
    <xf numFmtId="181" fontId="6" fillId="0" borderId="84" xfId="2" quotePrefix="1" applyNumberFormat="1" applyFont="1" applyBorder="1" applyAlignment="1">
      <alignment horizontal="center" vertical="center"/>
    </xf>
    <xf numFmtId="176" fontId="6" fillId="0" borderId="82" xfId="2" applyNumberFormat="1" applyFont="1" applyBorder="1" applyAlignment="1">
      <alignment horizontal="center" vertical="center"/>
    </xf>
    <xf numFmtId="176" fontId="6" fillId="0" borderId="12" xfId="2" applyNumberFormat="1" applyFont="1" applyBorder="1" applyAlignment="1">
      <alignment horizontal="center" vertical="center"/>
    </xf>
    <xf numFmtId="176" fontId="6" fillId="0" borderId="13" xfId="2" applyNumberFormat="1" applyFont="1" applyBorder="1" applyAlignment="1">
      <alignment horizontal="center" vertical="center"/>
    </xf>
    <xf numFmtId="184" fontId="6" fillId="0" borderId="12" xfId="8" applyFont="1" applyBorder="1" applyAlignment="1">
      <alignment horizontal="center" vertical="center"/>
    </xf>
    <xf numFmtId="184" fontId="6" fillId="0" borderId="13" xfId="8" applyFont="1" applyBorder="1" applyAlignment="1">
      <alignment horizontal="center" vertical="center"/>
    </xf>
    <xf numFmtId="177" fontId="6" fillId="0" borderId="12" xfId="2" applyNumberFormat="1" applyFont="1" applyBorder="1" applyAlignment="1">
      <alignment horizontal="center" vertical="center"/>
    </xf>
    <xf numFmtId="177" fontId="6" fillId="0" borderId="13" xfId="2" applyNumberFormat="1" applyFont="1" applyBorder="1" applyAlignment="1">
      <alignment horizontal="center" vertical="center"/>
    </xf>
    <xf numFmtId="181" fontId="6" fillId="0" borderId="46" xfId="2" quotePrefix="1" applyNumberFormat="1" applyFont="1" applyBorder="1" applyAlignment="1">
      <alignment horizontal="center" vertical="center"/>
    </xf>
    <xf numFmtId="176" fontId="6" fillId="0" borderId="11" xfId="2" applyNumberFormat="1" applyFont="1" applyBorder="1" applyAlignment="1">
      <alignment horizontal="center" vertical="center"/>
    </xf>
    <xf numFmtId="0" fontId="6" fillId="0" borderId="133" xfId="2" applyFont="1" applyBorder="1" applyAlignment="1">
      <alignment horizontal="center" vertical="center" wrapText="1"/>
    </xf>
    <xf numFmtId="0" fontId="6" fillId="0" borderId="132" xfId="2" applyFont="1" applyBorder="1" applyAlignment="1">
      <alignment horizontal="center" vertical="center" wrapText="1"/>
    </xf>
    <xf numFmtId="0" fontId="6" fillId="0" borderId="34" xfId="2" applyFont="1" applyBorder="1" applyAlignment="1">
      <alignment horizontal="center" vertical="center"/>
    </xf>
    <xf numFmtId="176" fontId="6" fillId="0" borderId="32" xfId="2" applyNumberFormat="1" applyFont="1" applyBorder="1" applyAlignment="1">
      <alignment horizontal="center" vertical="center"/>
    </xf>
    <xf numFmtId="176" fontId="6" fillId="0" borderId="15" xfId="2" applyNumberFormat="1" applyFont="1" applyBorder="1" applyAlignment="1">
      <alignment horizontal="center" vertical="center"/>
    </xf>
    <xf numFmtId="176" fontId="6" fillId="0" borderId="16" xfId="2" applyNumberFormat="1" applyFont="1" applyBorder="1" applyAlignment="1">
      <alignment horizontal="center" vertical="center"/>
    </xf>
    <xf numFmtId="177" fontId="6" fillId="0" borderId="15" xfId="2" applyNumberFormat="1" applyFont="1" applyBorder="1" applyAlignment="1">
      <alignment horizontal="center" vertical="center"/>
    </xf>
    <xf numFmtId="177" fontId="6" fillId="0" borderId="16" xfId="2" applyNumberFormat="1" applyFont="1" applyBorder="1" applyAlignment="1">
      <alignment horizontal="center" vertical="center"/>
    </xf>
    <xf numFmtId="176" fontId="6" fillId="0" borderId="133" xfId="2" applyNumberFormat="1" applyFont="1" applyBorder="1" applyAlignment="1">
      <alignment vertical="center" wrapText="1"/>
    </xf>
    <xf numFmtId="176" fontId="6" fillId="0" borderId="132" xfId="2" applyNumberFormat="1" applyFont="1" applyBorder="1" applyAlignment="1">
      <alignment horizontal="center" vertical="center" wrapText="1"/>
    </xf>
    <xf numFmtId="176" fontId="6" fillId="0" borderId="133" xfId="2" applyNumberFormat="1" applyFont="1" applyBorder="1" applyAlignment="1">
      <alignment horizontal="center" vertical="center" wrapText="1"/>
    </xf>
    <xf numFmtId="0" fontId="6" fillId="0" borderId="43" xfId="2" quotePrefix="1" applyFont="1" applyBorder="1" applyAlignment="1">
      <alignment horizontal="center" vertical="center"/>
    </xf>
    <xf numFmtId="176" fontId="6" fillId="0" borderId="26" xfId="2" applyNumberFormat="1" applyFont="1" applyBorder="1" applyAlignment="1">
      <alignment horizontal="center" vertical="center"/>
    </xf>
    <xf numFmtId="176" fontId="6" fillId="0" borderId="31" xfId="2" applyNumberFormat="1" applyFont="1" applyBorder="1" applyAlignment="1">
      <alignment horizontal="center" vertical="center"/>
    </xf>
    <xf numFmtId="0" fontId="6" fillId="0" borderId="46" xfId="2" quotePrefix="1" applyFont="1" applyBorder="1" applyAlignment="1">
      <alignment horizontal="center" vertical="center"/>
    </xf>
    <xf numFmtId="176" fontId="6" fillId="0" borderId="30" xfId="2" applyNumberFormat="1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center" vertical="center"/>
    </xf>
    <xf numFmtId="177" fontId="6" fillId="0" borderId="10" xfId="2" applyNumberFormat="1" applyFont="1" applyBorder="1" applyAlignment="1">
      <alignment horizontal="center" vertical="center"/>
    </xf>
    <xf numFmtId="177" fontId="6" fillId="0" borderId="11" xfId="2" applyNumberFormat="1" applyFont="1" applyBorder="1" applyAlignment="1">
      <alignment horizontal="center" vertical="center"/>
    </xf>
    <xf numFmtId="0" fontId="6" fillId="0" borderId="31" xfId="2" quotePrefix="1" applyFont="1" applyBorder="1" applyAlignment="1">
      <alignment horizontal="center" vertical="center"/>
    </xf>
    <xf numFmtId="0" fontId="6" fillId="0" borderId="131" xfId="2" quotePrefix="1" applyFont="1" applyBorder="1" applyAlignment="1">
      <alignment horizontal="center" vertical="center"/>
    </xf>
    <xf numFmtId="0" fontId="6" fillId="0" borderId="132" xfId="2" applyFont="1" applyBorder="1" applyAlignment="1">
      <alignment horizontal="center" vertical="center" wrapText="1" shrinkToFit="1"/>
    </xf>
    <xf numFmtId="176" fontId="6" fillId="0" borderId="0" xfId="2" applyNumberFormat="1" applyFont="1" applyBorder="1" applyAlignment="1">
      <alignment horizontal="center" vertical="center"/>
    </xf>
    <xf numFmtId="177" fontId="6" fillId="0" borderId="0" xfId="2" applyNumberFormat="1" applyFont="1" applyBorder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  <xf numFmtId="177" fontId="6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horizontal="center"/>
    </xf>
    <xf numFmtId="0" fontId="6" fillId="0" borderId="131" xfId="2" applyFont="1" applyBorder="1" applyAlignment="1">
      <alignment vertical="center"/>
    </xf>
    <xf numFmtId="0" fontId="6" fillId="0" borderId="60" xfId="2" applyFont="1" applyBorder="1" applyAlignment="1">
      <alignment horizontal="center"/>
    </xf>
    <xf numFmtId="176" fontId="6" fillId="0" borderId="165" xfId="2" applyNumberFormat="1" applyFont="1" applyBorder="1" applyAlignment="1">
      <alignment vertical="center"/>
    </xf>
    <xf numFmtId="0" fontId="6" fillId="0" borderId="44" xfId="2" applyFont="1" applyBorder="1" applyAlignment="1">
      <alignment horizontal="center" vertical="center"/>
    </xf>
    <xf numFmtId="0" fontId="6" fillId="0" borderId="110" xfId="2" applyFont="1" applyBorder="1" applyAlignment="1">
      <alignment horizontal="center" wrapText="1"/>
    </xf>
    <xf numFmtId="0" fontId="6" fillId="0" borderId="110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41" xfId="2" applyFont="1" applyBorder="1" applyAlignment="1">
      <alignment horizontal="center" wrapText="1"/>
    </xf>
    <xf numFmtId="0" fontId="6" fillId="0" borderId="27" xfId="2" applyFont="1" applyBorder="1" applyAlignment="1">
      <alignment horizontal="center" wrapText="1"/>
    </xf>
    <xf numFmtId="0" fontId="6" fillId="0" borderId="43" xfId="2" quotePrefix="1" applyFont="1" applyBorder="1" applyAlignment="1">
      <alignment vertical="center"/>
    </xf>
    <xf numFmtId="0" fontId="6" fillId="0" borderId="26" xfId="2" applyFont="1" applyBorder="1" applyAlignment="1">
      <alignment horizontal="center" vertical="center"/>
    </xf>
    <xf numFmtId="0" fontId="6" fillId="0" borderId="110" xfId="2" applyFont="1" applyBorder="1" applyAlignment="1">
      <alignment horizontal="center" vertical="center"/>
    </xf>
    <xf numFmtId="3" fontId="6" fillId="0" borderId="27" xfId="2" applyNumberFormat="1" applyFont="1" applyBorder="1" applyAlignment="1">
      <alignment horizontal="center" vertical="center"/>
    </xf>
    <xf numFmtId="3" fontId="6" fillId="0" borderId="27" xfId="8" applyNumberFormat="1" applyFont="1" applyBorder="1" applyAlignment="1">
      <alignment horizontal="center" vertical="center" wrapText="1"/>
    </xf>
    <xf numFmtId="0" fontId="6" fillId="0" borderId="84" xfId="2" quotePrefix="1" applyFont="1" applyBorder="1" applyAlignment="1">
      <alignment vertical="center"/>
    </xf>
    <xf numFmtId="0" fontId="6" fillId="0" borderId="31" xfId="2" applyFont="1" applyBorder="1" applyAlignment="1">
      <alignment horizontal="center" vertical="center"/>
    </xf>
    <xf numFmtId="0" fontId="6" fillId="0" borderId="88" xfId="2" applyFont="1" applyBorder="1" applyAlignment="1">
      <alignment horizontal="center" vertical="center"/>
    </xf>
    <xf numFmtId="3" fontId="6" fillId="0" borderId="12" xfId="2" applyNumberFormat="1" applyFont="1" applyBorder="1" applyAlignment="1">
      <alignment horizontal="center" vertical="center"/>
    </xf>
    <xf numFmtId="0" fontId="6" fillId="0" borderId="82" xfId="2" applyFont="1" applyBorder="1" applyAlignment="1">
      <alignment horizontal="center" vertical="center"/>
    </xf>
    <xf numFmtId="3" fontId="6" fillId="0" borderId="12" xfId="8" applyNumberFormat="1" applyFont="1" applyBorder="1" applyAlignment="1">
      <alignment horizontal="center" vertical="center" wrapText="1"/>
    </xf>
    <xf numFmtId="181" fontId="6" fillId="0" borderId="107" xfId="2" quotePrefix="1" applyNumberFormat="1" applyFont="1" applyBorder="1" applyAlignment="1">
      <alignment vertical="center"/>
    </xf>
    <xf numFmtId="3" fontId="6" fillId="0" borderId="88" xfId="2" applyNumberFormat="1" applyFont="1" applyBorder="1" applyAlignment="1">
      <alignment horizontal="center" vertical="center"/>
    </xf>
    <xf numFmtId="184" fontId="6" fillId="0" borderId="88" xfId="8" applyFont="1" applyBorder="1" applyAlignment="1">
      <alignment horizontal="center" vertical="center"/>
    </xf>
    <xf numFmtId="184" fontId="6" fillId="0" borderId="82" xfId="8" applyFont="1" applyBorder="1" applyAlignment="1">
      <alignment horizontal="center" vertical="center"/>
    </xf>
    <xf numFmtId="177" fontId="6" fillId="0" borderId="88" xfId="2" applyNumberFormat="1" applyFont="1" applyBorder="1" applyAlignment="1">
      <alignment horizontal="center" vertical="center"/>
    </xf>
    <xf numFmtId="41" fontId="6" fillId="0" borderId="82" xfId="8" applyNumberFormat="1" applyFont="1" applyBorder="1" applyAlignment="1">
      <alignment horizontal="center" vertical="center"/>
    </xf>
    <xf numFmtId="189" fontId="6" fillId="0" borderId="12" xfId="2" applyNumberFormat="1" applyFont="1" applyBorder="1" applyAlignment="1">
      <alignment horizontal="center" vertical="center"/>
    </xf>
    <xf numFmtId="0" fontId="6" fillId="18" borderId="88" xfId="2" applyFont="1" applyFill="1" applyBorder="1" applyAlignment="1">
      <alignment horizontal="center" vertical="center"/>
    </xf>
    <xf numFmtId="189" fontId="6" fillId="0" borderId="88" xfId="2" applyNumberFormat="1" applyFont="1" applyBorder="1" applyAlignment="1">
      <alignment horizontal="center" vertical="center"/>
    </xf>
    <xf numFmtId="176" fontId="6" fillId="0" borderId="47" xfId="2" applyNumberFormat="1" applyFont="1" applyBorder="1" applyAlignment="1">
      <alignment vertical="center"/>
    </xf>
    <xf numFmtId="3" fontId="6" fillId="0" borderId="18" xfId="8" applyNumberFormat="1" applyFont="1" applyBorder="1" applyAlignment="1">
      <alignment horizontal="center" vertical="center" wrapText="1"/>
    </xf>
    <xf numFmtId="0" fontId="6" fillId="0" borderId="88" xfId="2" applyFont="1" applyBorder="1" applyAlignment="1">
      <alignment horizontal="center"/>
    </xf>
    <xf numFmtId="0" fontId="6" fillId="0" borderId="82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30" xfId="2" applyFont="1" applyBorder="1" applyAlignment="1">
      <alignment horizontal="center" vertical="center"/>
    </xf>
    <xf numFmtId="0" fontId="6" fillId="0" borderId="92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0" fontId="6" fillId="0" borderId="92" xfId="2" applyFont="1" applyBorder="1" applyAlignment="1">
      <alignment horizontal="center" vertical="center"/>
    </xf>
    <xf numFmtId="0" fontId="6" fillId="0" borderId="103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59" xfId="2" applyFont="1" applyBorder="1" applyAlignment="1">
      <alignment vertical="center"/>
    </xf>
    <xf numFmtId="176" fontId="6" fillId="0" borderId="92" xfId="2" applyNumberFormat="1" applyFont="1" applyBorder="1" applyAlignment="1">
      <alignment vertical="center"/>
    </xf>
    <xf numFmtId="176" fontId="6" fillId="0" borderId="92" xfId="2" applyNumberFormat="1" applyFont="1" applyBorder="1" applyAlignment="1">
      <alignment horizontal="center" vertical="center" wrapText="1" shrinkToFit="1"/>
    </xf>
    <xf numFmtId="176" fontId="6" fillId="0" borderId="10" xfId="2" applyNumberFormat="1" applyFont="1" applyBorder="1" applyAlignment="1">
      <alignment horizontal="center" vertical="center" wrapText="1" shrinkToFit="1"/>
    </xf>
    <xf numFmtId="0" fontId="6" fillId="0" borderId="103" xfId="2" applyFont="1" applyBorder="1" applyAlignment="1">
      <alignment horizontal="center" vertical="center" wrapText="1" shrinkToFit="1"/>
    </xf>
    <xf numFmtId="0" fontId="6" fillId="0" borderId="132" xfId="2" applyFont="1" applyBorder="1" applyAlignment="1">
      <alignment vertical="center"/>
    </xf>
    <xf numFmtId="176" fontId="6" fillId="0" borderId="88" xfId="2" applyNumberFormat="1" applyFont="1" applyBorder="1" applyAlignment="1">
      <alignment vertical="center"/>
    </xf>
    <xf numFmtId="176" fontId="6" fillId="0" borderId="82" xfId="2" applyNumberFormat="1" applyFont="1" applyBorder="1" applyAlignment="1">
      <alignment vertical="center"/>
    </xf>
    <xf numFmtId="176" fontId="6" fillId="0" borderId="88" xfId="2" applyNumberFormat="1" applyFont="1" applyBorder="1" applyAlignment="1">
      <alignment horizontal="center" vertical="center" wrapText="1" shrinkToFit="1"/>
    </xf>
    <xf numFmtId="176" fontId="6" fillId="0" borderId="12" xfId="2" applyNumberFormat="1" applyFont="1" applyBorder="1" applyAlignment="1">
      <alignment horizontal="center" vertical="center" wrapText="1" shrinkToFit="1"/>
    </xf>
    <xf numFmtId="0" fontId="6" fillId="0" borderId="0" xfId="2" applyFont="1" applyBorder="1" applyAlignment="1">
      <alignment horizontal="center" vertical="center" wrapText="1" shrinkToFit="1"/>
    </xf>
    <xf numFmtId="0" fontId="6" fillId="0" borderId="18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189" fontId="6" fillId="0" borderId="82" xfId="2" applyNumberFormat="1" applyFont="1" applyBorder="1" applyAlignment="1">
      <alignment horizontal="center" vertical="center"/>
    </xf>
    <xf numFmtId="189" fontId="6" fillId="0" borderId="88" xfId="2" applyNumberFormat="1" applyFont="1" applyBorder="1" applyAlignment="1">
      <alignment vertical="center"/>
    </xf>
    <xf numFmtId="189" fontId="6" fillId="0" borderId="88" xfId="2" applyNumberFormat="1" applyFont="1" applyBorder="1" applyAlignment="1">
      <alignment horizontal="center" vertical="center" wrapText="1" shrinkToFit="1"/>
    </xf>
    <xf numFmtId="189" fontId="6" fillId="0" borderId="12" xfId="2" applyNumberFormat="1" applyFont="1" applyBorder="1" applyAlignment="1">
      <alignment horizontal="center" vertical="center" wrapText="1" shrinkToFit="1"/>
    </xf>
    <xf numFmtId="189" fontId="6" fillId="0" borderId="0" xfId="2" applyNumberFormat="1" applyFont="1" applyBorder="1" applyAlignment="1">
      <alignment horizontal="center" vertical="center" wrapText="1" shrinkToFit="1"/>
    </xf>
    <xf numFmtId="3" fontId="6" fillId="0" borderId="18" xfId="8" applyNumberFormat="1" applyFont="1" applyBorder="1" applyAlignment="1">
      <alignment horizontal="center" vertical="center"/>
    </xf>
    <xf numFmtId="3" fontId="6" fillId="0" borderId="10" xfId="8" quotePrefix="1" applyNumberFormat="1" applyFont="1" applyBorder="1" applyAlignment="1">
      <alignment horizontal="right" vertical="center"/>
    </xf>
    <xf numFmtId="3" fontId="6" fillId="0" borderId="18" xfId="2" applyNumberFormat="1" applyFont="1" applyBorder="1" applyAlignment="1">
      <alignment horizontal="center" vertical="center"/>
    </xf>
    <xf numFmtId="3" fontId="6" fillId="0" borderId="18" xfId="2" applyNumberFormat="1" applyFont="1" applyBorder="1" applyAlignment="1">
      <alignment horizontal="center" vertical="center" wrapText="1"/>
    </xf>
    <xf numFmtId="3" fontId="6" fillId="0" borderId="82" xfId="2" applyNumberFormat="1" applyFont="1" applyBorder="1" applyAlignment="1">
      <alignment horizontal="center" vertical="center"/>
    </xf>
    <xf numFmtId="3" fontId="6" fillId="0" borderId="88" xfId="2" applyNumberFormat="1" applyFont="1" applyBorder="1" applyAlignment="1">
      <alignment vertical="center"/>
    </xf>
    <xf numFmtId="3" fontId="6" fillId="0" borderId="82" xfId="2" applyNumberFormat="1" applyFont="1" applyBorder="1" applyAlignment="1">
      <alignment vertical="center"/>
    </xf>
    <xf numFmtId="3" fontId="6" fillId="0" borderId="88" xfId="2" applyNumberFormat="1" applyFont="1" applyBorder="1" applyAlignment="1">
      <alignment horizontal="center" vertical="center" wrapText="1" shrinkToFit="1"/>
    </xf>
    <xf numFmtId="3" fontId="6" fillId="0" borderId="12" xfId="2" applyNumberFormat="1" applyFont="1" applyBorder="1" applyAlignment="1">
      <alignment horizontal="center" vertical="center" wrapText="1" shrinkToFit="1"/>
    </xf>
    <xf numFmtId="3" fontId="6" fillId="0" borderId="0" xfId="2" applyNumberFormat="1" applyFont="1" applyBorder="1" applyAlignment="1">
      <alignment horizontal="center" vertical="center" wrapText="1" shrinkToFit="1"/>
    </xf>
    <xf numFmtId="184" fontId="6" fillId="0" borderId="18" xfId="8" applyFont="1" applyBorder="1" applyAlignment="1">
      <alignment horizontal="center" vertical="center"/>
    </xf>
    <xf numFmtId="0" fontId="6" fillId="0" borderId="69" xfId="2" applyFont="1" applyBorder="1" applyAlignment="1">
      <alignment horizontal="center" vertical="center" wrapText="1"/>
    </xf>
    <xf numFmtId="0" fontId="32" fillId="0" borderId="43" xfId="2" quotePrefix="1" applyFont="1" applyBorder="1" applyAlignment="1">
      <alignment vertical="center"/>
    </xf>
    <xf numFmtId="176" fontId="32" fillId="0" borderId="82" xfId="2" applyNumberFormat="1" applyFont="1" applyBorder="1" applyAlignment="1">
      <alignment horizontal="center" vertical="center"/>
    </xf>
    <xf numFmtId="176" fontId="32" fillId="0" borderId="12" xfId="2" applyNumberFormat="1" applyFont="1" applyBorder="1" applyAlignment="1">
      <alignment horizontal="center" vertical="center"/>
    </xf>
    <xf numFmtId="176" fontId="32" fillId="0" borderId="88" xfId="2" applyNumberFormat="1" applyFont="1" applyBorder="1" applyAlignment="1">
      <alignment vertical="center"/>
    </xf>
    <xf numFmtId="176" fontId="32" fillId="0" borderId="82" xfId="2" applyNumberFormat="1" applyFont="1" applyBorder="1" applyAlignment="1">
      <alignment vertical="center"/>
    </xf>
    <xf numFmtId="176" fontId="32" fillId="0" borderId="88" xfId="2" applyNumberFormat="1" applyFont="1" applyBorder="1" applyAlignment="1">
      <alignment horizontal="center" vertical="center" wrapText="1" shrinkToFit="1"/>
    </xf>
    <xf numFmtId="176" fontId="32" fillId="0" borderId="12" xfId="2" applyNumberFormat="1" applyFont="1" applyBorder="1" applyAlignment="1">
      <alignment horizontal="center" vertical="center" wrapText="1" shrinkToFit="1"/>
    </xf>
    <xf numFmtId="0" fontId="32" fillId="0" borderId="0" xfId="2" applyFont="1" applyBorder="1" applyAlignment="1">
      <alignment horizontal="center" vertical="center" wrapText="1" shrinkToFit="1"/>
    </xf>
    <xf numFmtId="176" fontId="32" fillId="0" borderId="60" xfId="2" applyNumberFormat="1" applyFont="1" applyBorder="1" applyAlignment="1">
      <alignment horizontal="center" vertical="center"/>
    </xf>
    <xf numFmtId="3" fontId="32" fillId="0" borderId="18" xfId="2" applyNumberFormat="1" applyFont="1" applyBorder="1" applyAlignment="1">
      <alignment horizontal="center" vertical="center"/>
    </xf>
    <xf numFmtId="3" fontId="32" fillId="0" borderId="18" xfId="2" applyNumberFormat="1" applyFont="1" applyBorder="1" applyAlignment="1">
      <alignment horizontal="center" vertical="center" wrapText="1"/>
    </xf>
    <xf numFmtId="0" fontId="32" fillId="0" borderId="18" xfId="2" applyFont="1" applyBorder="1" applyAlignment="1">
      <alignment horizontal="center" vertical="center" wrapText="1"/>
    </xf>
    <xf numFmtId="177" fontId="32" fillId="0" borderId="60" xfId="2" applyNumberFormat="1" applyFont="1" applyBorder="1" applyAlignment="1">
      <alignment horizontal="center" vertical="center"/>
    </xf>
    <xf numFmtId="176" fontId="6" fillId="0" borderId="68" xfId="2" applyNumberFormat="1" applyFont="1" applyBorder="1" applyAlignment="1">
      <alignment horizontal="center" vertical="center"/>
    </xf>
    <xf numFmtId="176" fontId="6" fillId="0" borderId="69" xfId="2" applyNumberFormat="1" applyFont="1" applyBorder="1" applyAlignment="1">
      <alignment horizontal="center" vertical="center"/>
    </xf>
    <xf numFmtId="176" fontId="6" fillId="0" borderId="69" xfId="2" applyNumberFormat="1" applyFont="1" applyBorder="1" applyAlignment="1">
      <alignment horizontal="center" vertical="center" wrapText="1" shrinkToFit="1"/>
    </xf>
    <xf numFmtId="0" fontId="6" fillId="0" borderId="69" xfId="2" applyFont="1" applyBorder="1" applyAlignment="1">
      <alignment horizontal="center" vertical="center" wrapText="1" shrinkToFit="1"/>
    </xf>
    <xf numFmtId="0" fontId="6" fillId="0" borderId="69" xfId="2" applyFont="1" applyBorder="1" applyAlignment="1">
      <alignment horizontal="center" vertical="center"/>
    </xf>
    <xf numFmtId="184" fontId="6" fillId="0" borderId="69" xfId="8" applyFont="1" applyBorder="1" applyAlignment="1">
      <alignment horizontal="center" vertical="center" wrapText="1"/>
    </xf>
    <xf numFmtId="0" fontId="6" fillId="0" borderId="83" xfId="2" applyFont="1" applyBorder="1" applyAlignment="1">
      <alignment horizontal="center" vertical="center" wrapText="1"/>
    </xf>
    <xf numFmtId="0" fontId="6" fillId="18" borderId="12" xfId="2" applyFont="1" applyFill="1" applyBorder="1" applyAlignment="1">
      <alignment horizontal="center" vertical="center"/>
    </xf>
    <xf numFmtId="0" fontId="32" fillId="0" borderId="12" xfId="2" applyFont="1" applyBorder="1" applyAlignment="1">
      <alignment horizontal="center" vertical="center"/>
    </xf>
    <xf numFmtId="0" fontId="32" fillId="18" borderId="12" xfId="2" applyFont="1" applyFill="1" applyBorder="1" applyAlignment="1">
      <alignment horizontal="center" vertical="center"/>
    </xf>
    <xf numFmtId="0" fontId="32" fillId="0" borderId="83" xfId="2" applyFont="1" applyBorder="1" applyAlignment="1">
      <alignment horizontal="center" vertical="center" wrapText="1"/>
    </xf>
    <xf numFmtId="184" fontId="6" fillId="0" borderId="79" xfId="8" applyFont="1" applyBorder="1" applyAlignment="1">
      <alignment horizontal="center" vertical="center" wrapText="1"/>
    </xf>
    <xf numFmtId="176" fontId="6" fillId="0" borderId="15" xfId="2" applyNumberFormat="1" applyFont="1" applyBorder="1" applyAlignment="1">
      <alignment horizontal="center" vertical="center" wrapText="1" shrinkToFit="1"/>
    </xf>
    <xf numFmtId="0" fontId="6" fillId="0" borderId="15" xfId="2" applyFont="1" applyBorder="1" applyAlignment="1">
      <alignment horizontal="center" vertical="center" wrapText="1" shrinkToFit="1"/>
    </xf>
    <xf numFmtId="196" fontId="32" fillId="0" borderId="12" xfId="2" applyNumberFormat="1" applyFont="1" applyBorder="1" applyAlignment="1">
      <alignment horizontal="center" vertical="center"/>
    </xf>
    <xf numFmtId="196" fontId="6" fillId="0" borderId="12" xfId="2" applyNumberFormat="1" applyFont="1" applyBorder="1" applyAlignment="1">
      <alignment horizontal="center" vertical="center"/>
    </xf>
    <xf numFmtId="3" fontId="32" fillId="0" borderId="12" xfId="2" applyNumberFormat="1" applyFont="1" applyBorder="1" applyAlignment="1">
      <alignment horizontal="center" vertical="center"/>
    </xf>
    <xf numFmtId="0" fontId="32" fillId="0" borderId="88" xfId="2" applyFont="1" applyBorder="1" applyAlignment="1">
      <alignment horizontal="center" vertical="center" wrapText="1"/>
    </xf>
    <xf numFmtId="184" fontId="6" fillId="0" borderId="90" xfId="8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176" fontId="6" fillId="0" borderId="59" xfId="2" applyNumberFormat="1" applyFont="1" applyBorder="1" applyAlignment="1">
      <alignment horizontal="center" vertical="center"/>
    </xf>
    <xf numFmtId="176" fontId="6" fillId="0" borderId="60" xfId="2" applyNumberFormat="1" applyFont="1" applyBorder="1" applyAlignment="1">
      <alignment horizontal="center" vertical="center" wrapText="1" shrinkToFit="1"/>
    </xf>
    <xf numFmtId="0" fontId="6" fillId="0" borderId="60" xfId="2" applyFont="1" applyBorder="1" applyAlignment="1">
      <alignment horizontal="center" vertical="center" wrapText="1" shrinkToFit="1"/>
    </xf>
    <xf numFmtId="176" fontId="6" fillId="0" borderId="60" xfId="2" applyNumberFormat="1" applyFont="1" applyBorder="1" applyAlignment="1">
      <alignment horizontal="center" vertical="center" wrapText="1"/>
    </xf>
    <xf numFmtId="176" fontId="6" fillId="0" borderId="69" xfId="2" applyNumberFormat="1" applyFont="1" applyBorder="1" applyAlignment="1">
      <alignment horizontal="center" vertical="center" wrapText="1"/>
    </xf>
    <xf numFmtId="184" fontId="6" fillId="0" borderId="69" xfId="8" applyFont="1" applyBorder="1" applyAlignment="1">
      <alignment horizontal="center" vertical="center"/>
    </xf>
    <xf numFmtId="176" fontId="6" fillId="0" borderId="79" xfId="2" applyNumberFormat="1" applyFont="1" applyBorder="1" applyAlignment="1">
      <alignment horizontal="center" vertical="center" wrapText="1"/>
    </xf>
    <xf numFmtId="177" fontId="6" fillId="0" borderId="69" xfId="2" applyNumberFormat="1" applyFont="1" applyBorder="1" applyAlignment="1">
      <alignment horizontal="center" vertical="center"/>
    </xf>
    <xf numFmtId="0" fontId="6" fillId="0" borderId="68" xfId="2" applyFont="1" applyBorder="1" applyAlignment="1">
      <alignment horizontal="center" vertical="center"/>
    </xf>
    <xf numFmtId="0" fontId="6" fillId="0" borderId="69" xfId="2" applyFont="1" applyBorder="1" applyAlignment="1">
      <alignment horizontal="center" vertical="center" shrinkToFit="1"/>
    </xf>
    <xf numFmtId="184" fontId="6" fillId="0" borderId="69" xfId="2" applyNumberFormat="1" applyFont="1" applyBorder="1" applyAlignment="1">
      <alignment horizontal="center" vertical="center" wrapText="1" shrinkToFit="1"/>
    </xf>
    <xf numFmtId="176" fontId="22" fillId="0" borderId="69" xfId="2" applyNumberFormat="1" applyFont="1" applyBorder="1" applyAlignment="1">
      <alignment horizontal="center" vertical="center"/>
    </xf>
    <xf numFmtId="188" fontId="9" fillId="0" borderId="69" xfId="2" applyNumberFormat="1" applyFont="1" applyBorder="1" applyAlignment="1">
      <alignment horizontal="center" vertical="center"/>
    </xf>
    <xf numFmtId="0" fontId="22" fillId="0" borderId="69" xfId="2" applyFont="1" applyBorder="1" applyAlignment="1">
      <alignment horizontal="center" vertical="center"/>
    </xf>
    <xf numFmtId="189" fontId="6" fillId="0" borderId="69" xfId="2" applyNumberFormat="1" applyFont="1" applyBorder="1" applyAlignment="1">
      <alignment horizontal="center" vertical="center"/>
    </xf>
    <xf numFmtId="189" fontId="6" fillId="0" borderId="69" xfId="2" applyNumberFormat="1" applyFont="1" applyBorder="1" applyAlignment="1">
      <alignment horizontal="center" vertical="center" wrapText="1"/>
    </xf>
    <xf numFmtId="189" fontId="22" fillId="0" borderId="69" xfId="2" applyNumberFormat="1" applyFont="1" applyBorder="1" applyAlignment="1">
      <alignment horizontal="center" vertical="center"/>
    </xf>
    <xf numFmtId="0" fontId="6" fillId="0" borderId="69" xfId="2" applyFont="1" applyBorder="1" applyAlignment="1">
      <alignment vertical="center"/>
    </xf>
    <xf numFmtId="176" fontId="22" fillId="0" borderId="68" xfId="2" applyNumberFormat="1" applyFont="1" applyBorder="1" applyAlignment="1">
      <alignment horizontal="center" vertical="center"/>
    </xf>
    <xf numFmtId="176" fontId="22" fillId="0" borderId="69" xfId="2" applyNumberFormat="1" applyFont="1" applyBorder="1" applyAlignment="1">
      <alignment horizontal="center" vertical="center" wrapText="1" shrinkToFit="1"/>
    </xf>
    <xf numFmtId="176" fontId="47" fillId="0" borderId="69" xfId="2" applyNumberFormat="1" applyFont="1" applyBorder="1" applyAlignment="1">
      <alignment horizontal="center" vertical="center" wrapText="1" shrinkToFit="1"/>
    </xf>
    <xf numFmtId="184" fontId="22" fillId="0" borderId="69" xfId="2" applyNumberFormat="1" applyFont="1" applyBorder="1" applyAlignment="1">
      <alignment horizontal="center" vertical="center" wrapText="1" shrinkToFit="1"/>
    </xf>
    <xf numFmtId="0" fontId="22" fillId="0" borderId="69" xfId="2" applyFont="1" applyBorder="1" applyAlignment="1">
      <alignment horizontal="center" vertical="center" wrapText="1" shrinkToFit="1"/>
    </xf>
    <xf numFmtId="0" fontId="22" fillId="12" borderId="69" xfId="2" applyFont="1" applyFill="1" applyBorder="1" applyAlignment="1">
      <alignment horizontal="center" vertical="center"/>
    </xf>
    <xf numFmtId="0" fontId="22" fillId="18" borderId="69" xfId="2" applyFont="1" applyFill="1" applyBorder="1" applyAlignment="1">
      <alignment horizontal="center" vertical="center"/>
    </xf>
    <xf numFmtId="0" fontId="22" fillId="0" borderId="68" xfId="2" applyFont="1" applyBorder="1" applyAlignment="1">
      <alignment horizontal="center" vertical="center"/>
    </xf>
    <xf numFmtId="0" fontId="19" fillId="0" borderId="69" xfId="2" applyFont="1" applyBorder="1" applyAlignment="1">
      <alignment horizontal="center" vertical="center"/>
    </xf>
    <xf numFmtId="0" fontId="22" fillId="0" borderId="69" xfId="2" applyFont="1" applyFill="1" applyBorder="1" applyAlignment="1">
      <alignment horizontal="center" vertical="center"/>
    </xf>
    <xf numFmtId="0" fontId="22" fillId="0" borderId="107" xfId="2" applyFont="1" applyBorder="1" applyAlignment="1">
      <alignment horizontal="center" vertical="center"/>
    </xf>
    <xf numFmtId="0" fontId="22" fillId="0" borderId="12" xfId="2" applyFont="1" applyBorder="1" applyAlignment="1">
      <alignment horizontal="center" vertical="center"/>
    </xf>
    <xf numFmtId="0" fontId="18" fillId="0" borderId="88" xfId="2" applyFont="1" applyBorder="1" applyAlignment="1">
      <alignment horizontal="center" vertical="center"/>
    </xf>
    <xf numFmtId="0" fontId="22" fillId="0" borderId="88" xfId="2" applyFont="1" applyBorder="1" applyAlignment="1">
      <alignment horizontal="center" vertical="center"/>
    </xf>
    <xf numFmtId="0" fontId="19" fillId="0" borderId="88" xfId="2" applyFont="1" applyBorder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22" fillId="0" borderId="102" xfId="2" applyFont="1" applyBorder="1" applyAlignment="1">
      <alignment horizontal="center" vertical="center"/>
    </xf>
    <xf numFmtId="0" fontId="22" fillId="0" borderId="31" xfId="2" applyFont="1" applyBorder="1" applyAlignment="1">
      <alignment horizontal="center" vertical="center"/>
    </xf>
    <xf numFmtId="0" fontId="22" fillId="0" borderId="82" xfId="2" applyFont="1" applyBorder="1" applyAlignment="1">
      <alignment horizontal="center" vertical="center"/>
    </xf>
    <xf numFmtId="0" fontId="22" fillId="0" borderId="103" xfId="2" applyFont="1" applyBorder="1" applyAlignment="1">
      <alignment horizontal="center" vertical="center"/>
    </xf>
    <xf numFmtId="0" fontId="22" fillId="0" borderId="48" xfId="2" applyFont="1" applyBorder="1" applyAlignment="1">
      <alignment horizontal="center" vertical="center"/>
    </xf>
    <xf numFmtId="176" fontId="22" fillId="0" borderId="46" xfId="2" applyNumberFormat="1" applyFont="1" applyBorder="1" applyAlignment="1">
      <alignment horizontal="center" vertical="center"/>
    </xf>
    <xf numFmtId="188" fontId="9" fillId="0" borderId="31" xfId="2" applyNumberFormat="1" applyFont="1" applyBorder="1" applyAlignment="1">
      <alignment horizontal="center" vertical="center"/>
    </xf>
    <xf numFmtId="0" fontId="22" fillId="0" borderId="13" xfId="2" applyFont="1" applyBorder="1" applyAlignment="1">
      <alignment horizontal="center" vertical="center"/>
    </xf>
    <xf numFmtId="0" fontId="6" fillId="0" borderId="46" xfId="2" quotePrefix="1" applyFont="1" applyBorder="1" applyAlignment="1">
      <alignment vertical="center"/>
    </xf>
    <xf numFmtId="0" fontId="22" fillId="0" borderId="108" xfId="2" applyFont="1" applyBorder="1" applyAlignment="1">
      <alignment horizontal="center" vertical="center"/>
    </xf>
    <xf numFmtId="0" fontId="22" fillId="0" borderId="10" xfId="2" applyFont="1" applyBorder="1" applyAlignment="1">
      <alignment horizontal="center" vertical="center"/>
    </xf>
    <xf numFmtId="0" fontId="18" fillId="0" borderId="92" xfId="2" applyFont="1" applyBorder="1" applyAlignment="1">
      <alignment horizontal="center" vertical="center"/>
    </xf>
    <xf numFmtId="0" fontId="22" fillId="0" borderId="92" xfId="2" applyFont="1" applyBorder="1" applyAlignment="1">
      <alignment horizontal="center" vertical="center"/>
    </xf>
    <xf numFmtId="0" fontId="19" fillId="0" borderId="92" xfId="2" applyFont="1" applyBorder="1" applyAlignment="1">
      <alignment horizontal="center" vertical="center"/>
    </xf>
    <xf numFmtId="0" fontId="19" fillId="0" borderId="103" xfId="2" applyFont="1" applyBorder="1" applyAlignment="1">
      <alignment horizontal="center" vertical="center"/>
    </xf>
    <xf numFmtId="0" fontId="22" fillId="0" borderId="30" xfId="2" applyFont="1" applyBorder="1" applyAlignment="1">
      <alignment horizontal="center" vertical="center"/>
    </xf>
    <xf numFmtId="0" fontId="22" fillId="0" borderId="47" xfId="2" applyFont="1" applyBorder="1" applyAlignment="1">
      <alignment horizontal="center" vertical="center"/>
    </xf>
    <xf numFmtId="0" fontId="22" fillId="0" borderId="76" xfId="2" applyFont="1" applyBorder="1" applyAlignment="1">
      <alignment horizontal="center" vertical="center"/>
    </xf>
    <xf numFmtId="0" fontId="22" fillId="0" borderId="11" xfId="2" applyFont="1" applyBorder="1" applyAlignment="1">
      <alignment horizontal="center" vertical="center"/>
    </xf>
    <xf numFmtId="0" fontId="22" fillId="0" borderId="84" xfId="2" quotePrefix="1" applyFont="1" applyBorder="1" applyAlignment="1">
      <alignment vertical="center"/>
    </xf>
    <xf numFmtId="0" fontId="19" fillId="0" borderId="110" xfId="2" applyFont="1" applyBorder="1" applyAlignment="1">
      <alignment horizontal="center" vertical="center"/>
    </xf>
    <xf numFmtId="176" fontId="22" fillId="0" borderId="102" xfId="2" applyNumberFormat="1" applyFont="1" applyBorder="1" applyAlignment="1">
      <alignment horizontal="center" vertical="center"/>
    </xf>
    <xf numFmtId="176" fontId="22" fillId="0" borderId="96" xfId="2" applyNumberFormat="1" applyFont="1" applyBorder="1" applyAlignment="1">
      <alignment horizontal="center" vertical="center"/>
    </xf>
    <xf numFmtId="176" fontId="22" fillId="16" borderId="107" xfId="2" applyNumberFormat="1" applyFont="1" applyFill="1" applyBorder="1" applyAlignment="1">
      <alignment horizontal="center" vertical="center"/>
    </xf>
    <xf numFmtId="176" fontId="22" fillId="16" borderId="12" xfId="2" applyNumberFormat="1" applyFont="1" applyFill="1" applyBorder="1" applyAlignment="1">
      <alignment horizontal="center" vertical="center"/>
    </xf>
    <xf numFmtId="176" fontId="18" fillId="16" borderId="88" xfId="2" applyNumberFormat="1" applyFont="1" applyFill="1" applyBorder="1" applyAlignment="1">
      <alignment horizontal="center" vertical="center"/>
    </xf>
    <xf numFmtId="176" fontId="22" fillId="16" borderId="88" xfId="2" applyNumberFormat="1" applyFont="1" applyFill="1" applyBorder="1" applyAlignment="1">
      <alignment horizontal="center" vertical="center"/>
    </xf>
    <xf numFmtId="176" fontId="22" fillId="16" borderId="0" xfId="2" applyNumberFormat="1" applyFont="1" applyFill="1" applyBorder="1" applyAlignment="1">
      <alignment horizontal="center" vertical="center"/>
    </xf>
    <xf numFmtId="176" fontId="22" fillId="16" borderId="110" xfId="2" applyNumberFormat="1" applyFont="1" applyFill="1" applyBorder="1" applyAlignment="1">
      <alignment horizontal="center" vertical="center"/>
    </xf>
    <xf numFmtId="176" fontId="100" fillId="16" borderId="31" xfId="2" quotePrefix="1" applyNumberFormat="1" applyFont="1" applyFill="1" applyBorder="1" applyAlignment="1">
      <alignment horizontal="center" vertical="center"/>
    </xf>
    <xf numFmtId="176" fontId="100" fillId="16" borderId="12" xfId="2" applyNumberFormat="1" applyFont="1" applyFill="1" applyBorder="1" applyAlignment="1">
      <alignment horizontal="center" vertical="center"/>
    </xf>
    <xf numFmtId="176" fontId="100" fillId="16" borderId="0" xfId="2" applyNumberFormat="1" applyFont="1" applyFill="1" applyBorder="1" applyAlignment="1">
      <alignment horizontal="center" vertical="center"/>
    </xf>
    <xf numFmtId="176" fontId="100" fillId="16" borderId="82" xfId="2" applyNumberFormat="1" applyFont="1" applyFill="1" applyBorder="1" applyAlignment="1">
      <alignment horizontal="center" vertical="center"/>
    </xf>
    <xf numFmtId="190" fontId="22" fillId="0" borderId="29" xfId="2" applyNumberFormat="1" applyFont="1" applyBorder="1" applyAlignment="1">
      <alignment horizontal="center" vertical="center"/>
    </xf>
    <xf numFmtId="190" fontId="22" fillId="0" borderId="13" xfId="2" applyNumberFormat="1" applyFont="1" applyBorder="1" applyAlignment="1">
      <alignment horizontal="center" vertical="center"/>
    </xf>
    <xf numFmtId="176" fontId="100" fillId="16" borderId="31" xfId="2" applyNumberFormat="1" applyFont="1" applyFill="1" applyBorder="1" applyAlignment="1">
      <alignment horizontal="center" vertical="center"/>
    </xf>
    <xf numFmtId="176" fontId="22" fillId="16" borderId="31" xfId="2" applyNumberFormat="1" applyFont="1" applyFill="1" applyBorder="1" applyAlignment="1">
      <alignment horizontal="center" vertical="center"/>
    </xf>
    <xf numFmtId="176" fontId="22" fillId="16" borderId="82" xfId="2" applyNumberFormat="1" applyFont="1" applyFill="1" applyBorder="1" applyAlignment="1">
      <alignment horizontal="center" vertical="center"/>
    </xf>
    <xf numFmtId="176" fontId="22" fillId="16" borderId="108" xfId="2" applyNumberFormat="1" applyFont="1" applyFill="1" applyBorder="1" applyAlignment="1">
      <alignment horizontal="center" vertical="center"/>
    </xf>
    <xf numFmtId="176" fontId="22" fillId="16" borderId="10" xfId="2" applyNumberFormat="1" applyFont="1" applyFill="1" applyBorder="1" applyAlignment="1">
      <alignment horizontal="center" vertical="center"/>
    </xf>
    <xf numFmtId="176" fontId="18" fillId="16" borderId="92" xfId="2" applyNumberFormat="1" applyFont="1" applyFill="1" applyBorder="1" applyAlignment="1">
      <alignment horizontal="center" vertical="center"/>
    </xf>
    <xf numFmtId="176" fontId="22" fillId="16" borderId="92" xfId="2" applyNumberFormat="1" applyFont="1" applyFill="1" applyBorder="1" applyAlignment="1">
      <alignment horizontal="center" vertical="center"/>
    </xf>
    <xf numFmtId="176" fontId="22" fillId="16" borderId="103" xfId="2" applyNumberFormat="1" applyFont="1" applyFill="1" applyBorder="1" applyAlignment="1">
      <alignment horizontal="center" vertical="center"/>
    </xf>
    <xf numFmtId="176" fontId="22" fillId="0" borderId="48" xfId="2" applyNumberFormat="1" applyFont="1" applyBorder="1" applyAlignment="1">
      <alignment horizontal="center" vertical="center"/>
    </xf>
    <xf numFmtId="176" fontId="22" fillId="16" borderId="30" xfId="2" applyNumberFormat="1" applyFont="1" applyFill="1" applyBorder="1" applyAlignment="1">
      <alignment horizontal="center" vertical="center"/>
    </xf>
    <xf numFmtId="176" fontId="22" fillId="16" borderId="47" xfId="2" applyNumberFormat="1" applyFont="1" applyFill="1" applyBorder="1" applyAlignment="1">
      <alignment horizontal="center" vertical="center"/>
    </xf>
    <xf numFmtId="190" fontId="22" fillId="0" borderId="11" xfId="2" applyNumberFormat="1" applyFont="1" applyBorder="1" applyAlignment="1">
      <alignment horizontal="center" vertical="center"/>
    </xf>
    <xf numFmtId="176" fontId="22" fillId="19" borderId="88" xfId="2" applyNumberFormat="1" applyFont="1" applyFill="1" applyBorder="1" applyAlignment="1">
      <alignment horizontal="center" vertical="center"/>
    </xf>
    <xf numFmtId="176" fontId="22" fillId="16" borderId="77" xfId="2" applyNumberFormat="1" applyFont="1" applyFill="1" applyBorder="1" applyAlignment="1">
      <alignment horizontal="center" vertical="center"/>
    </xf>
    <xf numFmtId="176" fontId="22" fillId="16" borderId="27" xfId="2" applyNumberFormat="1" applyFont="1" applyFill="1" applyBorder="1" applyAlignment="1">
      <alignment horizontal="center" vertical="center"/>
    </xf>
    <xf numFmtId="176" fontId="18" fillId="16" borderId="110" xfId="2" applyNumberFormat="1" applyFont="1" applyFill="1" applyBorder="1" applyAlignment="1">
      <alignment horizontal="center" vertical="center"/>
    </xf>
    <xf numFmtId="176" fontId="22" fillId="16" borderId="41" xfId="2" applyNumberFormat="1" applyFont="1" applyFill="1" applyBorder="1" applyAlignment="1">
      <alignment horizontal="center" vertical="center"/>
    </xf>
    <xf numFmtId="176" fontId="100" fillId="16" borderId="26" xfId="2" applyNumberFormat="1" applyFont="1" applyFill="1" applyBorder="1" applyAlignment="1">
      <alignment horizontal="center" vertical="center"/>
    </xf>
    <xf numFmtId="176" fontId="100" fillId="16" borderId="27" xfId="2" applyNumberFormat="1" applyFont="1" applyFill="1" applyBorder="1" applyAlignment="1">
      <alignment horizontal="center" vertical="center"/>
    </xf>
    <xf numFmtId="176" fontId="100" fillId="16" borderId="41" xfId="2" applyNumberFormat="1" applyFont="1" applyFill="1" applyBorder="1" applyAlignment="1">
      <alignment horizontal="center" vertical="center"/>
    </xf>
    <xf numFmtId="176" fontId="100" fillId="16" borderId="44" xfId="2" applyNumberFormat="1" applyFont="1" applyFill="1" applyBorder="1" applyAlignment="1">
      <alignment horizontal="center" vertical="center"/>
    </xf>
    <xf numFmtId="0" fontId="22" fillId="0" borderId="140" xfId="2" quotePrefix="1" applyFont="1" applyBorder="1" applyAlignment="1">
      <alignment vertical="center"/>
    </xf>
    <xf numFmtId="176" fontId="22" fillId="16" borderId="26" xfId="2" applyNumberFormat="1" applyFont="1" applyFill="1" applyBorder="1" applyAlignment="1">
      <alignment horizontal="center" vertical="center"/>
    </xf>
    <xf numFmtId="176" fontId="22" fillId="16" borderId="44" xfId="2" applyNumberFormat="1" applyFont="1" applyFill="1" applyBorder="1" applyAlignment="1">
      <alignment horizontal="center" vertical="center"/>
    </xf>
    <xf numFmtId="176" fontId="22" fillId="16" borderId="31" xfId="2" quotePrefix="1" applyNumberFormat="1" applyFont="1" applyFill="1" applyBorder="1" applyAlignment="1">
      <alignment horizontal="center" vertical="center"/>
    </xf>
    <xf numFmtId="176" fontId="22" fillId="16" borderId="102" xfId="2" applyNumberFormat="1" applyFont="1" applyFill="1" applyBorder="1" applyAlignment="1">
      <alignment horizontal="center" vertical="center"/>
    </xf>
    <xf numFmtId="176" fontId="22" fillId="0" borderId="84" xfId="2" applyNumberFormat="1" applyFont="1" applyBorder="1" applyAlignment="1">
      <alignment horizontal="center" vertical="center"/>
    </xf>
    <xf numFmtId="176" fontId="22" fillId="16" borderId="48" xfId="2" applyNumberFormat="1" applyFont="1" applyFill="1" applyBorder="1" applyAlignment="1">
      <alignment horizontal="center" vertical="center"/>
    </xf>
    <xf numFmtId="176" fontId="22" fillId="16" borderId="96" xfId="2" applyNumberFormat="1" applyFont="1" applyFill="1" applyBorder="1" applyAlignment="1">
      <alignment horizontal="center" vertical="center"/>
    </xf>
    <xf numFmtId="176" fontId="22" fillId="0" borderId="43" xfId="2" applyNumberFormat="1" applyFont="1" applyBorder="1" applyAlignment="1">
      <alignment horizontal="center" vertical="center"/>
    </xf>
    <xf numFmtId="188" fontId="9" fillId="0" borderId="26" xfId="2" applyNumberFormat="1" applyFont="1" applyBorder="1" applyAlignment="1">
      <alignment horizontal="center" vertical="center"/>
    </xf>
    <xf numFmtId="0" fontId="22" fillId="0" borderId="43" xfId="2" applyFont="1" applyBorder="1" applyAlignment="1">
      <alignment vertical="center"/>
    </xf>
    <xf numFmtId="0" fontId="9" fillId="0" borderId="26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190" fontId="22" fillId="0" borderId="84" xfId="2" applyNumberFormat="1" applyFont="1" applyBorder="1" applyAlignment="1">
      <alignment horizontal="center" vertical="center"/>
    </xf>
    <xf numFmtId="190" fontId="22" fillId="0" borderId="46" xfId="2" applyNumberFormat="1" applyFont="1" applyBorder="1" applyAlignment="1">
      <alignment horizontal="center" vertical="center"/>
    </xf>
    <xf numFmtId="0" fontId="22" fillId="0" borderId="110" xfId="2" applyFont="1" applyBorder="1" applyAlignment="1">
      <alignment horizontal="center"/>
    </xf>
    <xf numFmtId="0" fontId="22" fillId="0" borderId="41" xfId="2" applyFont="1" applyBorder="1" applyAlignment="1">
      <alignment horizontal="center"/>
    </xf>
    <xf numFmtId="0" fontId="22" fillId="0" borderId="0" xfId="2" applyFont="1" applyBorder="1" applyAlignment="1">
      <alignment horizontal="center"/>
    </xf>
    <xf numFmtId="0" fontId="22" fillId="0" borderId="41" xfId="2" applyFont="1" applyBorder="1" applyAlignment="1">
      <alignment horizontal="center" vertical="center"/>
    </xf>
    <xf numFmtId="0" fontId="22" fillId="0" borderId="64" xfId="2" applyFont="1" applyBorder="1" applyAlignment="1">
      <alignment horizontal="center" vertical="center"/>
    </xf>
    <xf numFmtId="0" fontId="9" fillId="0" borderId="103" xfId="2" applyFont="1" applyBorder="1" applyAlignment="1">
      <alignment horizontal="center" vertical="center"/>
    </xf>
    <xf numFmtId="176" fontId="22" fillId="8" borderId="77" xfId="2" applyNumberFormat="1" applyFont="1" applyFill="1" applyBorder="1" applyAlignment="1">
      <alignment horizontal="center" vertical="center"/>
    </xf>
    <xf numFmtId="176" fontId="22" fillId="8" borderId="27" xfId="2" applyNumberFormat="1" applyFont="1" applyFill="1" applyBorder="1" applyAlignment="1">
      <alignment horizontal="center" vertical="center"/>
    </xf>
    <xf numFmtId="176" fontId="22" fillId="8" borderId="110" xfId="2" applyNumberFormat="1" applyFont="1" applyFill="1" applyBorder="1" applyAlignment="1">
      <alignment horizontal="center" vertical="center"/>
    </xf>
    <xf numFmtId="176" fontId="22" fillId="8" borderId="41" xfId="2" applyNumberFormat="1" applyFont="1" applyFill="1" applyBorder="1" applyAlignment="1">
      <alignment horizontal="center" vertical="center"/>
    </xf>
    <xf numFmtId="176" fontId="22" fillId="8" borderId="0" xfId="2" applyNumberFormat="1" applyFont="1" applyFill="1" applyBorder="1" applyAlignment="1">
      <alignment horizontal="center" vertical="center"/>
    </xf>
    <xf numFmtId="176" fontId="22" fillId="8" borderId="44" xfId="2" applyNumberFormat="1" applyFont="1" applyFill="1" applyBorder="1" applyAlignment="1">
      <alignment horizontal="center" vertical="center"/>
    </xf>
    <xf numFmtId="176" fontId="22" fillId="8" borderId="107" xfId="2" applyNumberFormat="1" applyFont="1" applyFill="1" applyBorder="1" applyAlignment="1">
      <alignment horizontal="center" vertical="center"/>
    </xf>
    <xf numFmtId="176" fontId="22" fillId="8" borderId="12" xfId="2" applyNumberFormat="1" applyFont="1" applyFill="1" applyBorder="1" applyAlignment="1">
      <alignment horizontal="center" vertical="center"/>
    </xf>
    <xf numFmtId="176" fontId="22" fillId="8" borderId="88" xfId="2" applyNumberFormat="1" applyFont="1" applyFill="1" applyBorder="1" applyAlignment="1">
      <alignment horizontal="center" vertical="center"/>
    </xf>
    <xf numFmtId="176" fontId="22" fillId="8" borderId="82" xfId="2" applyNumberFormat="1" applyFont="1" applyFill="1" applyBorder="1" applyAlignment="1">
      <alignment horizontal="center" vertical="center"/>
    </xf>
    <xf numFmtId="176" fontId="22" fillId="8" borderId="103" xfId="2" applyNumberFormat="1" applyFont="1" applyFill="1" applyBorder="1" applyAlignment="1">
      <alignment horizontal="center" vertical="center"/>
    </xf>
    <xf numFmtId="176" fontId="22" fillId="8" borderId="10" xfId="2" applyNumberFormat="1" applyFont="1" applyFill="1" applyBorder="1" applyAlignment="1">
      <alignment horizontal="center" vertical="center"/>
    </xf>
    <xf numFmtId="176" fontId="22" fillId="8" borderId="92" xfId="2" applyNumberFormat="1" applyFont="1" applyFill="1" applyBorder="1" applyAlignment="1">
      <alignment horizontal="center" vertical="center"/>
    </xf>
    <xf numFmtId="176" fontId="22" fillId="8" borderId="47" xfId="2" applyNumberFormat="1" applyFont="1" applyFill="1" applyBorder="1" applyAlignment="1">
      <alignment horizontal="center" vertical="center"/>
    </xf>
    <xf numFmtId="0" fontId="22" fillId="0" borderId="84" xfId="2" applyFont="1" applyBorder="1" applyAlignment="1">
      <alignment vertical="center"/>
    </xf>
    <xf numFmtId="0" fontId="9" fillId="0" borderId="30" xfId="2" applyFont="1" applyBorder="1" applyAlignment="1">
      <alignment horizontal="center" vertical="center"/>
    </xf>
    <xf numFmtId="0" fontId="22" fillId="0" borderId="0" xfId="2" quotePrefix="1" applyFont="1" applyAlignment="1">
      <alignment horizontal="center" vertical="center"/>
    </xf>
    <xf numFmtId="0" fontId="12" fillId="0" borderId="0" xfId="9" applyFont="1" applyAlignment="1">
      <alignment horizontal="left"/>
    </xf>
    <xf numFmtId="0" fontId="9" fillId="0" borderId="0" xfId="9" applyFont="1"/>
    <xf numFmtId="180" fontId="6" fillId="0" borderId="0" xfId="3" applyNumberFormat="1" applyFont="1" applyBorder="1" applyAlignment="1">
      <alignment horizontal="center" vertical="center" wrapText="1"/>
    </xf>
    <xf numFmtId="0" fontId="51" fillId="13" borderId="107" xfId="2" applyFont="1" applyFill="1" applyBorder="1" applyAlignment="1">
      <alignment vertical="center"/>
    </xf>
    <xf numFmtId="0" fontId="51" fillId="13" borderId="0" xfId="2" applyFont="1" applyFill="1" applyBorder="1" applyAlignment="1">
      <alignment vertical="center"/>
    </xf>
    <xf numFmtId="0" fontId="9" fillId="0" borderId="107" xfId="2" applyFont="1" applyBorder="1"/>
    <xf numFmtId="190" fontId="22" fillId="0" borderId="107" xfId="2" applyNumberFormat="1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vertical="center"/>
    </xf>
    <xf numFmtId="180" fontId="9" fillId="0" borderId="0" xfId="2" applyNumberFormat="1" applyFont="1" applyFill="1" applyBorder="1"/>
    <xf numFmtId="181" fontId="6" fillId="0" borderId="26" xfId="2" quotePrefix="1" applyNumberFormat="1" applyFont="1" applyBorder="1" applyAlignment="1">
      <alignment horizontal="center" vertical="center"/>
    </xf>
    <xf numFmtId="181" fontId="6" fillId="0" borderId="27" xfId="2" quotePrefix="1" applyNumberFormat="1" applyFont="1" applyBorder="1" applyAlignment="1">
      <alignment horizontal="center" vertical="center"/>
    </xf>
    <xf numFmtId="189" fontId="6" fillId="0" borderId="27" xfId="2" quotePrefix="1" applyNumberFormat="1" applyFont="1" applyBorder="1" applyAlignment="1">
      <alignment horizontal="center" vertical="center"/>
    </xf>
    <xf numFmtId="181" fontId="6" fillId="0" borderId="30" xfId="2" quotePrefix="1" applyNumberFormat="1" applyFont="1" applyBorder="1" applyAlignment="1">
      <alignment horizontal="center" vertical="center"/>
    </xf>
    <xf numFmtId="181" fontId="6" fillId="0" borderId="10" xfId="2" quotePrefix="1" applyNumberFormat="1" applyFont="1" applyBorder="1" applyAlignment="1">
      <alignment horizontal="center" vertical="center"/>
    </xf>
    <xf numFmtId="189" fontId="6" fillId="0" borderId="10" xfId="2" quotePrefix="1" applyNumberFormat="1" applyFont="1" applyBorder="1" applyAlignment="1">
      <alignment horizontal="center" vertical="center"/>
    </xf>
    <xf numFmtId="189" fontId="6" fillId="0" borderId="29" xfId="2" quotePrefix="1" applyNumberFormat="1" applyFont="1" applyBorder="1" applyAlignment="1">
      <alignment horizontal="center" vertical="center"/>
    </xf>
    <xf numFmtId="189" fontId="6" fillId="0" borderId="44" xfId="2" quotePrefix="1" applyNumberFormat="1" applyFont="1" applyBorder="1" applyAlignment="1">
      <alignment horizontal="center" vertical="center"/>
    </xf>
    <xf numFmtId="195" fontId="6" fillId="0" borderId="27" xfId="2" quotePrefix="1" applyNumberFormat="1" applyFont="1" applyBorder="1" applyAlignment="1">
      <alignment horizontal="center" vertical="center"/>
    </xf>
    <xf numFmtId="195" fontId="6" fillId="0" borderId="29" xfId="2" quotePrefix="1" applyNumberFormat="1" applyFont="1" applyBorder="1" applyAlignment="1">
      <alignment horizontal="center" vertical="center"/>
    </xf>
    <xf numFmtId="189" fontId="6" fillId="0" borderId="11" xfId="2" quotePrefix="1" applyNumberFormat="1" applyFont="1" applyBorder="1" applyAlignment="1">
      <alignment horizontal="center" vertical="center"/>
    </xf>
    <xf numFmtId="189" fontId="6" fillId="0" borderId="47" xfId="2" quotePrefix="1" applyNumberFormat="1" applyFont="1" applyBorder="1" applyAlignment="1">
      <alignment horizontal="center" vertical="center"/>
    </xf>
    <xf numFmtId="195" fontId="6" fillId="0" borderId="10" xfId="2" quotePrefix="1" applyNumberFormat="1" applyFont="1" applyBorder="1" applyAlignment="1">
      <alignment horizontal="center" vertical="center"/>
    </xf>
    <xf numFmtId="195" fontId="6" fillId="0" borderId="11" xfId="2" quotePrefix="1" applyNumberFormat="1" applyFont="1" applyBorder="1" applyAlignment="1">
      <alignment horizontal="center" vertical="center"/>
    </xf>
    <xf numFmtId="0" fontId="30" fillId="5" borderId="63" xfId="3" applyFont="1" applyFill="1" applyBorder="1" applyAlignment="1">
      <alignment horizontal="left" vertical="center"/>
    </xf>
    <xf numFmtId="0" fontId="30" fillId="5" borderId="64" xfId="3" applyFont="1" applyFill="1" applyBorder="1" applyAlignment="1">
      <alignment horizontal="left" vertical="center"/>
    </xf>
    <xf numFmtId="0" fontId="30" fillId="3" borderId="77" xfId="3" applyFont="1" applyFill="1" applyBorder="1" applyAlignment="1">
      <alignment horizontal="center" vertical="center"/>
    </xf>
    <xf numFmtId="0" fontId="30" fillId="3" borderId="41" xfId="3" applyFont="1" applyFill="1" applyBorder="1" applyAlignment="1">
      <alignment horizontal="center" vertical="center"/>
    </xf>
    <xf numFmtId="0" fontId="30" fillId="5" borderId="33" xfId="3" applyFont="1" applyFill="1" applyBorder="1" applyAlignment="1">
      <alignment horizontal="left" vertical="center"/>
    </xf>
    <xf numFmtId="0" fontId="30" fillId="5" borderId="69" xfId="3" applyFont="1" applyFill="1" applyBorder="1" applyAlignment="1">
      <alignment horizontal="left" vertical="center"/>
    </xf>
    <xf numFmtId="0" fontId="30" fillId="5" borderId="59" xfId="3" applyFont="1" applyFill="1" applyBorder="1" applyAlignment="1">
      <alignment horizontal="left" vertical="center"/>
    </xf>
    <xf numFmtId="0" fontId="30" fillId="5" borderId="60" xfId="3" applyFont="1" applyFill="1" applyBorder="1" applyAlignment="1">
      <alignment horizontal="left" vertical="center"/>
    </xf>
    <xf numFmtId="0" fontId="22" fillId="0" borderId="59" xfId="3" applyFont="1" applyBorder="1" applyAlignment="1">
      <alignment horizontal="center" vertical="center"/>
    </xf>
    <xf numFmtId="0" fontId="22" fillId="0" borderId="60" xfId="3" applyFont="1" applyBorder="1" applyAlignment="1">
      <alignment horizontal="center" vertical="center"/>
    </xf>
    <xf numFmtId="0" fontId="22" fillId="0" borderId="61" xfId="3" applyFont="1" applyBorder="1" applyAlignment="1">
      <alignment horizontal="center" vertical="center"/>
    </xf>
    <xf numFmtId="0" fontId="22" fillId="0" borderId="63" xfId="3" applyFont="1" applyBorder="1" applyAlignment="1">
      <alignment horizontal="center" vertical="center"/>
    </xf>
    <xf numFmtId="0" fontId="22" fillId="0" borderId="64" xfId="3" applyFont="1" applyBorder="1" applyAlignment="1">
      <alignment horizontal="center" vertical="center"/>
    </xf>
    <xf numFmtId="0" fontId="22" fillId="0" borderId="65" xfId="3" applyFont="1" applyBorder="1" applyAlignment="1">
      <alignment horizontal="center" vertical="center"/>
    </xf>
    <xf numFmtId="0" fontId="22" fillId="0" borderId="62" xfId="3" applyFont="1" applyBorder="1" applyAlignment="1">
      <alignment horizontal="center" vertical="center"/>
    </xf>
    <xf numFmtId="0" fontId="30" fillId="5" borderId="32" xfId="3" applyFont="1" applyFill="1" applyBorder="1" applyAlignment="1">
      <alignment horizontal="left" vertical="center"/>
    </xf>
    <xf numFmtId="0" fontId="30" fillId="5" borderId="15" xfId="3" applyFont="1" applyFill="1" applyBorder="1" applyAlignment="1">
      <alignment horizontal="left" vertical="center"/>
    </xf>
    <xf numFmtId="0" fontId="30" fillId="5" borderId="68" xfId="3" applyFont="1" applyFill="1" applyBorder="1" applyAlignment="1">
      <alignment horizontal="left" vertical="center"/>
    </xf>
    <xf numFmtId="0" fontId="6" fillId="0" borderId="69" xfId="2" applyFont="1" applyBorder="1" applyAlignment="1">
      <alignment horizontal="center" vertical="center"/>
    </xf>
    <xf numFmtId="0" fontId="6" fillId="0" borderId="64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0" borderId="79" xfId="2" applyFont="1" applyBorder="1" applyAlignment="1">
      <alignment horizontal="center" vertical="center"/>
    </xf>
    <xf numFmtId="0" fontId="6" fillId="0" borderId="85" xfId="2" applyFont="1" applyBorder="1" applyAlignment="1">
      <alignment horizontal="center" vertical="center"/>
    </xf>
    <xf numFmtId="0" fontId="6" fillId="0" borderId="71" xfId="2" applyFont="1" applyBorder="1" applyAlignment="1">
      <alignment horizontal="center" vertical="center"/>
    </xf>
    <xf numFmtId="0" fontId="6" fillId="0" borderId="83" xfId="2" applyFont="1" applyBorder="1" applyAlignment="1">
      <alignment horizontal="center" vertical="center"/>
    </xf>
    <xf numFmtId="0" fontId="6" fillId="0" borderId="86" xfId="2" applyFont="1" applyBorder="1" applyAlignment="1">
      <alignment horizontal="center" vertical="center"/>
    </xf>
    <xf numFmtId="0" fontId="6" fillId="0" borderId="87" xfId="2" applyFont="1" applyBorder="1" applyAlignment="1">
      <alignment horizontal="center" vertical="center"/>
    </xf>
    <xf numFmtId="0" fontId="9" fillId="0" borderId="0" xfId="2" applyFont="1"/>
    <xf numFmtId="0" fontId="6" fillId="0" borderId="43" xfId="2" applyFont="1" applyBorder="1" applyAlignment="1">
      <alignment horizontal="center" vertical="center"/>
    </xf>
    <xf numFmtId="0" fontId="6" fillId="0" borderId="84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0" fontId="6" fillId="0" borderId="72" xfId="2" applyFont="1" applyBorder="1" applyAlignment="1">
      <alignment horizontal="center" vertical="center"/>
    </xf>
    <xf numFmtId="0" fontId="6" fillId="0" borderId="73" xfId="2" applyFont="1" applyBorder="1" applyAlignment="1">
      <alignment horizontal="center" vertical="center"/>
    </xf>
    <xf numFmtId="0" fontId="6" fillId="0" borderId="74" xfId="2" applyFont="1" applyBorder="1" applyAlignment="1">
      <alignment horizontal="center" vertical="center"/>
    </xf>
    <xf numFmtId="2" fontId="6" fillId="0" borderId="43" xfId="2" quotePrefix="1" applyNumberFormat="1" applyFont="1" applyBorder="1" applyAlignment="1">
      <alignment horizontal="center" vertical="center"/>
    </xf>
    <xf numFmtId="2" fontId="6" fillId="0" borderId="46" xfId="2" quotePrefix="1" applyNumberFormat="1" applyFont="1" applyBorder="1" applyAlignment="1">
      <alignment horizontal="center" vertical="center"/>
    </xf>
    <xf numFmtId="2" fontId="6" fillId="0" borderId="43" xfId="2" quotePrefix="1" applyNumberFormat="1" applyFont="1" applyBorder="1" applyAlignment="1">
      <alignment horizontal="center" vertical="center" wrapText="1"/>
    </xf>
    <xf numFmtId="2" fontId="6" fillId="0" borderId="46" xfId="2" quotePrefix="1" applyNumberFormat="1" applyFont="1" applyBorder="1" applyAlignment="1">
      <alignment horizontal="center" vertical="center" wrapText="1"/>
    </xf>
    <xf numFmtId="2" fontId="6" fillId="0" borderId="96" xfId="2" quotePrefix="1" applyNumberFormat="1" applyFont="1" applyBorder="1" applyAlignment="1">
      <alignment horizontal="center" vertical="center"/>
    </xf>
    <xf numFmtId="2" fontId="6" fillId="0" borderId="48" xfId="2" quotePrefix="1" applyNumberFormat="1" applyFont="1" applyBorder="1" applyAlignment="1">
      <alignment horizontal="center" vertical="center"/>
    </xf>
    <xf numFmtId="2" fontId="44" fillId="0" borderId="97" xfId="2" quotePrefix="1" applyNumberFormat="1" applyFont="1" applyBorder="1" applyAlignment="1">
      <alignment horizontal="left" vertical="center" wrapText="1"/>
    </xf>
    <xf numFmtId="2" fontId="44" fillId="0" borderId="99" xfId="2" quotePrefix="1" applyNumberFormat="1" applyFont="1" applyBorder="1" applyAlignment="1">
      <alignment horizontal="left" vertical="center"/>
    </xf>
    <xf numFmtId="0" fontId="24" fillId="0" borderId="0" xfId="2" applyFont="1" applyAlignment="1">
      <alignment horizontal="center" vertical="center" wrapText="1"/>
    </xf>
    <xf numFmtId="2" fontId="44" fillId="0" borderId="93" xfId="2" quotePrefix="1" applyNumberFormat="1" applyFont="1" applyBorder="1" applyAlignment="1">
      <alignment horizontal="left" vertical="center" wrapText="1"/>
    </xf>
    <xf numFmtId="2" fontId="44" fillId="0" borderId="98" xfId="2" quotePrefix="1" applyNumberFormat="1" applyFont="1" applyBorder="1" applyAlignment="1">
      <alignment horizontal="left" vertical="center"/>
    </xf>
    <xf numFmtId="2" fontId="6" fillId="0" borderId="76" xfId="2" quotePrefix="1" applyNumberFormat="1" applyFont="1" applyBorder="1" applyAlignment="1">
      <alignment horizontal="center" vertical="center"/>
    </xf>
    <xf numFmtId="2" fontId="6" fillId="0" borderId="94" xfId="2" quotePrefix="1" applyNumberFormat="1" applyFont="1" applyBorder="1" applyAlignment="1">
      <alignment horizontal="center" vertical="center"/>
    </xf>
    <xf numFmtId="2" fontId="6" fillId="0" borderId="95" xfId="2" quotePrefix="1" applyNumberFormat="1" applyFont="1" applyBorder="1" applyAlignment="1">
      <alignment horizontal="center" vertical="center"/>
    </xf>
    <xf numFmtId="41" fontId="18" fillId="0" borderId="27" xfId="6" applyFont="1" applyBorder="1" applyAlignment="1">
      <alignment horizontal="center" vertical="center"/>
    </xf>
    <xf numFmtId="41" fontId="18" fillId="0" borderId="78" xfId="6" applyFont="1" applyBorder="1" applyAlignment="1">
      <alignment horizontal="center" vertical="center"/>
    </xf>
    <xf numFmtId="41" fontId="18" fillId="0" borderId="72" xfId="6" applyFont="1" applyBorder="1" applyAlignment="1">
      <alignment horizontal="center" vertical="center"/>
    </xf>
    <xf numFmtId="41" fontId="18" fillId="0" borderId="73" xfId="6" applyFont="1" applyBorder="1" applyAlignment="1">
      <alignment horizontal="center" vertical="center"/>
    </xf>
    <xf numFmtId="41" fontId="30" fillId="0" borderId="103" xfId="10" applyFont="1" applyFill="1" applyBorder="1" applyAlignment="1">
      <alignment horizontal="left" vertical="center" shrinkToFit="1"/>
    </xf>
    <xf numFmtId="41" fontId="18" fillId="10" borderId="77" xfId="10" applyFont="1" applyFill="1" applyBorder="1" applyAlignment="1">
      <alignment horizontal="center" vertical="center" shrinkToFit="1"/>
    </xf>
    <xf numFmtId="41" fontId="18" fillId="10" borderId="41" xfId="10" applyFont="1" applyFill="1" applyBorder="1" applyAlignment="1">
      <alignment horizontal="center" vertical="center" shrinkToFit="1"/>
    </xf>
    <xf numFmtId="41" fontId="18" fillId="10" borderId="44" xfId="10" applyFont="1" applyFill="1" applyBorder="1" applyAlignment="1">
      <alignment horizontal="center" vertical="center" shrinkToFit="1"/>
    </xf>
    <xf numFmtId="41" fontId="18" fillId="10" borderId="78" xfId="10" applyFont="1" applyFill="1" applyBorder="1" applyAlignment="1">
      <alignment horizontal="center" vertical="center" shrinkToFit="1"/>
    </xf>
    <xf numFmtId="41" fontId="18" fillId="10" borderId="72" xfId="10" applyFont="1" applyFill="1" applyBorder="1" applyAlignment="1">
      <alignment horizontal="center" vertical="center" shrinkToFit="1"/>
    </xf>
    <xf numFmtId="0" fontId="18" fillId="10" borderId="72" xfId="9" applyFont="1" applyFill="1" applyBorder="1" applyAlignment="1">
      <alignment horizontal="center" vertical="center"/>
    </xf>
    <xf numFmtId="0" fontId="18" fillId="10" borderId="62" xfId="9" applyFont="1" applyFill="1" applyBorder="1" applyAlignment="1">
      <alignment horizontal="center" vertical="center"/>
    </xf>
    <xf numFmtId="41" fontId="18" fillId="10" borderId="74" xfId="10" applyFont="1" applyFill="1" applyBorder="1" applyAlignment="1">
      <alignment horizontal="center" vertical="center"/>
    </xf>
    <xf numFmtId="41" fontId="18" fillId="10" borderId="72" xfId="10" applyFont="1" applyFill="1" applyBorder="1" applyAlignment="1">
      <alignment horizontal="center" vertical="center"/>
    </xf>
    <xf numFmtId="41" fontId="18" fillId="10" borderId="73" xfId="10" applyFont="1" applyFill="1" applyBorder="1" applyAlignment="1">
      <alignment horizontal="center" vertical="center"/>
    </xf>
    <xf numFmtId="0" fontId="6" fillId="0" borderId="43" xfId="2" applyNumberFormat="1" applyFont="1" applyBorder="1" applyAlignment="1">
      <alignment horizontal="center" vertical="center"/>
    </xf>
    <xf numFmtId="0" fontId="6" fillId="0" borderId="46" xfId="2" applyNumberFormat="1" applyFont="1" applyBorder="1" applyAlignment="1">
      <alignment horizontal="center" vertical="center"/>
    </xf>
    <xf numFmtId="0" fontId="6" fillId="0" borderId="103" xfId="2" applyFont="1" applyBorder="1" applyAlignment="1">
      <alignment horizontal="right" vertical="center"/>
    </xf>
    <xf numFmtId="0" fontId="44" fillId="0" borderId="74" xfId="2" applyFont="1" applyFill="1" applyBorder="1" applyAlignment="1">
      <alignment horizontal="center" vertical="center"/>
    </xf>
    <xf numFmtId="0" fontId="44" fillId="0" borderId="72" xfId="2" applyFont="1" applyFill="1" applyBorder="1" applyAlignment="1">
      <alignment horizontal="center" vertical="center"/>
    </xf>
    <xf numFmtId="0" fontId="44" fillId="0" borderId="109" xfId="2" applyFont="1" applyFill="1" applyBorder="1" applyAlignment="1">
      <alignment horizontal="center" vertical="center"/>
    </xf>
    <xf numFmtId="0" fontId="50" fillId="11" borderId="77" xfId="2" applyFont="1" applyFill="1" applyBorder="1" applyAlignment="1">
      <alignment horizontal="center" vertical="center"/>
    </xf>
    <xf numFmtId="0" fontId="50" fillId="11" borderId="41" xfId="2" applyFont="1" applyFill="1" applyBorder="1" applyAlignment="1">
      <alignment horizontal="center" vertical="center"/>
    </xf>
    <xf numFmtId="0" fontId="50" fillId="11" borderId="96" xfId="2" applyFont="1" applyFill="1" applyBorder="1" applyAlignment="1">
      <alignment horizontal="center" vertical="center"/>
    </xf>
    <xf numFmtId="0" fontId="44" fillId="0" borderId="123" xfId="2" applyFont="1" applyFill="1" applyBorder="1" applyAlignment="1">
      <alignment vertical="center"/>
    </xf>
    <xf numFmtId="0" fontId="44" fillId="0" borderId="66" xfId="2" applyFont="1" applyFill="1" applyBorder="1" applyAlignment="1">
      <alignment vertical="center"/>
    </xf>
    <xf numFmtId="0" fontId="44" fillId="0" borderId="108" xfId="2" applyFont="1" applyFill="1" applyBorder="1" applyAlignment="1">
      <alignment horizontal="center" vertical="center"/>
    </xf>
    <xf numFmtId="0" fontId="44" fillId="0" borderId="103" xfId="2" applyFont="1" applyFill="1" applyBorder="1" applyAlignment="1">
      <alignment horizontal="center" vertical="center"/>
    </xf>
    <xf numFmtId="0" fontId="6" fillId="0" borderId="103" xfId="2" applyFont="1" applyBorder="1" applyAlignment="1">
      <alignment horizontal="right"/>
    </xf>
    <xf numFmtId="0" fontId="6" fillId="0" borderId="43" xfId="16" applyFont="1" applyBorder="1" applyAlignment="1">
      <alignment horizontal="center" vertical="center" wrapText="1"/>
    </xf>
    <xf numFmtId="0" fontId="6" fillId="0" borderId="46" xfId="16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/>
    </xf>
    <xf numFmtId="0" fontId="6" fillId="0" borderId="62" xfId="2" applyFont="1" applyBorder="1" applyAlignment="1">
      <alignment horizontal="center" vertical="center"/>
    </xf>
    <xf numFmtId="0" fontId="6" fillId="0" borderId="60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 wrapText="1"/>
    </xf>
    <xf numFmtId="0" fontId="6" fillId="0" borderId="110" xfId="2" applyFont="1" applyBorder="1" applyAlignment="1">
      <alignment horizontal="center" vertical="center" wrapText="1"/>
    </xf>
    <xf numFmtId="0" fontId="6" fillId="0" borderId="92" xfId="2" applyFont="1" applyBorder="1" applyAlignment="1">
      <alignment horizontal="center" vertical="center" wrapText="1"/>
    </xf>
    <xf numFmtId="0" fontId="18" fillId="0" borderId="113" xfId="2" applyFont="1" applyBorder="1" applyAlignment="1">
      <alignment horizontal="center" vertical="center"/>
    </xf>
    <xf numFmtId="0" fontId="18" fillId="0" borderId="87" xfId="2" applyFont="1" applyBorder="1" applyAlignment="1">
      <alignment horizontal="center" vertical="center"/>
    </xf>
    <xf numFmtId="0" fontId="18" fillId="0" borderId="108" xfId="2" applyFont="1" applyBorder="1" applyAlignment="1">
      <alignment horizontal="center" vertical="center"/>
    </xf>
    <xf numFmtId="0" fontId="18" fillId="0" borderId="47" xfId="2" applyFont="1" applyBorder="1" applyAlignment="1">
      <alignment horizontal="center" vertical="center"/>
    </xf>
    <xf numFmtId="0" fontId="18" fillId="0" borderId="59" xfId="2" applyFont="1" applyBorder="1" applyAlignment="1">
      <alignment horizontal="center" vertical="center"/>
    </xf>
    <xf numFmtId="0" fontId="18" fillId="0" borderId="60" xfId="2" applyFont="1" applyBorder="1" applyAlignment="1">
      <alignment horizontal="center" vertical="center"/>
    </xf>
    <xf numFmtId="0" fontId="18" fillId="0" borderId="68" xfId="2" applyFont="1" applyBorder="1" applyAlignment="1">
      <alignment horizontal="center" vertical="center"/>
    </xf>
    <xf numFmtId="0" fontId="18" fillId="0" borderId="69" xfId="2" applyFont="1" applyBorder="1" applyAlignment="1">
      <alignment horizontal="center" vertical="center"/>
    </xf>
    <xf numFmtId="0" fontId="18" fillId="0" borderId="60" xfId="2" applyFont="1" applyBorder="1" applyAlignment="1">
      <alignment horizontal="center" vertical="center" wrapText="1"/>
    </xf>
    <xf numFmtId="0" fontId="18" fillId="0" borderId="61" xfId="2" applyFont="1" applyBorder="1" applyAlignment="1">
      <alignment horizontal="center" vertical="center" wrapText="1"/>
    </xf>
    <xf numFmtId="0" fontId="18" fillId="0" borderId="70" xfId="2" applyFont="1" applyBorder="1" applyAlignment="1">
      <alignment horizontal="center" vertical="center"/>
    </xf>
    <xf numFmtId="0" fontId="18" fillId="0" borderId="124" xfId="2" applyFont="1" applyBorder="1" applyAlignment="1">
      <alignment horizontal="center" vertical="center"/>
    </xf>
    <xf numFmtId="0" fontId="18" fillId="0" borderId="67" xfId="2" applyFont="1" applyBorder="1" applyAlignment="1">
      <alignment horizontal="center" vertical="center"/>
    </xf>
    <xf numFmtId="0" fontId="18" fillId="0" borderId="107" xfId="2" applyFont="1" applyBorder="1" applyAlignment="1">
      <alignment horizontal="center" vertical="center"/>
    </xf>
    <xf numFmtId="0" fontId="18" fillId="0" borderId="82" xfId="2" applyFont="1" applyBorder="1" applyAlignment="1">
      <alignment horizontal="center" vertical="center"/>
    </xf>
    <xf numFmtId="0" fontId="18" fillId="0" borderId="103" xfId="2" applyFont="1" applyBorder="1" applyAlignment="1">
      <alignment horizontal="right"/>
    </xf>
    <xf numFmtId="0" fontId="6" fillId="0" borderId="78" xfId="2" applyFont="1" applyBorder="1" applyAlignment="1">
      <alignment horizontal="center" vertical="center"/>
    </xf>
    <xf numFmtId="2" fontId="6" fillId="0" borderId="97" xfId="2" quotePrefix="1" applyNumberFormat="1" applyFont="1" applyBorder="1" applyAlignment="1">
      <alignment horizontal="left" vertical="center" wrapText="1"/>
    </xf>
    <xf numFmtId="2" fontId="6" fillId="0" borderId="99" xfId="2" quotePrefix="1" applyNumberFormat="1" applyFont="1" applyBorder="1" applyAlignment="1">
      <alignment horizontal="left" vertical="center"/>
    </xf>
    <xf numFmtId="2" fontId="6" fillId="0" borderId="138" xfId="2" quotePrefix="1" applyNumberFormat="1" applyFont="1" applyBorder="1" applyAlignment="1">
      <alignment horizontal="left" vertical="center" wrapText="1"/>
    </xf>
    <xf numFmtId="2" fontId="6" fillId="0" borderId="139" xfId="2" quotePrefix="1" applyNumberFormat="1" applyFont="1" applyBorder="1" applyAlignment="1">
      <alignment horizontal="left" vertical="center"/>
    </xf>
    <xf numFmtId="41" fontId="70" fillId="0" borderId="78" xfId="6" applyFont="1" applyBorder="1" applyAlignment="1">
      <alignment horizontal="center" vertical="center"/>
    </xf>
    <xf numFmtId="41" fontId="70" fillId="0" borderId="73" xfId="6" applyFont="1" applyBorder="1" applyAlignment="1">
      <alignment horizontal="center" vertical="center"/>
    </xf>
    <xf numFmtId="41" fontId="30" fillId="0" borderId="0" xfId="10" applyFont="1" applyFill="1" applyBorder="1" applyAlignment="1">
      <alignment horizontal="left" vertical="center" shrinkToFit="1"/>
    </xf>
    <xf numFmtId="41" fontId="18" fillId="10" borderId="74" xfId="10" applyFont="1" applyFill="1" applyBorder="1" applyAlignment="1">
      <alignment horizontal="center" vertical="center" shrinkToFit="1"/>
    </xf>
    <xf numFmtId="41" fontId="18" fillId="10" borderId="62" xfId="10" applyFont="1" applyFill="1" applyBorder="1" applyAlignment="1">
      <alignment horizontal="center" vertical="center" shrinkToFit="1"/>
    </xf>
    <xf numFmtId="0" fontId="18" fillId="10" borderId="78" xfId="2" applyFont="1" applyFill="1" applyBorder="1" applyAlignment="1">
      <alignment horizontal="center" vertical="center"/>
    </xf>
    <xf numFmtId="0" fontId="18" fillId="10" borderId="62" xfId="2" applyFont="1" applyFill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6" xfId="2" applyFont="1" applyBorder="1" applyAlignment="1">
      <alignment horizontal="center" vertical="center"/>
    </xf>
    <xf numFmtId="0" fontId="18" fillId="0" borderId="74" xfId="2" applyFont="1" applyBorder="1" applyAlignment="1">
      <alignment horizontal="center" vertical="center"/>
    </xf>
    <xf numFmtId="0" fontId="18" fillId="0" borderId="72" xfId="2" applyFont="1" applyBorder="1" applyAlignment="1">
      <alignment horizontal="center" vertical="center"/>
    </xf>
    <xf numFmtId="0" fontId="18" fillId="0" borderId="73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8" fillId="0" borderId="29" xfId="2" applyFont="1" applyBorder="1" applyAlignment="1">
      <alignment horizontal="center" vertical="center"/>
    </xf>
    <xf numFmtId="0" fontId="44" fillId="0" borderId="59" xfId="16" applyFont="1" applyBorder="1" applyAlignment="1">
      <alignment horizontal="center" vertical="center" wrapText="1"/>
    </xf>
    <xf numFmtId="0" fontId="44" fillId="0" borderId="61" xfId="16" applyFont="1" applyBorder="1" applyAlignment="1">
      <alignment horizontal="center" vertical="center" wrapText="1"/>
    </xf>
    <xf numFmtId="0" fontId="44" fillId="0" borderId="63" xfId="16" applyFont="1" applyBorder="1" applyAlignment="1">
      <alignment horizontal="center" vertical="center" wrapText="1"/>
    </xf>
    <xf numFmtId="0" fontId="44" fillId="0" borderId="65" xfId="16" applyFont="1" applyBorder="1" applyAlignment="1">
      <alignment horizontal="center" vertical="center" wrapText="1"/>
    </xf>
    <xf numFmtId="0" fontId="44" fillId="0" borderId="59" xfId="2" applyFont="1" applyBorder="1" applyAlignment="1">
      <alignment horizontal="center" vertical="center"/>
    </xf>
    <xf numFmtId="0" fontId="44" fillId="0" borderId="60" xfId="2" applyFont="1" applyBorder="1" applyAlignment="1">
      <alignment horizontal="center" vertical="center"/>
    </xf>
    <xf numFmtId="0" fontId="44" fillId="0" borderId="61" xfId="2" applyFont="1" applyBorder="1" applyAlignment="1">
      <alignment horizontal="center" vertical="center"/>
    </xf>
    <xf numFmtId="0" fontId="44" fillId="0" borderId="62" xfId="2" applyFont="1" applyBorder="1" applyAlignment="1">
      <alignment horizontal="center" vertical="center"/>
    </xf>
    <xf numFmtId="0" fontId="44" fillId="13" borderId="59" xfId="2" applyFont="1" applyFill="1" applyBorder="1" applyAlignment="1">
      <alignment horizontal="center" vertical="center" wrapText="1"/>
    </xf>
    <xf numFmtId="0" fontId="44" fillId="13" borderId="68" xfId="2" applyFont="1" applyFill="1" applyBorder="1" applyAlignment="1">
      <alignment horizontal="center" vertical="center" wrapText="1"/>
    </xf>
    <xf numFmtId="0" fontId="44" fillId="13" borderId="63" xfId="2" applyFont="1" applyFill="1" applyBorder="1" applyAlignment="1">
      <alignment horizontal="center" vertical="center" wrapText="1"/>
    </xf>
    <xf numFmtId="0" fontId="44" fillId="13" borderId="32" xfId="2" applyFont="1" applyFill="1" applyBorder="1" applyAlignment="1">
      <alignment horizontal="center" vertical="center" wrapText="1"/>
    </xf>
    <xf numFmtId="0" fontId="6" fillId="0" borderId="141" xfId="2" applyFont="1" applyBorder="1" applyAlignment="1">
      <alignment horizontal="center" vertical="center"/>
    </xf>
    <xf numFmtId="0" fontId="6" fillId="0" borderId="142" xfId="2" applyFont="1" applyBorder="1" applyAlignment="1">
      <alignment horizontal="center" vertical="center"/>
    </xf>
    <xf numFmtId="0" fontId="11" fillId="0" borderId="0" xfId="2"/>
    <xf numFmtId="0" fontId="6" fillId="0" borderId="70" xfId="2" applyFont="1" applyBorder="1" applyAlignment="1">
      <alignment horizontal="center" vertical="center"/>
    </xf>
    <xf numFmtId="0" fontId="6" fillId="0" borderId="65" xfId="2" applyFont="1" applyBorder="1" applyAlignment="1">
      <alignment horizontal="center" vertical="center"/>
    </xf>
    <xf numFmtId="0" fontId="6" fillId="0" borderId="59" xfId="2" applyFont="1" applyBorder="1" applyAlignment="1">
      <alignment horizontal="center" vertical="center"/>
    </xf>
    <xf numFmtId="0" fontId="6" fillId="0" borderId="68" xfId="2" applyFont="1" applyBorder="1" applyAlignment="1">
      <alignment horizontal="center" vertical="center"/>
    </xf>
    <xf numFmtId="0" fontId="6" fillId="0" borderId="61" xfId="2" applyFont="1" applyBorder="1" applyAlignment="1">
      <alignment horizontal="center" vertical="center"/>
    </xf>
    <xf numFmtId="0" fontId="6" fillId="0" borderId="90" xfId="2" applyFont="1" applyBorder="1" applyAlignment="1">
      <alignment horizontal="center" vertical="center"/>
    </xf>
    <xf numFmtId="0" fontId="6" fillId="0" borderId="119" xfId="2" applyFont="1" applyBorder="1" applyAlignment="1">
      <alignment horizontal="center" vertical="center"/>
    </xf>
    <xf numFmtId="0" fontId="6" fillId="0" borderId="67" xfId="2" applyFont="1" applyBorder="1" applyAlignment="1">
      <alignment horizontal="center" vertical="center"/>
    </xf>
    <xf numFmtId="0" fontId="6" fillId="0" borderId="63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77" xfId="2" applyFont="1" applyBorder="1" applyAlignment="1">
      <alignment horizontal="center" vertical="center"/>
    </xf>
    <xf numFmtId="0" fontId="6" fillId="0" borderId="107" xfId="2" applyFont="1" applyBorder="1" applyAlignment="1">
      <alignment horizontal="center" vertical="center"/>
    </xf>
    <xf numFmtId="0" fontId="6" fillId="0" borderId="124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44" xfId="2" applyFont="1" applyBorder="1" applyAlignment="1">
      <alignment horizontal="center" vertical="center"/>
    </xf>
    <xf numFmtId="0" fontId="6" fillId="0" borderId="82" xfId="2" applyFont="1" applyBorder="1" applyAlignment="1">
      <alignment horizontal="center" vertical="center"/>
    </xf>
    <xf numFmtId="0" fontId="6" fillId="0" borderId="110" xfId="2" applyFont="1" applyBorder="1" applyAlignment="1">
      <alignment horizontal="center" vertical="center"/>
    </xf>
    <xf numFmtId="0" fontId="6" fillId="0" borderId="88" xfId="2" applyFont="1" applyBorder="1" applyAlignment="1">
      <alignment horizontal="center" vertical="center"/>
    </xf>
    <xf numFmtId="0" fontId="6" fillId="0" borderId="92" xfId="2" applyFont="1" applyBorder="1" applyAlignment="1">
      <alignment horizontal="center" vertical="center"/>
    </xf>
    <xf numFmtId="0" fontId="6" fillId="0" borderId="0" xfId="2" applyFont="1" applyFill="1" applyAlignment="1">
      <alignment horizontal="left" vertical="center" wrapText="1"/>
    </xf>
    <xf numFmtId="0" fontId="6" fillId="0" borderId="0" xfId="2" applyFont="1" applyAlignment="1">
      <alignment vertical="center" wrapText="1"/>
    </xf>
    <xf numFmtId="0" fontId="6" fillId="0" borderId="26" xfId="2" applyFont="1" applyFill="1" applyBorder="1" applyAlignment="1">
      <alignment horizontal="center" vertical="center" textRotation="255"/>
    </xf>
    <xf numFmtId="0" fontId="6" fillId="0" borderId="31" xfId="2" applyFont="1" applyBorder="1" applyAlignment="1">
      <alignment horizontal="center" vertical="center" textRotation="255"/>
    </xf>
    <xf numFmtId="0" fontId="6" fillId="0" borderId="108" xfId="2" applyFont="1" applyBorder="1" applyAlignment="1">
      <alignment horizontal="center" vertical="center" textRotation="255"/>
    </xf>
    <xf numFmtId="0" fontId="6" fillId="0" borderId="27" xfId="2" applyFont="1" applyFill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/>
    </xf>
    <xf numFmtId="0" fontId="6" fillId="0" borderId="79" xfId="2" applyFont="1" applyFill="1" applyBorder="1" applyAlignment="1">
      <alignment horizontal="center" vertical="center"/>
    </xf>
    <xf numFmtId="0" fontId="6" fillId="0" borderId="85" xfId="2" applyFont="1" applyFill="1" applyBorder="1" applyAlignment="1">
      <alignment horizontal="center" vertical="center"/>
    </xf>
    <xf numFmtId="0" fontId="6" fillId="0" borderId="104" xfId="2" applyFont="1" applyFill="1" applyBorder="1" applyAlignment="1">
      <alignment horizontal="center" vertical="center"/>
    </xf>
    <xf numFmtId="0" fontId="6" fillId="0" borderId="66" xfId="2" applyFont="1" applyFill="1" applyBorder="1" applyAlignment="1">
      <alignment horizontal="center" vertical="center"/>
    </xf>
    <xf numFmtId="0" fontId="6" fillId="0" borderId="95" xfId="2" applyFont="1" applyFill="1" applyBorder="1" applyAlignment="1">
      <alignment horizontal="center" vertical="center"/>
    </xf>
    <xf numFmtId="0" fontId="6" fillId="0" borderId="165" xfId="2" applyFont="1" applyBorder="1" applyAlignment="1">
      <alignment horizontal="center" vertical="center"/>
    </xf>
    <xf numFmtId="0" fontId="6" fillId="0" borderId="77" xfId="2" applyFont="1" applyFill="1" applyBorder="1" applyAlignment="1">
      <alignment horizontal="center" vertical="center" textRotation="255" wrapText="1" readingOrder="2"/>
    </xf>
    <xf numFmtId="0" fontId="6" fillId="0" borderId="44" xfId="2" applyFont="1" applyFill="1" applyBorder="1" applyAlignment="1">
      <alignment horizontal="center" vertical="center" textRotation="255" readingOrder="2"/>
    </xf>
    <xf numFmtId="0" fontId="6" fillId="0" borderId="107" xfId="2" applyFont="1" applyFill="1" applyBorder="1" applyAlignment="1">
      <alignment horizontal="center" vertical="center" textRotation="255" readingOrder="2"/>
    </xf>
    <xf numFmtId="0" fontId="6" fillId="0" borderId="82" xfId="2" applyFont="1" applyFill="1" applyBorder="1" applyAlignment="1">
      <alignment horizontal="center" vertical="center" textRotation="255" readingOrder="2"/>
    </xf>
    <xf numFmtId="0" fontId="6" fillId="0" borderId="108" xfId="2" applyFont="1" applyFill="1" applyBorder="1" applyAlignment="1">
      <alignment horizontal="center" vertical="center" textRotation="255" readingOrder="2"/>
    </xf>
    <xf numFmtId="0" fontId="6" fillId="0" borderId="47" xfId="2" applyFont="1" applyFill="1" applyBorder="1" applyAlignment="1">
      <alignment horizontal="center" vertical="center" textRotation="255" readingOrder="2"/>
    </xf>
    <xf numFmtId="0" fontId="6" fillId="0" borderId="107" xfId="2" applyNumberFormat="1" applyFont="1" applyFill="1" applyBorder="1" applyAlignment="1">
      <alignment horizontal="center" vertical="center" textRotation="255" wrapText="1"/>
    </xf>
    <xf numFmtId="0" fontId="6" fillId="0" borderId="108" xfId="2" applyFont="1" applyBorder="1" applyAlignment="1">
      <alignment horizontal="center" vertical="center"/>
    </xf>
    <xf numFmtId="0" fontId="6" fillId="0" borderId="107" xfId="2" applyNumberFormat="1" applyFont="1" applyBorder="1" applyAlignment="1">
      <alignment horizontal="center" vertical="center" textRotation="255" wrapText="1"/>
    </xf>
    <xf numFmtId="0" fontId="6" fillId="0" borderId="108" xfId="2" applyNumberFormat="1" applyFont="1" applyBorder="1" applyAlignment="1">
      <alignment horizontal="center" vertical="center" textRotation="255" wrapText="1"/>
    </xf>
    <xf numFmtId="0" fontId="6" fillId="0" borderId="159" xfId="2" applyFont="1" applyFill="1" applyBorder="1" applyAlignment="1">
      <alignment horizontal="left" vertical="center" wrapText="1"/>
    </xf>
    <xf numFmtId="0" fontId="6" fillId="0" borderId="160" xfId="2" applyFont="1" applyFill="1" applyBorder="1" applyAlignment="1">
      <alignment horizontal="left" vertical="center" wrapText="1"/>
    </xf>
    <xf numFmtId="0" fontId="6" fillId="0" borderId="161" xfId="2" applyFont="1" applyBorder="1" applyAlignment="1">
      <alignment horizontal="left" vertical="center"/>
    </xf>
    <xf numFmtId="0" fontId="6" fillId="0" borderId="162" xfId="2" applyFont="1" applyBorder="1" applyAlignment="1">
      <alignment horizontal="left" vertical="center"/>
    </xf>
    <xf numFmtId="0" fontId="6" fillId="0" borderId="163" xfId="2" applyFont="1" applyBorder="1" applyAlignment="1">
      <alignment horizontal="left" vertical="center"/>
    </xf>
    <xf numFmtId="0" fontId="6" fillId="0" borderId="164" xfId="2" applyFont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/>
    </xf>
    <xf numFmtId="0" fontId="6" fillId="0" borderId="72" xfId="2" applyFont="1" applyFill="1" applyBorder="1" applyAlignment="1" applyProtection="1">
      <alignment horizontal="center" vertical="center"/>
      <protection locked="0"/>
    </xf>
    <xf numFmtId="0" fontId="6" fillId="0" borderId="73" xfId="2" quotePrefix="1" applyFont="1" applyFill="1" applyBorder="1" applyAlignment="1" applyProtection="1">
      <alignment horizontal="center" vertical="center"/>
      <protection locked="0"/>
    </xf>
    <xf numFmtId="0" fontId="23" fillId="0" borderId="74" xfId="2" applyFont="1" applyFill="1" applyBorder="1" applyAlignment="1" applyProtection="1">
      <alignment horizontal="center" vertical="center"/>
      <protection locked="0"/>
    </xf>
    <xf numFmtId="0" fontId="23" fillId="0" borderId="72" xfId="2" quotePrefix="1" applyFont="1" applyFill="1" applyBorder="1" applyAlignment="1" applyProtection="1">
      <alignment horizontal="center" vertical="center"/>
      <protection locked="0"/>
    </xf>
    <xf numFmtId="0" fontId="6" fillId="0" borderId="74" xfId="2" applyFont="1" applyFill="1" applyBorder="1" applyAlignment="1" applyProtection="1">
      <alignment horizontal="center" vertical="center"/>
      <protection locked="0"/>
    </xf>
    <xf numFmtId="0" fontId="6" fillId="0" borderId="73" xfId="2" applyFont="1" applyFill="1" applyBorder="1" applyAlignment="1" applyProtection="1">
      <alignment horizontal="center" vertical="center"/>
      <protection locked="0"/>
    </xf>
    <xf numFmtId="0" fontId="6" fillId="0" borderId="74" xfId="2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44" fillId="0" borderId="77" xfId="2" applyFont="1" applyFill="1" applyBorder="1" applyAlignment="1">
      <alignment horizontal="center" vertical="center" wrapText="1"/>
    </xf>
    <xf numFmtId="0" fontId="44" fillId="0" borderId="96" xfId="2" applyFont="1" applyFill="1" applyBorder="1" applyAlignment="1">
      <alignment horizontal="center" vertical="center" wrapText="1"/>
    </xf>
    <xf numFmtId="0" fontId="44" fillId="0" borderId="107" xfId="2" applyFont="1" applyFill="1" applyBorder="1" applyAlignment="1">
      <alignment horizontal="center" vertical="center" wrapText="1"/>
    </xf>
    <xf numFmtId="0" fontId="44" fillId="0" borderId="102" xfId="2" applyFont="1" applyFill="1" applyBorder="1" applyAlignment="1">
      <alignment horizontal="center" vertical="center" wrapText="1"/>
    </xf>
    <xf numFmtId="0" fontId="44" fillId="0" borderId="108" xfId="2" applyFont="1" applyFill="1" applyBorder="1" applyAlignment="1">
      <alignment horizontal="center" vertical="center" wrapText="1"/>
    </xf>
    <xf numFmtId="0" fontId="44" fillId="0" borderId="48" xfId="2" applyFont="1" applyFill="1" applyBorder="1" applyAlignment="1">
      <alignment horizontal="center" vertical="center" wrapText="1"/>
    </xf>
    <xf numFmtId="0" fontId="50" fillId="0" borderId="77" xfId="2" applyFont="1" applyFill="1" applyBorder="1" applyAlignment="1">
      <alignment horizontal="center" vertical="center"/>
    </xf>
    <xf numFmtId="0" fontId="50" fillId="0" borderId="96" xfId="2" applyFont="1" applyFill="1" applyBorder="1" applyAlignment="1">
      <alignment horizontal="center" vertical="center"/>
    </xf>
    <xf numFmtId="0" fontId="50" fillId="0" borderId="107" xfId="2" applyFont="1" applyFill="1" applyBorder="1" applyAlignment="1">
      <alignment horizontal="center" vertical="center"/>
    </xf>
    <xf numFmtId="0" fontId="50" fillId="0" borderId="102" xfId="2" applyFont="1" applyFill="1" applyBorder="1" applyAlignment="1">
      <alignment horizontal="center" vertical="center"/>
    </xf>
    <xf numFmtId="0" fontId="50" fillId="0" borderId="108" xfId="2" applyFont="1" applyFill="1" applyBorder="1" applyAlignment="1">
      <alignment horizontal="center" vertical="center"/>
    </xf>
    <xf numFmtId="0" fontId="50" fillId="0" borderId="48" xfId="2" applyFont="1" applyFill="1" applyBorder="1" applyAlignment="1">
      <alignment horizontal="center" vertical="center"/>
    </xf>
    <xf numFmtId="0" fontId="44" fillId="0" borderId="29" xfId="2" applyFont="1" applyFill="1" applyBorder="1" applyAlignment="1">
      <alignment horizontal="center" vertical="center" wrapText="1"/>
    </xf>
    <xf numFmtId="0" fontId="44" fillId="0" borderId="13" xfId="2" applyFont="1" applyFill="1" applyBorder="1" applyAlignment="1">
      <alignment horizontal="center" vertical="center" wrapText="1"/>
    </xf>
    <xf numFmtId="0" fontId="44" fillId="0" borderId="16" xfId="2" applyFont="1" applyFill="1" applyBorder="1" applyAlignment="1">
      <alignment horizontal="center" vertical="center" wrapText="1"/>
    </xf>
    <xf numFmtId="0" fontId="44" fillId="0" borderId="19" xfId="2" applyFont="1" applyFill="1" applyBorder="1" applyAlignment="1">
      <alignment horizontal="center" vertical="center" wrapText="1"/>
    </xf>
    <xf numFmtId="0" fontId="44" fillId="0" borderId="115" xfId="2" applyFont="1" applyFill="1" applyBorder="1" applyAlignment="1">
      <alignment horizontal="center" vertical="center" wrapText="1"/>
    </xf>
    <xf numFmtId="0" fontId="44" fillId="0" borderId="43" xfId="2" applyFont="1" applyFill="1" applyBorder="1" applyAlignment="1">
      <alignment horizontal="center" vertical="center" wrapText="1"/>
    </xf>
    <xf numFmtId="0" fontId="44" fillId="0" borderId="46" xfId="2" applyFont="1" applyFill="1" applyBorder="1" applyAlignment="1">
      <alignment horizontal="center" vertical="center" wrapText="1"/>
    </xf>
    <xf numFmtId="0" fontId="43" fillId="0" borderId="74" xfId="2" applyFont="1" applyFill="1" applyBorder="1" applyAlignment="1">
      <alignment horizontal="center" vertical="center"/>
    </xf>
    <xf numFmtId="0" fontId="43" fillId="0" borderId="73" xfId="2" applyFont="1" applyFill="1" applyBorder="1" applyAlignment="1">
      <alignment horizontal="center" vertical="center"/>
    </xf>
    <xf numFmtId="0" fontId="43" fillId="0" borderId="77" xfId="2" applyFont="1" applyFill="1" applyBorder="1" applyAlignment="1" applyProtection="1">
      <alignment horizontal="center" vertical="center"/>
      <protection locked="0"/>
    </xf>
    <xf numFmtId="0" fontId="43" fillId="0" borderId="96" xfId="2" applyFont="1" applyFill="1" applyBorder="1" applyAlignment="1" applyProtection="1">
      <alignment horizontal="center" vertical="center"/>
      <protection locked="0"/>
    </xf>
    <xf numFmtId="0" fontId="6" fillId="0" borderId="43" xfId="2" applyFont="1" applyFill="1" applyBorder="1" applyAlignment="1">
      <alignment horizontal="center" vertical="center"/>
    </xf>
    <xf numFmtId="0" fontId="6" fillId="0" borderId="46" xfId="2" applyFont="1" applyFill="1" applyBorder="1" applyAlignment="1">
      <alignment horizontal="center" vertical="center"/>
    </xf>
    <xf numFmtId="0" fontId="6" fillId="0" borderId="41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0" xfId="2" applyFont="1" applyFill="1" applyBorder="1" applyAlignment="1">
      <alignment horizontal="center" vertical="center"/>
    </xf>
    <xf numFmtId="0" fontId="6" fillId="0" borderId="44" xfId="2" applyFont="1" applyFill="1" applyBorder="1" applyAlignment="1">
      <alignment horizontal="center" vertical="center"/>
    </xf>
    <xf numFmtId="0" fontId="6" fillId="0" borderId="96" xfId="2" applyFont="1" applyFill="1" applyBorder="1" applyAlignment="1">
      <alignment horizontal="center" vertical="center"/>
    </xf>
    <xf numFmtId="0" fontId="6" fillId="0" borderId="81" xfId="2" applyFont="1" applyBorder="1" applyAlignment="1">
      <alignment horizontal="center" vertical="center"/>
    </xf>
    <xf numFmtId="0" fontId="6" fillId="0" borderId="66" xfId="2" applyFont="1" applyBorder="1" applyAlignment="1">
      <alignment horizontal="center" vertical="center"/>
    </xf>
    <xf numFmtId="0" fontId="6" fillId="0" borderId="75" xfId="2" applyFont="1" applyBorder="1" applyAlignment="1">
      <alignment horizontal="center" vertical="center"/>
    </xf>
    <xf numFmtId="0" fontId="22" fillId="0" borderId="0" xfId="2" applyFont="1" applyBorder="1" applyAlignment="1">
      <alignment horizontal="right" vertical="top"/>
    </xf>
    <xf numFmtId="0" fontId="6" fillId="0" borderId="47" xfId="2" applyFont="1" applyBorder="1" applyAlignment="1">
      <alignment horizontal="center" vertical="center"/>
    </xf>
    <xf numFmtId="0" fontId="6" fillId="0" borderId="96" xfId="2" applyFont="1" applyBorder="1" applyAlignment="1">
      <alignment horizontal="center" vertical="center"/>
    </xf>
    <xf numFmtId="0" fontId="6" fillId="0" borderId="96" xfId="2" applyFont="1" applyBorder="1" applyAlignment="1">
      <alignment vertical="center"/>
    </xf>
    <xf numFmtId="0" fontId="6" fillId="0" borderId="48" xfId="2" applyFont="1" applyBorder="1" applyAlignment="1">
      <alignment vertical="center"/>
    </xf>
    <xf numFmtId="0" fontId="6" fillId="0" borderId="59" xfId="2" applyFont="1" applyBorder="1" applyAlignment="1" applyProtection="1">
      <alignment horizontal="center" vertical="center"/>
    </xf>
    <xf numFmtId="0" fontId="6" fillId="0" borderId="60" xfId="2" applyFont="1" applyBorder="1" applyAlignment="1" applyProtection="1">
      <alignment horizontal="center" vertical="center"/>
    </xf>
    <xf numFmtId="0" fontId="6" fillId="0" borderId="33" xfId="2" applyFont="1" applyBorder="1" applyAlignment="1" applyProtection="1">
      <alignment horizontal="center" vertical="center" wrapText="1"/>
    </xf>
    <xf numFmtId="0" fontId="6" fillId="0" borderId="31" xfId="2" applyFont="1" applyBorder="1" applyAlignment="1" applyProtection="1">
      <alignment horizontal="center" vertical="center" wrapText="1"/>
    </xf>
    <xf numFmtId="0" fontId="6" fillId="0" borderId="32" xfId="2" applyFont="1" applyBorder="1" applyAlignment="1" applyProtection="1">
      <alignment horizontal="center" vertical="center" wrapText="1"/>
    </xf>
    <xf numFmtId="0" fontId="6" fillId="6" borderId="68" xfId="2" applyFont="1" applyFill="1" applyBorder="1" applyAlignment="1" applyProtection="1">
      <alignment horizontal="center" vertical="center" wrapText="1"/>
    </xf>
    <xf numFmtId="0" fontId="6" fillId="6" borderId="68" xfId="2" applyFont="1" applyFill="1" applyBorder="1" applyAlignment="1" applyProtection="1">
      <alignment horizontal="center" vertical="center"/>
    </xf>
    <xf numFmtId="0" fontId="6" fillId="0" borderId="68" xfId="2" applyFont="1" applyBorder="1" applyAlignment="1" applyProtection="1">
      <alignment horizontal="center" vertical="center" wrapText="1"/>
    </xf>
    <xf numFmtId="0" fontId="6" fillId="0" borderId="68" xfId="2" applyFont="1" applyBorder="1" applyAlignment="1" applyProtection="1">
      <alignment horizontal="center" vertical="center"/>
    </xf>
    <xf numFmtId="0" fontId="6" fillId="6" borderId="63" xfId="2" applyFont="1" applyFill="1" applyBorder="1" applyAlignment="1" applyProtection="1">
      <alignment horizontal="center" vertical="center"/>
    </xf>
    <xf numFmtId="0" fontId="6" fillId="0" borderId="95" xfId="2" applyFont="1" applyBorder="1" applyAlignment="1" applyProtection="1">
      <alignment horizontal="center" vertical="center"/>
    </xf>
    <xf numFmtId="0" fontId="6" fillId="0" borderId="94" xfId="2" applyFont="1" applyBorder="1" applyAlignment="1" applyProtection="1">
      <alignment horizontal="center" vertical="center"/>
    </xf>
    <xf numFmtId="0" fontId="6" fillId="0" borderId="95" xfId="2" applyFont="1" applyBorder="1" applyAlignment="1">
      <alignment horizontal="center" vertical="center"/>
    </xf>
    <xf numFmtId="0" fontId="6" fillId="0" borderId="94" xfId="2" applyFont="1" applyBorder="1" applyAlignment="1">
      <alignment horizontal="center" vertical="center"/>
    </xf>
    <xf numFmtId="0" fontId="6" fillId="0" borderId="77" xfId="2" applyFont="1" applyBorder="1" applyAlignment="1" applyProtection="1">
      <alignment horizontal="center" vertical="center"/>
    </xf>
    <xf numFmtId="0" fontId="6" fillId="0" borderId="96" xfId="2" applyFont="1" applyBorder="1" applyAlignment="1" applyProtection="1">
      <alignment horizontal="center" vertical="center"/>
    </xf>
    <xf numFmtId="0" fontId="6" fillId="0" borderId="106" xfId="2" applyFont="1" applyBorder="1" applyAlignment="1" applyProtection="1">
      <alignment horizontal="center" vertical="center"/>
    </xf>
    <xf numFmtId="0" fontId="6" fillId="0" borderId="80" xfId="2" applyFont="1" applyBorder="1" applyAlignment="1" applyProtection="1">
      <alignment horizontal="center" vertical="center"/>
    </xf>
    <xf numFmtId="0" fontId="6" fillId="0" borderId="122" xfId="2" applyFont="1" applyBorder="1" applyAlignment="1" applyProtection="1">
      <alignment horizontal="center" vertical="center"/>
    </xf>
    <xf numFmtId="0" fontId="6" fillId="0" borderId="75" xfId="2" applyFont="1" applyBorder="1" applyAlignment="1" applyProtection="1">
      <alignment horizontal="center" vertical="center"/>
    </xf>
    <xf numFmtId="41" fontId="6" fillId="0" borderId="27" xfId="6" applyFont="1" applyFill="1" applyBorder="1" applyAlignment="1">
      <alignment horizontal="center" vertical="center" wrapText="1"/>
    </xf>
    <xf numFmtId="41" fontId="6" fillId="0" borderId="10" xfId="6" applyFont="1" applyFill="1" applyBorder="1"/>
    <xf numFmtId="41" fontId="6" fillId="0" borderId="29" xfId="6" applyFont="1" applyFill="1" applyBorder="1" applyAlignment="1">
      <alignment horizontal="center" vertical="center" wrapText="1"/>
    </xf>
    <xf numFmtId="0" fontId="9" fillId="0" borderId="48" xfId="2" applyFont="1" applyFill="1" applyBorder="1"/>
    <xf numFmtId="41" fontId="6" fillId="0" borderId="43" xfId="6" applyFont="1" applyBorder="1" applyAlignment="1">
      <alignment horizontal="center" vertical="center"/>
    </xf>
    <xf numFmtId="41" fontId="6" fillId="0" borderId="46" xfId="6" applyFont="1" applyBorder="1" applyAlignment="1">
      <alignment horizontal="center" vertical="center"/>
    </xf>
    <xf numFmtId="41" fontId="6" fillId="0" borderId="44" xfId="6" applyFont="1" applyBorder="1" applyAlignment="1">
      <alignment horizontal="center" vertical="center" wrapText="1"/>
    </xf>
    <xf numFmtId="41" fontId="6" fillId="0" borderId="47" xfId="6" applyFont="1" applyBorder="1"/>
    <xf numFmtId="41" fontId="6" fillId="0" borderId="27" xfId="6" applyFont="1" applyBorder="1" applyAlignment="1">
      <alignment horizontal="center" vertical="center" wrapText="1"/>
    </xf>
    <xf numFmtId="41" fontId="6" fillId="0" borderId="10" xfId="6" applyFont="1" applyBorder="1"/>
    <xf numFmtId="41" fontId="6" fillId="0" borderId="27" xfId="6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107" xfId="2" applyFont="1" applyBorder="1" applyAlignment="1">
      <alignment horizontal="center"/>
    </xf>
    <xf numFmtId="0" fontId="6" fillId="0" borderId="102" xfId="2" applyFont="1" applyBorder="1" applyAlignment="1">
      <alignment horizontal="center"/>
    </xf>
    <xf numFmtId="0" fontId="9" fillId="0" borderId="107" xfId="2" applyFont="1" applyBorder="1"/>
    <xf numFmtId="176" fontId="22" fillId="8" borderId="82" xfId="2" applyNumberFormat="1" applyFont="1" applyFill="1" applyBorder="1" applyAlignment="1">
      <alignment horizontal="center" vertical="center"/>
    </xf>
    <xf numFmtId="176" fontId="22" fillId="8" borderId="12" xfId="2" applyNumberFormat="1" applyFont="1" applyFill="1" applyBorder="1" applyAlignment="1">
      <alignment horizontal="center" vertical="center"/>
    </xf>
    <xf numFmtId="176" fontId="22" fillId="8" borderId="88" xfId="2" applyNumberFormat="1" applyFont="1" applyFill="1" applyBorder="1" applyAlignment="1">
      <alignment horizontal="center" vertical="center"/>
    </xf>
    <xf numFmtId="0" fontId="9" fillId="0" borderId="82" xfId="2" applyFont="1" applyBorder="1" applyAlignment="1">
      <alignment horizontal="center" vertical="center"/>
    </xf>
    <xf numFmtId="176" fontId="22" fillId="8" borderId="0" xfId="2" applyNumberFormat="1" applyFont="1" applyFill="1" applyBorder="1" applyAlignment="1">
      <alignment horizontal="center" vertical="center"/>
    </xf>
    <xf numFmtId="176" fontId="22" fillId="0" borderId="31" xfId="2" applyNumberFormat="1" applyFont="1" applyBorder="1" applyAlignment="1">
      <alignment horizontal="center" vertical="center"/>
    </xf>
    <xf numFmtId="176" fontId="22" fillId="0" borderId="12" xfId="2" applyNumberFormat="1" applyFont="1" applyBorder="1" applyAlignment="1">
      <alignment horizontal="center" vertical="center"/>
    </xf>
    <xf numFmtId="176" fontId="22" fillId="8" borderId="47" xfId="2" applyNumberFormat="1" applyFont="1" applyFill="1" applyBorder="1" applyAlignment="1">
      <alignment horizontal="center" vertical="center"/>
    </xf>
    <xf numFmtId="176" fontId="22" fillId="8" borderId="10" xfId="2" applyNumberFormat="1" applyFont="1" applyFill="1" applyBorder="1" applyAlignment="1">
      <alignment horizontal="center" vertical="center"/>
    </xf>
    <xf numFmtId="176" fontId="22" fillId="8" borderId="92" xfId="2" applyNumberFormat="1" applyFont="1" applyFill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176" fontId="22" fillId="8" borderId="103" xfId="2" applyNumberFormat="1" applyFont="1" applyFill="1" applyBorder="1" applyAlignment="1">
      <alignment horizontal="center" vertical="center"/>
    </xf>
    <xf numFmtId="176" fontId="22" fillId="0" borderId="30" xfId="2" applyNumberFormat="1" applyFont="1" applyBorder="1" applyAlignment="1">
      <alignment horizontal="center" vertical="center"/>
    </xf>
    <xf numFmtId="176" fontId="22" fillId="0" borderId="10" xfId="2" applyNumberFormat="1" applyFont="1" applyBorder="1" applyAlignment="1">
      <alignment horizontal="center" vertical="center"/>
    </xf>
    <xf numFmtId="176" fontId="22" fillId="8" borderId="77" xfId="2" applyNumberFormat="1" applyFont="1" applyFill="1" applyBorder="1" applyAlignment="1">
      <alignment horizontal="center" vertical="center"/>
    </xf>
    <xf numFmtId="176" fontId="22" fillId="8" borderId="44" xfId="2" applyNumberFormat="1" applyFont="1" applyFill="1" applyBorder="1" applyAlignment="1">
      <alignment horizontal="center" vertical="center"/>
    </xf>
    <xf numFmtId="176" fontId="22" fillId="8" borderId="110" xfId="2" applyNumberFormat="1" applyFont="1" applyFill="1" applyBorder="1" applyAlignment="1">
      <alignment horizontal="center" vertical="center"/>
    </xf>
    <xf numFmtId="0" fontId="9" fillId="0" borderId="41" xfId="2" applyFont="1" applyBorder="1" applyAlignment="1">
      <alignment horizontal="center" vertical="center"/>
    </xf>
    <xf numFmtId="176" fontId="22" fillId="8" borderId="41" xfId="2" applyNumberFormat="1" applyFont="1" applyFill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176" fontId="22" fillId="0" borderId="77" xfId="2" applyNumberFormat="1" applyFont="1" applyBorder="1" applyAlignment="1">
      <alignment horizontal="center" vertical="center"/>
    </xf>
    <xf numFmtId="176" fontId="22" fillId="0" borderId="44" xfId="2" applyNumberFormat="1" applyFont="1" applyBorder="1" applyAlignment="1">
      <alignment horizontal="center" vertical="center"/>
    </xf>
    <xf numFmtId="176" fontId="22" fillId="8" borderId="107" xfId="2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76" fontId="22" fillId="0" borderId="107" xfId="2" applyNumberFormat="1" applyFont="1" applyBorder="1" applyAlignment="1">
      <alignment horizontal="center" vertical="center"/>
    </xf>
    <xf numFmtId="176" fontId="22" fillId="0" borderId="82" xfId="2" applyNumberFormat="1" applyFont="1" applyBorder="1" applyAlignment="1">
      <alignment horizontal="center" vertical="center"/>
    </xf>
    <xf numFmtId="0" fontId="22" fillId="0" borderId="110" xfId="2" applyFont="1" applyBorder="1" applyAlignment="1">
      <alignment horizontal="center"/>
    </xf>
    <xf numFmtId="0" fontId="22" fillId="0" borderId="44" xfId="2" applyFont="1" applyBorder="1" applyAlignment="1">
      <alignment horizontal="center"/>
    </xf>
    <xf numFmtId="0" fontId="22" fillId="0" borderId="41" xfId="2" applyFont="1" applyBorder="1" applyAlignment="1">
      <alignment horizontal="center"/>
    </xf>
    <xf numFmtId="0" fontId="22" fillId="0" borderId="77" xfId="2" applyFont="1" applyBorder="1" applyAlignment="1">
      <alignment horizontal="center" vertical="center"/>
    </xf>
    <xf numFmtId="0" fontId="22" fillId="0" borderId="44" xfId="2" applyFont="1" applyBorder="1" applyAlignment="1">
      <alignment horizontal="center" vertical="center"/>
    </xf>
    <xf numFmtId="0" fontId="9" fillId="0" borderId="108" xfId="2" applyFont="1" applyBorder="1" applyAlignment="1">
      <alignment horizontal="center" vertical="center"/>
    </xf>
    <xf numFmtId="0" fontId="22" fillId="0" borderId="29" xfId="2" applyFont="1" applyBorder="1" applyAlignment="1">
      <alignment horizontal="center" vertical="center"/>
    </xf>
    <xf numFmtId="0" fontId="22" fillId="0" borderId="11" xfId="2" applyFont="1" applyBorder="1" applyAlignment="1">
      <alignment horizontal="center" vertical="center"/>
    </xf>
    <xf numFmtId="0" fontId="18" fillId="0" borderId="92" xfId="2" applyFont="1" applyBorder="1" applyAlignment="1">
      <alignment horizontal="center" vertical="center"/>
    </xf>
    <xf numFmtId="0" fontId="22" fillId="0" borderId="103" xfId="2" applyFont="1" applyBorder="1" applyAlignment="1">
      <alignment horizontal="center" vertical="center"/>
    </xf>
    <xf numFmtId="0" fontId="22" fillId="0" borderId="47" xfId="2" applyFont="1" applyBorder="1" applyAlignment="1">
      <alignment horizontal="center" vertical="center"/>
    </xf>
    <xf numFmtId="176" fontId="18" fillId="16" borderId="92" xfId="2" applyNumberFormat="1" applyFont="1" applyFill="1" applyBorder="1" applyAlignment="1">
      <alignment horizontal="center" vertical="center"/>
    </xf>
    <xf numFmtId="176" fontId="18" fillId="16" borderId="47" xfId="2" applyNumberFormat="1" applyFont="1" applyFill="1" applyBorder="1" applyAlignment="1">
      <alignment horizontal="center" vertical="center"/>
    </xf>
    <xf numFmtId="0" fontId="22" fillId="0" borderId="43" xfId="2" applyFont="1" applyBorder="1" applyAlignment="1">
      <alignment horizontal="center" vertical="center"/>
    </xf>
    <xf numFmtId="0" fontId="22" fillId="0" borderId="84" xfId="2" applyFont="1" applyBorder="1" applyAlignment="1">
      <alignment horizontal="center" vertical="center"/>
    </xf>
    <xf numFmtId="0" fontId="18" fillId="0" borderId="110" xfId="2" applyFont="1" applyBorder="1" applyAlignment="1">
      <alignment horizontal="center" vertical="center"/>
    </xf>
    <xf numFmtId="0" fontId="9" fillId="0" borderId="92" xfId="2" applyFont="1" applyBorder="1" applyAlignment="1">
      <alignment horizontal="center" vertical="center"/>
    </xf>
    <xf numFmtId="0" fontId="22" fillId="0" borderId="72" xfId="2" applyFont="1" applyBorder="1" applyAlignment="1">
      <alignment horizontal="center" vertical="center"/>
    </xf>
    <xf numFmtId="0" fontId="22" fillId="0" borderId="62" xfId="2" applyFont="1" applyBorder="1" applyAlignment="1">
      <alignment horizontal="center" vertical="center"/>
    </xf>
    <xf numFmtId="176" fontId="18" fillId="16" borderId="88" xfId="2" applyNumberFormat="1" applyFont="1" applyFill="1" applyBorder="1" applyAlignment="1">
      <alignment horizontal="center" vertical="center"/>
    </xf>
    <xf numFmtId="176" fontId="18" fillId="16" borderId="82" xfId="2" applyNumberFormat="1" applyFont="1" applyFill="1" applyBorder="1" applyAlignment="1">
      <alignment horizontal="center" vertical="center"/>
    </xf>
    <xf numFmtId="0" fontId="22" fillId="0" borderId="26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22" fillId="0" borderId="27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176" fontId="18" fillId="16" borderId="110" xfId="2" applyNumberFormat="1" applyFont="1" applyFill="1" applyBorder="1" applyAlignment="1">
      <alignment horizontal="center" vertical="center"/>
    </xf>
    <xf numFmtId="176" fontId="18" fillId="16" borderId="44" xfId="2" applyNumberFormat="1" applyFont="1" applyFill="1" applyBorder="1" applyAlignment="1">
      <alignment horizontal="center" vertical="center"/>
    </xf>
    <xf numFmtId="0" fontId="18" fillId="0" borderId="88" xfId="2" applyFont="1" applyBorder="1" applyAlignment="1">
      <alignment horizontal="center" vertical="center"/>
    </xf>
    <xf numFmtId="176" fontId="22" fillId="0" borderId="69" xfId="2" applyNumberFormat="1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 applyBorder="1" applyAlignment="1">
      <alignment horizontal="left"/>
    </xf>
    <xf numFmtId="0" fontId="6" fillId="0" borderId="0" xfId="2" applyFont="1" applyAlignment="1">
      <alignment horizontal="left"/>
    </xf>
    <xf numFmtId="176" fontId="6" fillId="0" borderId="0" xfId="2" applyNumberFormat="1" applyFont="1" applyAlignment="1">
      <alignment horizontal="center" vertical="center"/>
    </xf>
    <xf numFmtId="176" fontId="6" fillId="0" borderId="92" xfId="2" applyNumberFormat="1" applyFont="1" applyBorder="1" applyAlignment="1">
      <alignment horizontal="center" vertical="center"/>
    </xf>
    <xf numFmtId="176" fontId="6" fillId="0" borderId="47" xfId="2" applyNumberFormat="1" applyFont="1" applyBorder="1" applyAlignment="1">
      <alignment horizontal="center" vertical="center"/>
    </xf>
    <xf numFmtId="176" fontId="6" fillId="0" borderId="60" xfId="2" applyNumberFormat="1" applyFont="1" applyBorder="1" applyAlignment="1">
      <alignment horizontal="center" vertical="center"/>
    </xf>
    <xf numFmtId="176" fontId="23" fillId="0" borderId="68" xfId="2" quotePrefix="1" applyNumberFormat="1" applyFont="1" applyFill="1" applyBorder="1" applyAlignment="1">
      <alignment horizontal="center" vertical="center"/>
    </xf>
    <xf numFmtId="176" fontId="23" fillId="0" borderId="71" xfId="2" quotePrefix="1" applyNumberFormat="1" applyFont="1" applyFill="1" applyBorder="1" applyAlignment="1">
      <alignment horizontal="center" vertical="center"/>
    </xf>
    <xf numFmtId="176" fontId="23" fillId="0" borderId="69" xfId="2" quotePrefix="1" applyNumberFormat="1" applyFont="1" applyFill="1" applyBorder="1" applyAlignment="1">
      <alignment horizontal="center" vertical="center"/>
    </xf>
    <xf numFmtId="176" fontId="23" fillId="0" borderId="70" xfId="2" quotePrefix="1" applyNumberFormat="1" applyFont="1" applyFill="1" applyBorder="1" applyAlignment="1">
      <alignment horizontal="center" vertical="center"/>
    </xf>
    <xf numFmtId="183" fontId="23" fillId="0" borderId="68" xfId="2" quotePrefix="1" applyNumberFormat="1" applyFont="1" applyFill="1" applyBorder="1" applyAlignment="1">
      <alignment horizontal="center" vertical="center"/>
    </xf>
    <xf numFmtId="183" fontId="23" fillId="0" borderId="71" xfId="2" quotePrefix="1" applyNumberFormat="1" applyFont="1" applyFill="1" applyBorder="1" applyAlignment="1">
      <alignment horizontal="center" vertical="center"/>
    </xf>
    <xf numFmtId="183" fontId="23" fillId="0" borderId="69" xfId="2" quotePrefix="1" applyNumberFormat="1" applyFont="1" applyFill="1" applyBorder="1" applyAlignment="1">
      <alignment horizontal="center" vertical="center"/>
    </xf>
    <xf numFmtId="183" fontId="23" fillId="0" borderId="70" xfId="2" quotePrefix="1" applyNumberFormat="1" applyFont="1" applyFill="1" applyBorder="1" applyAlignment="1">
      <alignment horizontal="center" vertical="center"/>
    </xf>
  </cellXfs>
  <cellStyles count="21">
    <cellStyle name="백분율 2" xfId="7"/>
    <cellStyle name="백분율 3" xfId="13"/>
    <cellStyle name="쉼표 [0] 10" xfId="5"/>
    <cellStyle name="쉼표 [0] 15" xfId="10"/>
    <cellStyle name="쉼표 [0] 2" xfId="4"/>
    <cellStyle name="쉼표 [0] 2 2" xfId="6"/>
    <cellStyle name="쉼표 [0] 3" xfId="8"/>
    <cellStyle name="쉼표 [0] 3 9" xfId="18"/>
    <cellStyle name="콤마 [0]_설비용량(최신-백웅기)" xfId="12"/>
    <cellStyle name="표준" xfId="0" builtinId="0"/>
    <cellStyle name="표준 10" xfId="3"/>
    <cellStyle name="표준 10 3" xfId="2"/>
    <cellStyle name="표준 10 3 2" xfId="9"/>
    <cellStyle name="표준 2" xfId="1"/>
    <cellStyle name="표준 540" xfId="16"/>
    <cellStyle name="표준 69 2" xfId="19"/>
    <cellStyle name="표준_05Y2QuarterGenco2" xfId="20"/>
    <cellStyle name="표준_4. 발전원(소)별 설비" xfId="14"/>
    <cellStyle name="표준_4-1. 설비[회사(소)별] " xfId="15"/>
    <cellStyle name="표준_설비용량(최신-백웅기)" xfId="11"/>
    <cellStyle name="하이퍼링크" xfId="1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03480815504313E-2"/>
          <c:y val="5.9159325653504166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'1-1 발전설비추이(발전원별)_3P'!$A$33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383877520821036E-3"/>
                  <c:y val="6.6525185578087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C6-4FA6-8225-4CE2488B3212}"/>
                </c:ext>
              </c:extLst>
            </c:dLbl>
            <c:dLbl>
              <c:idx val="1"/>
              <c:layout>
                <c:manualLayout>
                  <c:x val="0.34222624677237379"/>
                  <c:y val="-4.805296328015169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C6-4FA6-8225-4CE2488B32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C6-4FA6-8225-4CE2488B32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C6-4FA6-8225-4CE2488B32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C6-4FA6-8225-4CE2488B32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C6-4FA6-8225-4CE2488B32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C6-4FA6-8225-4CE2488B32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C6-4FA6-8225-4CE2488B32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C6-4FA6-8225-4CE2488B32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C6-4FA6-8225-4CE2488B32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C6-4FA6-8225-4CE2488B32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C6-4FA6-8225-4CE2488B3212}"/>
                </c:ext>
              </c:extLst>
            </c:dLbl>
            <c:dLbl>
              <c:idx val="12"/>
              <c:layout>
                <c:manualLayout>
                  <c:x val="-3.2943789399598102E-3"/>
                  <c:y val="-6.068459329820110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DC6-4FA6-8225-4CE2488B3212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발전설비추이(발전원별)_3P'!$B$33:$N$33</c:f>
              <c:numCache>
                <c:formatCode>#,##0_ </c:formatCode>
                <c:ptCount val="13"/>
                <c:pt idx="0">
                  <c:v>23014.162</c:v>
                </c:pt>
                <c:pt idx="1">
                  <c:v>23265.074000000001</c:v>
                </c:pt>
                <c:pt idx="2">
                  <c:v>23758.720000000001</c:v>
                </c:pt>
                <c:pt idx="3">
                  <c:v>23892.813999999998</c:v>
                </c:pt>
                <c:pt idx="4">
                  <c:v>24129.865000000002</c:v>
                </c:pt>
                <c:pt idx="5">
                  <c:v>24591.203000000001</c:v>
                </c:pt>
                <c:pt idx="6">
                  <c:v>24768.761999999999</c:v>
                </c:pt>
                <c:pt idx="7">
                  <c:v>24822.808000000001</c:v>
                </c:pt>
                <c:pt idx="8">
                  <c:v>25266.598999999998</c:v>
                </c:pt>
                <c:pt idx="9">
                  <c:v>25342.134999999998</c:v>
                </c:pt>
                <c:pt idx="10">
                  <c:v>25564.911</c:v>
                </c:pt>
                <c:pt idx="11">
                  <c:v>25800.023000000001</c:v>
                </c:pt>
                <c:pt idx="12">
                  <c:v>26148.792000000001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C6-4FA6-8225-4CE2488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684928"/>
        <c:axId val="162686464"/>
      </c:barChart>
      <c:lineChart>
        <c:grouping val="standard"/>
        <c:varyColors val="0"/>
        <c:ser>
          <c:idx val="1"/>
          <c:order val="0"/>
          <c:tx>
            <c:strRef>
              <c:f>'1-1 발전설비추이(발전원별)_3P'!$A$25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2819801954334366E-2"/>
                  <c:y val="-4.311620728923797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DC6-4FA6-8225-4CE2488B3212}"/>
                </c:ext>
              </c:extLst>
            </c:dLbl>
            <c:dLbl>
              <c:idx val="10"/>
              <c:layout>
                <c:manualLayout>
                  <c:x val="-0.27533978663122749"/>
                  <c:y val="4.571650831360393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DC6-4FA6-8225-4CE2488B3212}"/>
                </c:ext>
              </c:extLst>
            </c:dLbl>
            <c:dLbl>
              <c:idx val="12"/>
              <c:layout>
                <c:manualLayout>
                  <c:x val="-9.5478510915784215E-3"/>
                  <c:y val="4.304370413698625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DC6-4FA6-8225-4CE2488B32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발전설비추이(발전원별)_3P'!$B$25:$N$25</c:f>
              <c:numCache>
                <c:formatCode>#,##0_ </c:formatCode>
                <c:ptCount val="13"/>
                <c:pt idx="0">
                  <c:v>40305.482000000004</c:v>
                </c:pt>
                <c:pt idx="1">
                  <c:v>39105.482000000004</c:v>
                </c:pt>
                <c:pt idx="2">
                  <c:v>39105.482000000004</c:v>
                </c:pt>
                <c:pt idx="3">
                  <c:v>39105.482000000004</c:v>
                </c:pt>
                <c:pt idx="4">
                  <c:v>39105.482000000004</c:v>
                </c:pt>
                <c:pt idx="5">
                  <c:v>38855.482000000004</c:v>
                </c:pt>
                <c:pt idx="6">
                  <c:v>38855.482000000004</c:v>
                </c:pt>
                <c:pt idx="7">
                  <c:v>38855.482000000004</c:v>
                </c:pt>
                <c:pt idx="8">
                  <c:v>38855.482000000004</c:v>
                </c:pt>
                <c:pt idx="9">
                  <c:v>38855.482000000004</c:v>
                </c:pt>
                <c:pt idx="10">
                  <c:v>39895.482000000004</c:v>
                </c:pt>
                <c:pt idx="11">
                  <c:v>39895.482000000004</c:v>
                </c:pt>
                <c:pt idx="12">
                  <c:v>39895.482000000004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6-4FA6-8225-4CE2488B3212}"/>
            </c:ext>
          </c:extLst>
        </c:ser>
        <c:ser>
          <c:idx val="2"/>
          <c:order val="1"/>
          <c:tx>
            <c:strRef>
              <c:f>'1-1 발전설비추이(발전원별)_3P'!$A$27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69509852042371E-2"/>
                  <c:y val="-6.122100759756722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DC6-4FA6-8225-4CE2488B321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C6-4FA6-8225-4CE2488B32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C6-4FA6-8225-4CE2488B32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C6-4FA6-8225-4CE2488B32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C6-4FA6-8225-4CE2488B32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C6-4FA6-8225-4CE2488B3212}"/>
                </c:ext>
              </c:extLst>
            </c:dLbl>
            <c:dLbl>
              <c:idx val="6"/>
              <c:layout>
                <c:manualLayout>
                  <c:x val="-4.3684658058278633E-2"/>
                  <c:y val="4.513730080031474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DC6-4FA6-8225-4CE2488B32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C6-4FA6-8225-4CE2488B32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C6-4FA6-8225-4CE2488B32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C6-4FA6-8225-4CE2488B32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C6-4FA6-8225-4CE2488B32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C6-4FA6-8225-4CE2488B3212}"/>
                </c:ext>
              </c:extLst>
            </c:dLbl>
            <c:dLbl>
              <c:idx val="12"/>
              <c:layout>
                <c:manualLayout>
                  <c:x val="-6.1304301557083742E-3"/>
                  <c:y val="3.560286371097300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2DC6-4FA6-8225-4CE2488B3212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발전설비추이(발전원별)_3P'!$B$27:$N$27</c:f>
              <c:numCache>
                <c:formatCode>#,##0_ </c:formatCode>
                <c:ptCount val="13"/>
                <c:pt idx="0">
                  <c:v>23250</c:v>
                </c:pt>
                <c:pt idx="1">
                  <c:v>23250</c:v>
                </c:pt>
                <c:pt idx="2">
                  <c:v>23250</c:v>
                </c:pt>
                <c:pt idx="3">
                  <c:v>23250</c:v>
                </c:pt>
                <c:pt idx="4">
                  <c:v>23250</c:v>
                </c:pt>
                <c:pt idx="5">
                  <c:v>23250</c:v>
                </c:pt>
                <c:pt idx="6">
                  <c:v>23250</c:v>
                </c:pt>
                <c:pt idx="7">
                  <c:v>23250</c:v>
                </c:pt>
                <c:pt idx="8">
                  <c:v>23250</c:v>
                </c:pt>
                <c:pt idx="9">
                  <c:v>23250</c:v>
                </c:pt>
                <c:pt idx="10">
                  <c:v>23250</c:v>
                </c:pt>
                <c:pt idx="11">
                  <c:v>23250</c:v>
                </c:pt>
                <c:pt idx="12">
                  <c:v>24650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C6-4FA6-8225-4CE2488B3212}"/>
            </c:ext>
          </c:extLst>
        </c:ser>
        <c:ser>
          <c:idx val="3"/>
          <c:order val="2"/>
          <c:tx>
            <c:strRef>
              <c:f>'1-1 발전설비추이(발전원별)_3P'!$A$29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4.4231296985827312E-2"/>
                  <c:y val="4.154948503682124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DC6-4FA6-8225-4CE2488B321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C6-4FA6-8225-4CE2488B32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C6-4FA6-8225-4CE2488B32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C6-4FA6-8225-4CE2488B32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C6-4FA6-8225-4CE2488B32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C6-4FA6-8225-4CE2488B32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C6-4FA6-8225-4CE2488B32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C6-4FA6-8225-4CE2488B3212}"/>
                </c:ext>
              </c:extLst>
            </c:dLbl>
            <c:dLbl>
              <c:idx val="8"/>
              <c:layout>
                <c:manualLayout>
                  <c:x val="-0.17260669588901709"/>
                  <c:y val="-3.47328258839524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2DC6-4FA6-8225-4CE2488B32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C6-4FA6-8225-4CE2488B32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C6-4FA6-8225-4CE2488B32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C6-4FA6-8225-4CE2488B3212}"/>
                </c:ext>
              </c:extLst>
            </c:dLbl>
            <c:dLbl>
              <c:idx val="12"/>
              <c:layout>
                <c:manualLayout>
                  <c:x val="-7.8191778390235087E-3"/>
                  <c:y val="-4.21597653296467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2DC6-4FA6-8225-4CE2488B3212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발전설비추이(발전원별)_3P'!$B$29:$N$29</c:f>
              <c:numCache>
                <c:formatCode>#,##0_ </c:formatCode>
                <c:ptCount val="13"/>
                <c:pt idx="0">
                  <c:v>40217.201999999997</c:v>
                </c:pt>
                <c:pt idx="1">
                  <c:v>40217.201999999997</c:v>
                </c:pt>
                <c:pt idx="2">
                  <c:v>40217.201999999997</c:v>
                </c:pt>
                <c:pt idx="3">
                  <c:v>40217.201999999997</c:v>
                </c:pt>
                <c:pt idx="4">
                  <c:v>40217.201999999997</c:v>
                </c:pt>
                <c:pt idx="5">
                  <c:v>40217.201999999997</c:v>
                </c:pt>
                <c:pt idx="6">
                  <c:v>40217.201999999997</c:v>
                </c:pt>
                <c:pt idx="7">
                  <c:v>40217.201999999997</c:v>
                </c:pt>
                <c:pt idx="8">
                  <c:v>40217.201999999997</c:v>
                </c:pt>
                <c:pt idx="9">
                  <c:v>40217.201999999997</c:v>
                </c:pt>
                <c:pt idx="10">
                  <c:v>40217.201999999997</c:v>
                </c:pt>
                <c:pt idx="11">
                  <c:v>40217.201999999997</c:v>
                </c:pt>
                <c:pt idx="12">
                  <c:v>40217.201999999997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C6-4FA6-8225-4CE2488B3212}"/>
            </c:ext>
          </c:extLst>
        </c:ser>
        <c:ser>
          <c:idx val="4"/>
          <c:order val="3"/>
          <c:tx>
            <c:strRef>
              <c:f>'1-1 발전설비추이(발전원별)_3P'!$A$31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3.7086549580358522E-2"/>
                  <c:y val="-4.22354954662563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DC6-4FA6-8225-4CE2488B321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DC6-4FA6-8225-4CE2488B3212}"/>
                </c:ext>
              </c:extLst>
            </c:dLbl>
            <c:dLbl>
              <c:idx val="2"/>
              <c:layout>
                <c:manualLayout>
                  <c:x val="0.20436652147513254"/>
                  <c:y val="-3.692999847906921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2DC6-4FA6-8225-4CE2488B32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DC6-4FA6-8225-4CE2488B32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C6-4FA6-8225-4CE2488B32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DC6-4FA6-8225-4CE2488B32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C6-4FA6-8225-4CE2488B32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DC6-4FA6-8225-4CE2488B32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C6-4FA6-8225-4CE2488B32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DC6-4FA6-8225-4CE2488B32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C6-4FA6-8225-4CE2488B32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DC6-4FA6-8225-4CE2488B3212}"/>
                </c:ext>
              </c:extLst>
            </c:dLbl>
            <c:dLbl>
              <c:idx val="12"/>
              <c:layout>
                <c:manualLayout>
                  <c:x val="-2.2573530950553591E-3"/>
                  <c:y val="-3.53912902367519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2DC6-4FA6-8225-4CE2488B3212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발전설비추이(발전원별)_3P'!$B$31:$N$31</c:f>
              <c:numCache>
                <c:formatCode>#,##0_ </c:formatCode>
                <c:ptCount val="13"/>
                <c:pt idx="0">
                  <c:v>6541.335</c:v>
                </c:pt>
                <c:pt idx="1">
                  <c:v>6540.1049999999996</c:v>
                </c:pt>
                <c:pt idx="2">
                  <c:v>6538.0349999999999</c:v>
                </c:pt>
                <c:pt idx="3">
                  <c:v>6520.0479999999998</c:v>
                </c:pt>
                <c:pt idx="4">
                  <c:v>6520.0479999999998</c:v>
                </c:pt>
                <c:pt idx="5">
                  <c:v>6511.8329999999996</c:v>
                </c:pt>
                <c:pt idx="6">
                  <c:v>6511.8329999999996</c:v>
                </c:pt>
                <c:pt idx="7">
                  <c:v>6511.9129999999996</c:v>
                </c:pt>
                <c:pt idx="8">
                  <c:v>6511.9129999999996</c:v>
                </c:pt>
                <c:pt idx="9">
                  <c:v>6510.6130000000003</c:v>
                </c:pt>
                <c:pt idx="10">
                  <c:v>6510.6130000000003</c:v>
                </c:pt>
                <c:pt idx="11">
                  <c:v>6511.9129999999996</c:v>
                </c:pt>
                <c:pt idx="12">
                  <c:v>6512.4229999999998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DC6-4FA6-8225-4CE2488B3212}"/>
            </c:ext>
          </c:extLst>
        </c:ser>
        <c:ser>
          <c:idx val="5"/>
          <c:order val="4"/>
          <c:tx>
            <c:strRef>
              <c:f>'1-1 발전설비추이(발전원별)_3P'!$A$35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3.4852963340737057E-2"/>
                  <c:y val="-3.10954505324508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2DC6-4FA6-8225-4CE2488B3212}"/>
                </c:ext>
              </c:extLst>
            </c:dLbl>
            <c:dLbl>
              <c:idx val="1"/>
              <c:layout>
                <c:manualLayout>
                  <c:x val="0.34031649844742962"/>
                  <c:y val="-4.329228637327784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2DC6-4FA6-8225-4CE2488B32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C6-4FA6-8225-4CE2488B32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DC6-4FA6-8225-4CE2488B321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C6-4FA6-8225-4CE2488B32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DC6-4FA6-8225-4CE2488B32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DC6-4FA6-8225-4CE2488B32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DC6-4FA6-8225-4CE2488B321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DC6-4FA6-8225-4CE2488B321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DC6-4FA6-8225-4CE2488B321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DC6-4FA6-8225-4CE2488B32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DC6-4FA6-8225-4CE2488B3212}"/>
                </c:ext>
              </c:extLst>
            </c:dLbl>
            <c:dLbl>
              <c:idx val="12"/>
              <c:layout>
                <c:manualLayout>
                  <c:x val="-5.5070252970516832E-3"/>
                  <c:y val="-4.41491567833670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2DC6-4FA6-8225-4CE2488B3212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발전설비추이(발전원별)_3P'!$B$35:$N$35</c:f>
              <c:numCache>
                <c:formatCode>#,##0_ </c:formatCode>
                <c:ptCount val="13"/>
                <c:pt idx="0">
                  <c:v>691.59400000000005</c:v>
                </c:pt>
                <c:pt idx="1">
                  <c:v>691.59400000000005</c:v>
                </c:pt>
                <c:pt idx="2">
                  <c:v>691.51300000000003</c:v>
                </c:pt>
                <c:pt idx="3">
                  <c:v>694.41200000000003</c:v>
                </c:pt>
                <c:pt idx="4">
                  <c:v>694.31399999999996</c:v>
                </c:pt>
                <c:pt idx="5">
                  <c:v>634.31399999999996</c:v>
                </c:pt>
                <c:pt idx="6">
                  <c:v>633.48</c:v>
                </c:pt>
                <c:pt idx="7">
                  <c:v>633.40499999999997</c:v>
                </c:pt>
                <c:pt idx="8">
                  <c:v>593.40499999999997</c:v>
                </c:pt>
                <c:pt idx="9">
                  <c:v>592.64499999999998</c:v>
                </c:pt>
                <c:pt idx="10">
                  <c:v>592.64499999999998</c:v>
                </c:pt>
                <c:pt idx="11">
                  <c:v>593.50400000000002</c:v>
                </c:pt>
                <c:pt idx="12">
                  <c:v>593.70299999999997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DC6-4FA6-8225-4CE2488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928"/>
        <c:axId val="162686464"/>
      </c:lineChart>
      <c:catAx>
        <c:axId val="162684928"/>
        <c:scaling>
          <c:orientation val="minMax"/>
        </c:scaling>
        <c:delete val="1"/>
        <c:axPos val="b"/>
        <c:majorTickMark val="out"/>
        <c:minorTickMark val="none"/>
        <c:tickLblPos val="none"/>
        <c:crossAx val="162686464"/>
        <c:crosses val="autoZero"/>
        <c:auto val="1"/>
        <c:lblAlgn val="ctr"/>
        <c:lblOffset val="100"/>
        <c:noMultiLvlLbl val="0"/>
      </c:catAx>
      <c:valAx>
        <c:axId val="162686464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68492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394007200713145"/>
          <c:h val="0.895833333333333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'1-2 발전설비추이(에너지원별)'!$A$29</c:f>
              <c:strCache>
                <c:ptCount val="1"/>
                <c:pt idx="0">
                  <c:v>신재생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3.7646015406409316E-3"/>
                  <c:y val="7.278286527064746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B37-441F-86FD-D67C180E8E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7-441F-86FD-D67C180E8E30}"/>
                </c:ext>
              </c:extLst>
            </c:dLbl>
            <c:dLbl>
              <c:idx val="2"/>
              <c:layout>
                <c:manualLayout>
                  <c:x val="0.27877096727434847"/>
                  <c:y val="-3.101254146740305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7-441F-86FD-D67C180E8E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7-441F-86FD-D67C180E8E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37-441F-86FD-D67C180E8E30}"/>
                </c:ext>
              </c:extLst>
            </c:dLbl>
            <c:dLbl>
              <c:idx val="12"/>
              <c:layout>
                <c:manualLayout>
                  <c:x val="-3.7646015406409485E-3"/>
                  <c:y val="3.465850727173688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B37-441F-86FD-D67C180E8E30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발전설비추이(에너지원별)'!$B$29:$N$29</c:f>
              <c:numCache>
                <c:formatCode>#,##0_ </c:formatCode>
                <c:ptCount val="13"/>
                <c:pt idx="0">
                  <c:v>24855.496999999999</c:v>
                </c:pt>
                <c:pt idx="1">
                  <c:v>25105.179</c:v>
                </c:pt>
                <c:pt idx="2">
                  <c:v>25596.755000000001</c:v>
                </c:pt>
                <c:pt idx="3">
                  <c:v>25712.863000000001</c:v>
                </c:pt>
                <c:pt idx="4">
                  <c:v>25949.914000000001</c:v>
                </c:pt>
                <c:pt idx="5">
                  <c:v>26403.037</c:v>
                </c:pt>
                <c:pt idx="6">
                  <c:v>26580.595000000001</c:v>
                </c:pt>
                <c:pt idx="7">
                  <c:v>26634.722000000002</c:v>
                </c:pt>
                <c:pt idx="8">
                  <c:v>27078.512999999999</c:v>
                </c:pt>
                <c:pt idx="9">
                  <c:v>27152.748</c:v>
                </c:pt>
                <c:pt idx="10">
                  <c:v>27375.524000000001</c:v>
                </c:pt>
                <c:pt idx="11">
                  <c:v>27611.936000000002</c:v>
                </c:pt>
                <c:pt idx="12">
                  <c:v>27961.215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37-441F-86FD-D67C180E8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31072"/>
        <c:axId val="162932608"/>
      </c:barChart>
      <c:lineChart>
        <c:grouping val="standard"/>
        <c:varyColors val="0"/>
        <c:ser>
          <c:idx val="1"/>
          <c:order val="0"/>
          <c:tx>
            <c:strRef>
              <c:f>'1-2 발전설비추이(에너지원별)'!$A$23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4049395129317027E-2"/>
                  <c:y val="-5.588506911506740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B37-441F-86FD-D67C180E8E30}"/>
                </c:ext>
              </c:extLst>
            </c:dLbl>
            <c:dLbl>
              <c:idx val="10"/>
              <c:layout>
                <c:manualLayout>
                  <c:x val="-0.32075872431585783"/>
                  <c:y val="3.832357619031498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B37-441F-86FD-D67C180E8E30}"/>
                </c:ext>
              </c:extLst>
            </c:dLbl>
            <c:dLbl>
              <c:idx val="12"/>
              <c:layout>
                <c:manualLayout>
                  <c:x val="-3.7665283052091313E-3"/>
                  <c:y val="4.275740900640882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B37-441F-86FD-D67C180E8E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발전설비추이(에너지원별)'!$B$23:$N$23</c:f>
              <c:numCache>
                <c:formatCode>#,##0_ </c:formatCode>
                <c:ptCount val="13"/>
                <c:pt idx="0">
                  <c:v>23250</c:v>
                </c:pt>
                <c:pt idx="1">
                  <c:v>23250</c:v>
                </c:pt>
                <c:pt idx="2">
                  <c:v>23250</c:v>
                </c:pt>
                <c:pt idx="3">
                  <c:v>23250</c:v>
                </c:pt>
                <c:pt idx="4">
                  <c:v>23250</c:v>
                </c:pt>
                <c:pt idx="5">
                  <c:v>23250</c:v>
                </c:pt>
                <c:pt idx="6">
                  <c:v>23250</c:v>
                </c:pt>
                <c:pt idx="7">
                  <c:v>23250</c:v>
                </c:pt>
                <c:pt idx="8">
                  <c:v>23250</c:v>
                </c:pt>
                <c:pt idx="9">
                  <c:v>23250</c:v>
                </c:pt>
                <c:pt idx="10">
                  <c:v>23250</c:v>
                </c:pt>
                <c:pt idx="11">
                  <c:v>23250</c:v>
                </c:pt>
                <c:pt idx="12">
                  <c:v>24650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37-441F-86FD-D67C180E8E30}"/>
            </c:ext>
          </c:extLst>
        </c:ser>
        <c:ser>
          <c:idx val="2"/>
          <c:order val="1"/>
          <c:tx>
            <c:strRef>
              <c:f>'1-2 발전설비추이(에너지원별)'!$A$25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3.9339789674379753E-2"/>
                  <c:y val="3.585599963322020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B37-441F-86FD-D67C180E8E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7-441F-86FD-D67C180E8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B37-441F-86FD-D67C180E8E30}"/>
                </c:ext>
              </c:extLst>
            </c:dLbl>
            <c:dLbl>
              <c:idx val="6"/>
              <c:layout>
                <c:manualLayout>
                  <c:x val="-2.4681261266014748E-2"/>
                  <c:y val="5.901334052338166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B37-441F-86FD-D67C180E8E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B37-441F-86FD-D67C180E8E30}"/>
                </c:ext>
              </c:extLst>
            </c:dLbl>
            <c:dLbl>
              <c:idx val="12"/>
              <c:layout>
                <c:manualLayout>
                  <c:x val="-5.6713573997098192E-3"/>
                  <c:y val="4.081216617307861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2B37-441F-86FD-D67C180E8E30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발전설비추이(에너지원별)'!$B$25:$N$25</c:f>
              <c:numCache>
                <c:formatCode>#,##0_ </c:formatCode>
                <c:ptCount val="13"/>
                <c:pt idx="0">
                  <c:v>37337.881999999998</c:v>
                </c:pt>
                <c:pt idx="1">
                  <c:v>37337.881999999998</c:v>
                </c:pt>
                <c:pt idx="2">
                  <c:v>37337.881999999998</c:v>
                </c:pt>
                <c:pt idx="3">
                  <c:v>37337.881999999998</c:v>
                </c:pt>
                <c:pt idx="4">
                  <c:v>37337.881999999998</c:v>
                </c:pt>
                <c:pt idx="5">
                  <c:v>37087.881999999998</c:v>
                </c:pt>
                <c:pt idx="6">
                  <c:v>37087.881999999998</c:v>
                </c:pt>
                <c:pt idx="7">
                  <c:v>37087.881999999998</c:v>
                </c:pt>
                <c:pt idx="8">
                  <c:v>37087.881999999998</c:v>
                </c:pt>
                <c:pt idx="9">
                  <c:v>37087.881999999998</c:v>
                </c:pt>
                <c:pt idx="10">
                  <c:v>38127.881999999998</c:v>
                </c:pt>
                <c:pt idx="11">
                  <c:v>38127.881999999998</c:v>
                </c:pt>
                <c:pt idx="12">
                  <c:v>38127.881999999998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37-441F-86FD-D67C180E8E30}"/>
            </c:ext>
          </c:extLst>
        </c:ser>
        <c:ser>
          <c:idx val="3"/>
          <c:order val="2"/>
          <c:tx>
            <c:strRef>
              <c:f>'1-2 발전설비추이(에너지원별)'!$A$27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4.0276641892426676E-2"/>
                  <c:y val="-4.80497903569662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B37-441F-86FD-D67C180E8E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B37-441F-86FD-D67C180E8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B37-441F-86FD-D67C180E8E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B37-441F-86FD-D67C180E8E30}"/>
                </c:ext>
              </c:extLst>
            </c:dLbl>
            <c:dLbl>
              <c:idx val="8"/>
              <c:layout>
                <c:manualLayout>
                  <c:x val="-0.1695148199319941"/>
                  <c:y val="-4.23660680660334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B37-441F-86FD-D67C180E8E30}"/>
                </c:ext>
              </c:extLst>
            </c:dLbl>
            <c:dLbl>
              <c:idx val="12"/>
              <c:layout>
                <c:manualLayout>
                  <c:x val="-7.7621933813562111E-3"/>
                  <c:y val="-4.142755935337595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2B37-441F-86FD-D67C180E8E3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발전설비추이(에너지원별)'!$B$27:$N$27</c:f>
              <c:numCache>
                <c:formatCode>#,##0_ </c:formatCode>
                <c:ptCount val="13"/>
                <c:pt idx="0">
                  <c:v>41201.457000000002</c:v>
                </c:pt>
                <c:pt idx="1">
                  <c:v>41201.457000000002</c:v>
                </c:pt>
                <c:pt idx="2">
                  <c:v>41201.457000000002</c:v>
                </c:pt>
                <c:pt idx="3">
                  <c:v>41201.457000000002</c:v>
                </c:pt>
                <c:pt idx="4">
                  <c:v>41201.457000000002</c:v>
                </c:pt>
                <c:pt idx="5">
                  <c:v>41201.457000000002</c:v>
                </c:pt>
                <c:pt idx="6">
                  <c:v>41201.457000000002</c:v>
                </c:pt>
                <c:pt idx="7">
                  <c:v>41201.457000000002</c:v>
                </c:pt>
                <c:pt idx="8">
                  <c:v>41201.457000000002</c:v>
                </c:pt>
                <c:pt idx="9">
                  <c:v>41201.457000000002</c:v>
                </c:pt>
                <c:pt idx="10">
                  <c:v>41201.457000000002</c:v>
                </c:pt>
                <c:pt idx="11">
                  <c:v>41201.457000000002</c:v>
                </c:pt>
                <c:pt idx="12">
                  <c:v>41201.457000000002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37-441F-86FD-D67C180E8E30}"/>
            </c:ext>
          </c:extLst>
        </c:ser>
        <c:ser>
          <c:idx val="5"/>
          <c:order val="4"/>
          <c:tx>
            <c:strRef>
              <c:f>'1-2 발전설비추이(에너지원별)'!$A$31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layout>
                <c:manualLayout>
                  <c:x val="-4.5217607308188384E-2"/>
                  <c:y val="-2.178273536947060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B37-441F-86FD-D67C180E8E30}"/>
                </c:ext>
              </c:extLst>
            </c:dLbl>
            <c:dLbl>
              <c:idx val="1"/>
              <c:layout>
                <c:manualLayout>
                  <c:x val="0.33996456531746699"/>
                  <c:y val="-2.303508095899816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2B37-441F-86FD-D67C180E8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B37-441F-86FD-D67C180E8E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B37-441F-86FD-D67C180E8E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B37-441F-86FD-D67C180E8E30}"/>
                </c:ext>
              </c:extLst>
            </c:dLbl>
            <c:dLbl>
              <c:idx val="12"/>
              <c:layout>
                <c:manualLayout>
                  <c:x val="-1.4312896487389622E-3"/>
                  <c:y val="-2.51219597393680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2B37-441F-86FD-D67C180E8E30}"/>
                </c:ext>
              </c:extLst>
            </c:dLbl>
            <c:spPr>
              <a:noFill/>
              <a:ln w="25400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발전설비추이(에너지원별)'!$B$31:$N$31</c:f>
              <c:numCache>
                <c:formatCode>#,##0_ </c:formatCode>
                <c:ptCount val="13"/>
                <c:pt idx="0">
                  <c:v>2160.1550000000002</c:v>
                </c:pt>
                <c:pt idx="1">
                  <c:v>960.15499999999997</c:v>
                </c:pt>
                <c:pt idx="2">
                  <c:v>960.15499999999997</c:v>
                </c:pt>
                <c:pt idx="3">
                  <c:v>960.15499999999997</c:v>
                </c:pt>
                <c:pt idx="4">
                  <c:v>960.15499999999997</c:v>
                </c:pt>
                <c:pt idx="5">
                  <c:v>960.15499999999997</c:v>
                </c:pt>
                <c:pt idx="6">
                  <c:v>960.15499999999997</c:v>
                </c:pt>
                <c:pt idx="7">
                  <c:v>960.15499999999997</c:v>
                </c:pt>
                <c:pt idx="8">
                  <c:v>920.15499999999997</c:v>
                </c:pt>
                <c:pt idx="9">
                  <c:v>920.15499999999997</c:v>
                </c:pt>
                <c:pt idx="10">
                  <c:v>920.15499999999997</c:v>
                </c:pt>
                <c:pt idx="11">
                  <c:v>920.15499999999997</c:v>
                </c:pt>
                <c:pt idx="12">
                  <c:v>920.15499999999997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37-441F-86FD-D67C180E8E30}"/>
            </c:ext>
          </c:extLst>
        </c:ser>
        <c:ser>
          <c:idx val="6"/>
          <c:order val="5"/>
          <c:tx>
            <c:strRef>
              <c:f>'1-2 발전설비추이(에너지원별)'!$A$33</c:f>
              <c:strCache>
                <c:ptCount val="1"/>
                <c:pt idx="0">
                  <c:v>양  수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plus"/>
            <c:size val="9"/>
          </c:marker>
          <c:dLbls>
            <c:dLbl>
              <c:idx val="0"/>
              <c:layout>
                <c:manualLayout>
                  <c:x val="-4.53084940048133E-2"/>
                  <c:y val="-4.120591241884238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2B37-441F-86FD-D67C180E8E30}"/>
                </c:ext>
              </c:extLst>
            </c:dLbl>
            <c:dLbl>
              <c:idx val="1"/>
              <c:layout>
                <c:manualLayout>
                  <c:x val="0.2720828710333475"/>
                  <c:y val="-4.207952135236949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2B37-441F-86FD-D67C180E8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B37-441F-86FD-D67C180E8E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B37-441F-86FD-D67C180E8E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B37-441F-86FD-D67C180E8E30}"/>
                </c:ext>
              </c:extLst>
            </c:dLbl>
            <c:dLbl>
              <c:idx val="12"/>
              <c:layout>
                <c:manualLayout>
                  <c:x val="-1.5763488723523591E-4"/>
                  <c:y val="-4.21309020582954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2B37-441F-86FD-D67C180E8E3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발전설비추이(에너지원별)'!$B$33:$N$33</c:f>
              <c:numCache>
                <c:formatCode>#,##0_ </c:formatCode>
                <c:ptCount val="13"/>
                <c:pt idx="0">
                  <c:v>4700</c:v>
                </c:pt>
                <c:pt idx="1">
                  <c:v>4700</c:v>
                </c:pt>
                <c:pt idx="2">
                  <c:v>4700</c:v>
                </c:pt>
                <c:pt idx="3">
                  <c:v>4700</c:v>
                </c:pt>
                <c:pt idx="4">
                  <c:v>4700</c:v>
                </c:pt>
                <c:pt idx="5">
                  <c:v>4700</c:v>
                </c:pt>
                <c:pt idx="6">
                  <c:v>4700</c:v>
                </c:pt>
                <c:pt idx="7">
                  <c:v>4700</c:v>
                </c:pt>
                <c:pt idx="8">
                  <c:v>4700</c:v>
                </c:pt>
                <c:pt idx="9">
                  <c:v>4700</c:v>
                </c:pt>
                <c:pt idx="10">
                  <c:v>4700</c:v>
                </c:pt>
                <c:pt idx="11">
                  <c:v>4700</c:v>
                </c:pt>
                <c:pt idx="12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B37-441F-86FD-D67C180E8E30}"/>
            </c:ext>
          </c:extLst>
        </c:ser>
        <c:ser>
          <c:idx val="0"/>
          <c:order val="6"/>
          <c:tx>
            <c:strRef>
              <c:f>'1-2 발전설비추이(에너지원별)'!$A$35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2.6452550754684039E-2"/>
                  <c:y val="3.4952149427834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2B37-441F-86FD-D67C180E8E30}"/>
                </c:ext>
              </c:extLst>
            </c:dLbl>
            <c:dLbl>
              <c:idx val="1"/>
              <c:layout>
                <c:manualLayout>
                  <c:x val="0.40164195287554866"/>
                  <c:y val="3.139935322668913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2B37-441F-86FD-D67C180E8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B37-441F-86FD-D67C180E8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B37-441F-86FD-D67C180E8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B37-441F-86FD-D67C180E8E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B37-441F-86FD-D67C180E8E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B37-441F-86FD-D67C180E8E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B37-441F-86FD-D67C180E8E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B37-441F-86FD-D67C180E8E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B37-441F-86FD-D67C180E8E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B37-441F-86FD-D67C180E8E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B37-441F-86FD-D67C180E8E30}"/>
                </c:ext>
              </c:extLst>
            </c:dLbl>
            <c:dLbl>
              <c:idx val="12"/>
              <c:layout>
                <c:manualLayout>
                  <c:x val="-9.4832387785972628E-3"/>
                  <c:y val="1.5560305256849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2B37-441F-86FD-D67C180E8E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발전설비추이(에너지원별)'!$B$35:$N$35</c:f>
              <c:numCache>
                <c:formatCode>#,##0_ </c:formatCode>
                <c:ptCount val="13"/>
                <c:pt idx="0">
                  <c:v>514.78399999999999</c:v>
                </c:pt>
                <c:pt idx="1">
                  <c:v>514.78399999999999</c:v>
                </c:pt>
                <c:pt idx="2">
                  <c:v>514.70299999999997</c:v>
                </c:pt>
                <c:pt idx="3">
                  <c:v>517.60199999999998</c:v>
                </c:pt>
                <c:pt idx="4">
                  <c:v>517.50400000000002</c:v>
                </c:pt>
                <c:pt idx="5">
                  <c:v>457.50400000000002</c:v>
                </c:pt>
                <c:pt idx="6">
                  <c:v>456.67</c:v>
                </c:pt>
                <c:pt idx="7">
                  <c:v>456.59500000000003</c:v>
                </c:pt>
                <c:pt idx="8">
                  <c:v>456.59500000000003</c:v>
                </c:pt>
                <c:pt idx="9">
                  <c:v>455.83499999999998</c:v>
                </c:pt>
                <c:pt idx="10">
                  <c:v>455.83499999999998</c:v>
                </c:pt>
                <c:pt idx="11">
                  <c:v>456.69400000000002</c:v>
                </c:pt>
                <c:pt idx="12">
                  <c:v>456.89299999999997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B37-441F-86FD-D67C180E8E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31072"/>
        <c:axId val="162932608"/>
      </c:lineChart>
      <c:catAx>
        <c:axId val="162931072"/>
        <c:scaling>
          <c:orientation val="minMax"/>
        </c:scaling>
        <c:delete val="1"/>
        <c:axPos val="b"/>
        <c:majorTickMark val="out"/>
        <c:minorTickMark val="none"/>
        <c:tickLblPos val="none"/>
        <c:crossAx val="162932608"/>
        <c:crosses val="autoZero"/>
        <c:auto val="1"/>
        <c:lblAlgn val="ctr"/>
        <c:lblOffset val="100"/>
        <c:noMultiLvlLbl val="0"/>
      </c:catAx>
      <c:valAx>
        <c:axId val="162932608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931072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9953920551E-2"/>
          <c:y val="6.2360035049833194E-2"/>
          <c:w val="0.89754787389578783"/>
          <c:h val="0.8958333333333337"/>
        </c:manualLayout>
      </c:layout>
      <c:barChart>
        <c:barDir val="col"/>
        <c:grouping val="clustered"/>
        <c:varyColors val="0"/>
        <c:ser>
          <c:idx val="6"/>
          <c:order val="4"/>
          <c:tx>
            <c:strRef>
              <c:f>'1-3 발전전력량 추이(발전원별)'!$A$31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944444444444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5E3-473C-9A83-2DDD4F15C9DD}"/>
                </c:ext>
              </c:extLst>
            </c:dLbl>
            <c:dLbl>
              <c:idx val="1"/>
              <c:layout>
                <c:manualLayout>
                  <c:x val="0.34307367311485698"/>
                  <c:y val="-2.684030444456233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5E3-473C-9A83-2DDD4F15C9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E3-473C-9A83-2DDD4F15C9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E3-473C-9A83-2DDD4F15C9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E3-473C-9A83-2DDD4F15C9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E3-473C-9A83-2DDD4F15C9DD}"/>
                </c:ext>
              </c:extLst>
            </c:dLbl>
            <c:dLbl>
              <c:idx val="12"/>
              <c:layout>
                <c:manualLayout>
                  <c:x val="0"/>
                  <c:y val="1.0398622047244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5E3-473C-9A83-2DDD4F15C9DD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추이(발전원별)'!$B$31:$N$31</c:f>
              <c:numCache>
                <c:formatCode>#,##0_ </c:formatCode>
                <c:ptCount val="13"/>
                <c:pt idx="0">
                  <c:v>3223.9960000000001</c:v>
                </c:pt>
                <c:pt idx="1">
                  <c:v>3470.4340000000002</c:v>
                </c:pt>
                <c:pt idx="2">
                  <c:v>3745.027</c:v>
                </c:pt>
                <c:pt idx="3">
                  <c:v>3880.0390000000002</c:v>
                </c:pt>
                <c:pt idx="4">
                  <c:v>4268.2060000000001</c:v>
                </c:pt>
                <c:pt idx="5">
                  <c:v>4893.7380000000003</c:v>
                </c:pt>
                <c:pt idx="6">
                  <c:v>3829.4470000000001</c:v>
                </c:pt>
                <c:pt idx="7">
                  <c:v>4021.6080000000002</c:v>
                </c:pt>
                <c:pt idx="8">
                  <c:v>3961.663</c:v>
                </c:pt>
                <c:pt idx="9">
                  <c:v>3971.828</c:v>
                </c:pt>
                <c:pt idx="10">
                  <c:v>4188.0360000000001</c:v>
                </c:pt>
                <c:pt idx="11">
                  <c:v>3499.1889999999999</c:v>
                </c:pt>
                <c:pt idx="12">
                  <c:v>3530.0920000000001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E3-473C-9A83-2DDD4F1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085696"/>
        <c:axId val="163185792"/>
      </c:barChart>
      <c:lineChart>
        <c:grouping val="standard"/>
        <c:varyColors val="0"/>
        <c:ser>
          <c:idx val="2"/>
          <c:order val="0"/>
          <c:tx>
            <c:strRef>
              <c:f>'1-3 발전전력량 추이(발전원별)'!$A$23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4091197634051331E-2"/>
                  <c:y val="-5.025191444821139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5E3-473C-9A83-2DDD4F15C9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E3-473C-9A83-2DDD4F15C9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E3-473C-9A83-2DDD4F15C9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E3-473C-9A83-2DDD4F15C9DD}"/>
                </c:ext>
              </c:extLst>
            </c:dLbl>
            <c:dLbl>
              <c:idx val="6"/>
              <c:layout>
                <c:manualLayout>
                  <c:x val="-2.7741412149675244E-2"/>
                  <c:y val="-0.1325765511567965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E3-473C-9A83-2DDD4F15C9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3-473C-9A83-2DDD4F15C9DD}"/>
                </c:ext>
              </c:extLst>
            </c:dLbl>
            <c:dLbl>
              <c:idx val="12"/>
              <c:layout>
                <c:manualLayout>
                  <c:x val="-1.004066807755272E-2"/>
                  <c:y val="-4.378800031082583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5E3-473C-9A83-2DDD4F15C9DD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추이(발전원별)'!$B$23:$N$23</c:f>
              <c:numCache>
                <c:formatCode>#,##0_ </c:formatCode>
                <c:ptCount val="13"/>
                <c:pt idx="0">
                  <c:v>18572.383999999998</c:v>
                </c:pt>
                <c:pt idx="1">
                  <c:v>19262.174999999999</c:v>
                </c:pt>
                <c:pt idx="2">
                  <c:v>16498.005000000001</c:v>
                </c:pt>
                <c:pt idx="3">
                  <c:v>14626.895</c:v>
                </c:pt>
                <c:pt idx="4">
                  <c:v>13745.071</c:v>
                </c:pt>
                <c:pt idx="5">
                  <c:v>13930.795</c:v>
                </c:pt>
                <c:pt idx="6">
                  <c:v>15901.218999999999</c:v>
                </c:pt>
                <c:pt idx="7">
                  <c:v>20077.07</c:v>
                </c:pt>
                <c:pt idx="8">
                  <c:v>19272.849999999999</c:v>
                </c:pt>
                <c:pt idx="9">
                  <c:v>15913.486000000001</c:v>
                </c:pt>
                <c:pt idx="10">
                  <c:v>14927.897000000001</c:v>
                </c:pt>
                <c:pt idx="11">
                  <c:v>15457.291999999999</c:v>
                </c:pt>
                <c:pt idx="12">
                  <c:v>19418.169000000002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E3-473C-9A83-2DDD4F15C9DD}"/>
            </c:ext>
          </c:extLst>
        </c:ser>
        <c:ser>
          <c:idx val="3"/>
          <c:order val="1"/>
          <c:tx>
            <c:strRef>
              <c:f>'1-3 발전전력량 추이(발전원별)'!$A$25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5030124968486282E-2"/>
                  <c:y val="-2.60571990913562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05E3-473C-9A83-2DDD4F15C9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3-473C-9A83-2DDD4F15C9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3-473C-9A83-2DDD4F15C9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3-473C-9A83-2DDD4F15C9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3-473C-9A83-2DDD4F15C9DD}"/>
                </c:ext>
              </c:extLst>
            </c:dLbl>
            <c:dLbl>
              <c:idx val="8"/>
              <c:layout>
                <c:manualLayout>
                  <c:x val="-0.24852265304849036"/>
                  <c:y val="1.5839211886287171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40974092275139E-2"/>
                      <c:h val="4.1253341995452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5E3-473C-9A83-2DDD4F15C9DD}"/>
                </c:ext>
              </c:extLst>
            </c:dLbl>
            <c:dLbl>
              <c:idx val="12"/>
              <c:layout>
                <c:manualLayout>
                  <c:x val="-1.0032516380095115E-2"/>
                  <c:y val="3.958361420693696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05E3-473C-9A83-2DDD4F15C9D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추이(발전원별)'!$B$25:$N$25</c:f>
              <c:numCache>
                <c:formatCode>#,##0_ </c:formatCode>
                <c:ptCount val="13"/>
                <c:pt idx="0">
                  <c:v>16531.642</c:v>
                </c:pt>
                <c:pt idx="1">
                  <c:v>16103.26</c:v>
                </c:pt>
                <c:pt idx="2">
                  <c:v>13989.89</c:v>
                </c:pt>
                <c:pt idx="3">
                  <c:v>13866.525</c:v>
                </c:pt>
                <c:pt idx="4">
                  <c:v>13385.162</c:v>
                </c:pt>
                <c:pt idx="5">
                  <c:v>14609.832</c:v>
                </c:pt>
                <c:pt idx="6">
                  <c:v>14725.941000000001</c:v>
                </c:pt>
                <c:pt idx="7">
                  <c:v>15354.808999999999</c:v>
                </c:pt>
                <c:pt idx="8">
                  <c:v>16308.977999999999</c:v>
                </c:pt>
                <c:pt idx="9">
                  <c:v>14093.576999999999</c:v>
                </c:pt>
                <c:pt idx="10">
                  <c:v>14381.733</c:v>
                </c:pt>
                <c:pt idx="11">
                  <c:v>14005.635</c:v>
                </c:pt>
                <c:pt idx="12">
                  <c:v>15228.671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5E3-473C-9A83-2DDD4F15C9DD}"/>
            </c:ext>
          </c:extLst>
        </c:ser>
        <c:ser>
          <c:idx val="4"/>
          <c:order val="2"/>
          <c:tx>
            <c:strRef>
              <c:f>'1-3 발전전력량 추이(발전원별)'!$A$27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4.1649245501115241E-2"/>
                  <c:y val="3.9385366638558648E-2"/>
                </c:manualLayout>
              </c:layout>
              <c:tx>
                <c:rich>
                  <a:bodyPr/>
                  <a:lstStyle/>
                  <a:p>
                    <a:fld id="{01C5D15E-0723-40EA-9E73-49FA15F8AD7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5E3-473C-9A83-2DDD4F15C9DD}"/>
                </c:ext>
              </c:extLst>
            </c:dLbl>
            <c:dLbl>
              <c:idx val="1"/>
              <c:layout>
                <c:manualLayout>
                  <c:x val="0.709637277623546"/>
                  <c:y val="8.9423931556811734E-2"/>
                </c:manualLayout>
              </c:layout>
              <c:tx>
                <c:rich>
                  <a:bodyPr/>
                  <a:lstStyle/>
                  <a:p>
                    <a:fld id="{76FD73C2-A9B1-4950-A96D-BDB1515F345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05E3-473C-9A83-2DDD4F15C9DD}"/>
                </c:ext>
              </c:extLst>
            </c:dLbl>
            <c:dLbl>
              <c:idx val="2"/>
              <c:layout>
                <c:manualLayout>
                  <c:x val="0.20220300364855151"/>
                  <c:y val="0.103301261343289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5E3-473C-9A83-2DDD4F15C9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5E3-473C-9A83-2DDD4F15C9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5E3-473C-9A83-2DDD4F15C9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5E3-473C-9A83-2DDD4F15C9D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5E3-473C-9A83-2DDD4F15C9DD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'1-3 발전전력량 추이(발전원별)'!$B$27:$N$27</c:f>
              <c:numCache>
                <c:formatCode>#,##0_ </c:formatCode>
                <c:ptCount val="13"/>
                <c:pt idx="0">
                  <c:v>14283.546</c:v>
                </c:pt>
                <c:pt idx="1">
                  <c:v>15190.291999999999</c:v>
                </c:pt>
                <c:pt idx="2">
                  <c:v>13509.834999999999</c:v>
                </c:pt>
                <c:pt idx="3">
                  <c:v>16488.571</c:v>
                </c:pt>
                <c:pt idx="4">
                  <c:v>12755.871999999999</c:v>
                </c:pt>
                <c:pt idx="5">
                  <c:v>12030.826999999999</c:v>
                </c:pt>
                <c:pt idx="6">
                  <c:v>12402.208000000001</c:v>
                </c:pt>
                <c:pt idx="7">
                  <c:v>14682.428</c:v>
                </c:pt>
                <c:pt idx="8">
                  <c:v>13178.619000000001</c:v>
                </c:pt>
                <c:pt idx="9">
                  <c:v>11346.508</c:v>
                </c:pt>
                <c:pt idx="10">
                  <c:v>11409.516</c:v>
                </c:pt>
                <c:pt idx="11">
                  <c:v>12550.098</c:v>
                </c:pt>
                <c:pt idx="12">
                  <c:v>16658.181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('1-3 발전전력량 추이(발전원별)'!$B$27,'1-3 발전전력량 추이(발전원별)'!$N$27)</c15:f>
                <c15:dlblRangeCache>
                  <c:ptCount val="2"/>
                  <c:pt idx="0">
                    <c:v>14,284 </c:v>
                  </c:pt>
                  <c:pt idx="1">
                    <c:v>16,658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05E3-473C-9A83-2DDD4F15C9DD}"/>
            </c:ext>
          </c:extLst>
        </c:ser>
        <c:ser>
          <c:idx val="5"/>
          <c:order val="3"/>
          <c:tx>
            <c:strRef>
              <c:f>'1-3 발전전력량 추이(발전원별)'!$A$29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2.2904939453819936E-2"/>
                  <c:y val="-2.423865494659512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baseline="0"/>
                      <a:t> </a:t>
                    </a:r>
                    <a:fld id="{8C2C381F-A5E7-438E-B064-F820ACA7E68D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en-US" altLang="ko-KR" baseline="0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8-05E3-473C-9A83-2DDD4F15C9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5E3-473C-9A83-2DDD4F15C9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5E3-473C-9A83-2DDD4F15C9DD}"/>
                </c:ext>
              </c:extLst>
            </c:dLbl>
            <c:dLbl>
              <c:idx val="4"/>
              <c:layout>
                <c:manualLayout>
                  <c:x val="6.2385533493768554E-2"/>
                  <c:y val="-4.147767477019619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5E3-473C-9A83-2DDD4F15C9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5E3-473C-9A83-2DDD4F15C9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5E3-473C-9A83-2DDD4F15C9DD}"/>
                </c:ext>
              </c:extLst>
            </c:dLbl>
            <c:dLbl>
              <c:idx val="12"/>
              <c:layout>
                <c:manualLayout>
                  <c:x val="-1.9362652864706575E-2"/>
                  <c:y val="-3.40016546258269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fld id="{E4EA2770-331F-42A6-8381-8463C14CD3D4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ko-KR" altLang="en-US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4-05E3-473C-9A83-2DDD4F15C9DD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추이(발전원별)'!$B$29:$N$29</c:f>
              <c:numCache>
                <c:formatCode>#,##0_ </c:formatCode>
                <c:ptCount val="13"/>
                <c:pt idx="0">
                  <c:v>518.43899999999996</c:v>
                </c:pt>
                <c:pt idx="1">
                  <c:v>520.34400000000005</c:v>
                </c:pt>
                <c:pt idx="2">
                  <c:v>491.27499999999998</c:v>
                </c:pt>
                <c:pt idx="3">
                  <c:v>553.58600000000001</c:v>
                </c:pt>
                <c:pt idx="4">
                  <c:v>472.94400000000002</c:v>
                </c:pt>
                <c:pt idx="5">
                  <c:v>538.49699999999996</c:v>
                </c:pt>
                <c:pt idx="6">
                  <c:v>555.76199999999994</c:v>
                </c:pt>
                <c:pt idx="7">
                  <c:v>685.74</c:v>
                </c:pt>
                <c:pt idx="8">
                  <c:v>1024.0519999999999</c:v>
                </c:pt>
                <c:pt idx="9">
                  <c:v>803.476</c:v>
                </c:pt>
                <c:pt idx="10">
                  <c:v>576.22</c:v>
                </c:pt>
                <c:pt idx="11">
                  <c:v>524.17399999999998</c:v>
                </c:pt>
                <c:pt idx="12">
                  <c:v>510.26400000000001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5E3-473C-9A83-2DDD4F15C9DD}"/>
            </c:ext>
          </c:extLst>
        </c:ser>
        <c:ser>
          <c:idx val="0"/>
          <c:order val="5"/>
          <c:tx>
            <c:strRef>
              <c:f>'1-3 발전전력량 추이(발전원별)'!$A$33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3.7786607112278714E-2"/>
                  <c:y val="3.6609717534202869E-2"/>
                </c:manualLayout>
              </c:layout>
              <c:tx>
                <c:rich>
                  <a:bodyPr/>
                  <a:lstStyle/>
                  <a:p>
                    <a:fld id="{8F99CB79-C715-4B8B-AADC-93C191A5D87D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6-05E3-473C-9A83-2DDD4F15C9DD}"/>
                </c:ext>
              </c:extLst>
            </c:dLbl>
            <c:dLbl>
              <c:idx val="1"/>
              <c:layout>
                <c:manualLayout>
                  <c:x val="0.40706568385849773"/>
                  <c:y val="-1.718465937251074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0"/>
                    </a:pPr>
                    <a:r>
                      <a:rPr lang="ko-KR" altLang="en-US" b="0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05E3-473C-9A83-2DDD4F15C9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5E3-473C-9A83-2DDD4F15C9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5E3-473C-9A83-2DDD4F15C9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05E3-473C-9A83-2DDD4F15C9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05E3-473C-9A83-2DDD4F15C9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5E3-473C-9A83-2DDD4F15C9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5E3-473C-9A83-2DDD4F15C9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05E3-473C-9A83-2DDD4F15C9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05E3-473C-9A83-2DDD4F15C9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05E3-473C-9A83-2DDD4F15C9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5E3-473C-9A83-2DDD4F15C9DD}"/>
                </c:ext>
              </c:extLst>
            </c:dLbl>
            <c:dLbl>
              <c:idx val="12"/>
              <c:layout>
                <c:manualLayout>
                  <c:x val="-2.0823881687152376E-2"/>
                  <c:y val="3.4889649966734368E-2"/>
                </c:manualLayout>
              </c:layout>
              <c:tx>
                <c:rich>
                  <a:bodyPr/>
                  <a:lstStyle/>
                  <a:p>
                    <a:fld id="{52519D43-F124-4808-892B-112EAD66ED88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2-05E3-473C-9A83-2DDD4F15C9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추이(발전원별)'!$B$33:$N$33</c:f>
              <c:numCache>
                <c:formatCode>#,##0_ </c:formatCode>
                <c:ptCount val="13"/>
                <c:pt idx="0">
                  <c:v>243.602</c:v>
                </c:pt>
                <c:pt idx="1">
                  <c:v>245.79599999999999</c:v>
                </c:pt>
                <c:pt idx="2">
                  <c:v>253.47</c:v>
                </c:pt>
                <c:pt idx="3">
                  <c:v>243.53700000000001</c:v>
                </c:pt>
                <c:pt idx="4">
                  <c:v>231.61500000000001</c:v>
                </c:pt>
                <c:pt idx="5">
                  <c:v>177.143</c:v>
                </c:pt>
                <c:pt idx="6">
                  <c:v>172.285</c:v>
                </c:pt>
                <c:pt idx="7">
                  <c:v>205.75200000000001</c:v>
                </c:pt>
                <c:pt idx="8">
                  <c:v>217.8</c:v>
                </c:pt>
                <c:pt idx="9">
                  <c:v>179.434</c:v>
                </c:pt>
                <c:pt idx="10">
                  <c:v>257.63200000000001</c:v>
                </c:pt>
                <c:pt idx="11">
                  <c:v>181.41800000000001</c:v>
                </c:pt>
                <c:pt idx="12">
                  <c:v>222.58600000000001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5E3-473C-9A83-2DDD4F1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5696"/>
        <c:axId val="163185792"/>
      </c:lineChart>
      <c:catAx>
        <c:axId val="163085696"/>
        <c:scaling>
          <c:orientation val="minMax"/>
        </c:scaling>
        <c:delete val="1"/>
        <c:axPos val="b"/>
        <c:majorTickMark val="out"/>
        <c:minorTickMark val="none"/>
        <c:tickLblPos val="none"/>
        <c:crossAx val="163185792"/>
        <c:crosses val="autoZero"/>
        <c:auto val="1"/>
        <c:lblAlgn val="ctr"/>
        <c:lblOffset val="100"/>
        <c:noMultiLvlLbl val="0"/>
      </c:catAx>
      <c:valAx>
        <c:axId val="16318579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308569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700987453649E-2"/>
          <c:y val="2.9878876191510056E-2"/>
          <c:w val="0.90147960604602884"/>
          <c:h val="0.9253899966099056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'1-4 발전전력량 추이(에너지원별)'!$A$29</c:f>
              <c:strCache>
                <c:ptCount val="1"/>
                <c:pt idx="0">
                  <c:v>신재생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532569799221521E-4"/>
                  <c:y val="5.222672684583897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012-4C4A-AC14-29E5E74A1A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12-4C4A-AC14-29E5E74A1A1F}"/>
                </c:ext>
              </c:extLst>
            </c:dLbl>
            <c:dLbl>
              <c:idx val="2"/>
              <c:layout>
                <c:manualLayout>
                  <c:x val="0.27906073889285571"/>
                  <c:y val="-3.164528246216881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2-4C4A-AC14-29E5E74A1A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12-4C4A-AC14-29E5E74A1A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12-4C4A-AC14-29E5E74A1A1F}"/>
                </c:ext>
              </c:extLst>
            </c:dLbl>
            <c:dLbl>
              <c:idx val="12"/>
              <c:layout>
                <c:manualLayout>
                  <c:x val="-7.7411040140856237E-5"/>
                  <c:y val="7.202346372317171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50441552595121E-2"/>
                      <c:h val="4.59561306764682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A012-4C4A-AC14-29E5E74A1A1F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추이(에너지원별)'!$B$29:$N$29</c:f>
              <c:numCache>
                <c:formatCode>#,##0_ </c:formatCode>
                <c:ptCount val="13"/>
                <c:pt idx="0">
                  <c:v>3506.248</c:v>
                </c:pt>
                <c:pt idx="1">
                  <c:v>4017.1579999999999</c:v>
                </c:pt>
                <c:pt idx="2">
                  <c:v>4183.29</c:v>
                </c:pt>
                <c:pt idx="3">
                  <c:v>4371.6149999999998</c:v>
                </c:pt>
                <c:pt idx="4">
                  <c:v>4760.9709999999995</c:v>
                </c:pt>
                <c:pt idx="5">
                  <c:v>5279.8890000000001</c:v>
                </c:pt>
                <c:pt idx="6">
                  <c:v>4202.7759999999998</c:v>
                </c:pt>
                <c:pt idx="7">
                  <c:v>4591.0590000000002</c:v>
                </c:pt>
                <c:pt idx="8">
                  <c:v>4838.0039999999999</c:v>
                </c:pt>
                <c:pt idx="9">
                  <c:v>4619.8639999999996</c:v>
                </c:pt>
                <c:pt idx="10">
                  <c:v>4613.6059999999998</c:v>
                </c:pt>
                <c:pt idx="11">
                  <c:v>3848.6060000000002</c:v>
                </c:pt>
                <c:pt idx="12">
                  <c:v>3847.723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12-4C4A-AC14-29E5E74A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7408"/>
        <c:axId val="170898944"/>
      </c:barChart>
      <c:lineChart>
        <c:grouping val="standard"/>
        <c:varyColors val="0"/>
        <c:ser>
          <c:idx val="1"/>
          <c:order val="0"/>
          <c:tx>
            <c:strRef>
              <c:f>'1-4 발전전력량 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1775490293418045E-2"/>
                  <c:y val="-3.547620737598477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012-4C4A-AC14-29E5E74A1A1F}"/>
                </c:ext>
              </c:extLst>
            </c:dLbl>
            <c:dLbl>
              <c:idx val="10"/>
              <c:layout>
                <c:manualLayout>
                  <c:x val="-0.39584382429757853"/>
                  <c:y val="0.140210515767806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012-4C4A-AC14-29E5E74A1A1F}"/>
                </c:ext>
              </c:extLst>
            </c:dLbl>
            <c:dLbl>
              <c:idx val="12"/>
              <c:layout>
                <c:manualLayout>
                  <c:x val="-5.9707087323863277E-3"/>
                  <c:y val="3.387736753692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012-4C4A-AC14-29E5E74A1A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추이(에너지원별)'!$B$23:$N$23</c:f>
              <c:numCache>
                <c:formatCode>#,##0_ </c:formatCode>
                <c:ptCount val="13"/>
                <c:pt idx="0">
                  <c:v>16531.642</c:v>
                </c:pt>
                <c:pt idx="1">
                  <c:v>16103.26</c:v>
                </c:pt>
                <c:pt idx="2">
                  <c:v>13989.89</c:v>
                </c:pt>
                <c:pt idx="3">
                  <c:v>13866.525</c:v>
                </c:pt>
                <c:pt idx="4">
                  <c:v>13385.162</c:v>
                </c:pt>
                <c:pt idx="5">
                  <c:v>14609.832</c:v>
                </c:pt>
                <c:pt idx="6">
                  <c:v>14725.941000000001</c:v>
                </c:pt>
                <c:pt idx="7">
                  <c:v>15354.808999999999</c:v>
                </c:pt>
                <c:pt idx="8">
                  <c:v>16308.977999999999</c:v>
                </c:pt>
                <c:pt idx="9">
                  <c:v>14093.576999999999</c:v>
                </c:pt>
                <c:pt idx="10">
                  <c:v>14381.733</c:v>
                </c:pt>
                <c:pt idx="11">
                  <c:v>14005.635</c:v>
                </c:pt>
                <c:pt idx="12">
                  <c:v>15228.671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12-4C4A-AC14-29E5E74A1A1F}"/>
            </c:ext>
          </c:extLst>
        </c:ser>
        <c:ser>
          <c:idx val="2"/>
          <c:order val="1"/>
          <c:tx>
            <c:strRef>
              <c:f>'1-4 발전전력량 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4.3624624926352704E-2"/>
                  <c:y val="4.370700369230690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012-4C4A-AC14-29E5E74A1A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12-4C4A-AC14-29E5E74A1A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012-4C4A-AC14-29E5E74A1A1F}"/>
                </c:ext>
              </c:extLst>
            </c:dLbl>
            <c:dLbl>
              <c:idx val="6"/>
              <c:layout>
                <c:manualLayout>
                  <c:x val="-0.10298956066071226"/>
                  <c:y val="-0.18738923427429399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6081772743568E-2"/>
                      <c:h val="6.35332857355595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012-4C4A-AC14-29E5E74A1A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012-4C4A-AC14-29E5E74A1A1F}"/>
                </c:ext>
              </c:extLst>
            </c:dLbl>
            <c:dLbl>
              <c:idx val="12"/>
              <c:layout>
                <c:manualLayout>
                  <c:x val="-6.5097981394801321E-3"/>
                  <c:y val="5.220529393017038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A012-4C4A-AC14-29E5E74A1A1F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추이(에너지원별)'!$B$27:$N$27</c:f>
              <c:numCache>
                <c:formatCode>#,##0_ </c:formatCode>
                <c:ptCount val="13"/>
                <c:pt idx="0">
                  <c:v>14396.418</c:v>
                </c:pt>
                <c:pt idx="1">
                  <c:v>15252.03</c:v>
                </c:pt>
                <c:pt idx="2">
                  <c:v>13618.877</c:v>
                </c:pt>
                <c:pt idx="3">
                  <c:v>16658.325000000001</c:v>
                </c:pt>
                <c:pt idx="4">
                  <c:v>12795.393</c:v>
                </c:pt>
                <c:pt idx="5">
                  <c:v>12150.319</c:v>
                </c:pt>
                <c:pt idx="6">
                  <c:v>12510.147999999999</c:v>
                </c:pt>
                <c:pt idx="7">
                  <c:v>14812.130999999999</c:v>
                </c:pt>
                <c:pt idx="8">
                  <c:v>13227.235000000001</c:v>
                </c:pt>
                <c:pt idx="9">
                  <c:v>11410.437</c:v>
                </c:pt>
                <c:pt idx="10">
                  <c:v>11543.441999999999</c:v>
                </c:pt>
                <c:pt idx="11">
                  <c:v>12721.563</c:v>
                </c:pt>
                <c:pt idx="12">
                  <c:v>16873.896000000001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12-4C4A-AC14-29E5E74A1A1F}"/>
            </c:ext>
          </c:extLst>
        </c:ser>
        <c:ser>
          <c:idx val="3"/>
          <c:order val="2"/>
          <c:tx>
            <c:strRef>
              <c:f>'1-4 발전전력량 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4.4988029153336828E-2"/>
                  <c:y val="-5.340414545991001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A012-4C4A-AC14-29E5E74A1A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012-4C4A-AC14-29E5E74A1A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012-4C4A-AC14-29E5E74A1A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012-4C4A-AC14-29E5E74A1A1F}"/>
                </c:ext>
              </c:extLst>
            </c:dLbl>
            <c:dLbl>
              <c:idx val="8"/>
              <c:layout>
                <c:manualLayout>
                  <c:x val="-4.8534544825425401E-2"/>
                  <c:y val="-6.33938326089286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012-4C4A-AC14-29E5E74A1A1F}"/>
                </c:ext>
              </c:extLst>
            </c:dLbl>
            <c:dLbl>
              <c:idx val="12"/>
              <c:layout>
                <c:manualLayout>
                  <c:x val="-2.1628974502423599E-3"/>
                  <c:y val="-7.070885889208526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A012-4C4A-AC14-29E5E74A1A1F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추이(에너지원별)'!$B$25:$N$25</c:f>
              <c:numCache>
                <c:formatCode>#,##0_ </c:formatCode>
                <c:ptCount val="13"/>
                <c:pt idx="0">
                  <c:v>18201.25</c:v>
                </c:pt>
                <c:pt idx="1">
                  <c:v>18363.066999999999</c:v>
                </c:pt>
                <c:pt idx="2">
                  <c:v>15915.427</c:v>
                </c:pt>
                <c:pt idx="3">
                  <c:v>14007</c:v>
                </c:pt>
                <c:pt idx="4">
                  <c:v>13289.175999999999</c:v>
                </c:pt>
                <c:pt idx="5">
                  <c:v>13550.710999999999</c:v>
                </c:pt>
                <c:pt idx="6">
                  <c:v>15549.347</c:v>
                </c:pt>
                <c:pt idx="7">
                  <c:v>19672.031999999999</c:v>
                </c:pt>
                <c:pt idx="8">
                  <c:v>18929.547999999999</c:v>
                </c:pt>
                <c:pt idx="9">
                  <c:v>15561.079</c:v>
                </c:pt>
                <c:pt idx="10">
                  <c:v>14493.825000000001</c:v>
                </c:pt>
                <c:pt idx="11">
                  <c:v>14992.241</c:v>
                </c:pt>
                <c:pt idx="12">
                  <c:v>18907.697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12-4C4A-AC14-29E5E74A1A1F}"/>
            </c:ext>
          </c:extLst>
        </c:ser>
        <c:ser>
          <c:idx val="5"/>
          <c:order val="4"/>
          <c:tx>
            <c:strRef>
              <c:f>'1-4 발전전력량 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layout>
                <c:manualLayout>
                  <c:x val="-3.7138756589613865E-3"/>
                  <c:y val="-2.830898470608374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A012-4C4A-AC14-29E5E74A1A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012-4C4A-AC14-29E5E74A1A1F}"/>
                </c:ext>
              </c:extLst>
            </c:dLbl>
            <c:dLbl>
              <c:idx val="2"/>
              <c:layout>
                <c:manualLayout>
                  <c:x val="0.20150142419484382"/>
                  <c:y val="-3.124000551132117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012-4C4A-AC14-29E5E74A1A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012-4C4A-AC14-29E5E74A1A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012-4C4A-AC14-29E5E74A1A1F}"/>
                </c:ext>
              </c:extLst>
            </c:dLbl>
            <c:dLbl>
              <c:idx val="12"/>
              <c:layout>
                <c:manualLayout>
                  <c:x val="-2.8210413417811977E-4"/>
                  <c:y val="1.999217837752815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A012-4C4A-AC14-29E5E74A1A1F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추이(에너지원별)'!$B$31:$N$31</c:f>
              <c:numCache>
                <c:formatCode>#,##0_ </c:formatCode>
                <c:ptCount val="13"/>
                <c:pt idx="0">
                  <c:v>154.38300000000001</c:v>
                </c:pt>
                <c:pt idx="1">
                  <c:v>477.71499999999997</c:v>
                </c:pt>
                <c:pt idx="2">
                  <c:v>198.875</c:v>
                </c:pt>
                <c:pt idx="3">
                  <c:v>170.05199999999999</c:v>
                </c:pt>
                <c:pt idx="4">
                  <c:v>126.256</c:v>
                </c:pt>
                <c:pt idx="5">
                  <c:v>101.74299999999999</c:v>
                </c:pt>
                <c:pt idx="6">
                  <c:v>121.848</c:v>
                </c:pt>
                <c:pt idx="7">
                  <c:v>118.289</c:v>
                </c:pt>
                <c:pt idx="8">
                  <c:v>110.633</c:v>
                </c:pt>
                <c:pt idx="9">
                  <c:v>110.99299999999999</c:v>
                </c:pt>
                <c:pt idx="10">
                  <c:v>125.97499999999999</c:v>
                </c:pt>
                <c:pt idx="11">
                  <c:v>134.95500000000001</c:v>
                </c:pt>
                <c:pt idx="12">
                  <c:v>168.28800000000001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012-4C4A-AC14-29E5E74A1A1F}"/>
            </c:ext>
          </c:extLst>
        </c:ser>
        <c:ser>
          <c:idx val="6"/>
          <c:order val="5"/>
          <c:tx>
            <c:strRef>
              <c:f>'1-4 발전전력량 추이(에너지원별)'!$A$33</c:f>
              <c:strCache>
                <c:ptCount val="1"/>
                <c:pt idx="0">
                  <c:v>양  수</c:v>
                </c:pt>
              </c:strCache>
            </c:strRef>
          </c:tx>
          <c:marker>
            <c:symbol val="plus"/>
            <c:size val="9"/>
          </c:marker>
          <c:dLbls>
            <c:dLbl>
              <c:idx val="0"/>
              <c:layout>
                <c:manualLayout>
                  <c:x val="-5.8321239617289626E-2"/>
                  <c:y val="-5.105181337775792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A012-4C4A-AC14-29E5E74A1A1F}"/>
                </c:ext>
              </c:extLst>
            </c:dLbl>
            <c:dLbl>
              <c:idx val="1"/>
              <c:layout>
                <c:manualLayout>
                  <c:x val="0.41542228762060945"/>
                  <c:y val="-4.656217037746924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A012-4C4A-AC14-29E5E74A1A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012-4C4A-AC14-29E5E74A1A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012-4C4A-AC14-29E5E74A1A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012-4C4A-AC14-29E5E74A1A1F}"/>
                </c:ext>
              </c:extLst>
            </c:dLbl>
            <c:dLbl>
              <c:idx val="12"/>
              <c:layout>
                <c:manualLayout>
                  <c:x val="-4.7131307137977758E-4"/>
                  <c:y val="-4.954761238711186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A012-4C4A-AC14-29E5E74A1A1F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추이(에너지원별)'!$B$33:$N$33</c:f>
              <c:numCache>
                <c:formatCode>#,##0_ </c:formatCode>
                <c:ptCount val="13"/>
                <c:pt idx="0">
                  <c:v>338.12</c:v>
                </c:pt>
                <c:pt idx="1">
                  <c:v>330.40699999999998</c:v>
                </c:pt>
                <c:pt idx="2">
                  <c:v>323.69600000000003</c:v>
                </c:pt>
                <c:pt idx="3">
                  <c:v>343.74599999999998</c:v>
                </c:pt>
                <c:pt idx="4">
                  <c:v>266.48700000000002</c:v>
                </c:pt>
                <c:pt idx="5">
                  <c:v>293.67599999999999</c:v>
                </c:pt>
                <c:pt idx="6">
                  <c:v>276.411</c:v>
                </c:pt>
                <c:pt idx="7">
                  <c:v>286.80500000000001</c:v>
                </c:pt>
                <c:pt idx="8">
                  <c:v>328.96</c:v>
                </c:pt>
                <c:pt idx="9">
                  <c:v>316.06799999999998</c:v>
                </c:pt>
                <c:pt idx="10">
                  <c:v>323.89100000000002</c:v>
                </c:pt>
                <c:pt idx="11">
                  <c:v>312.24799999999999</c:v>
                </c:pt>
                <c:pt idx="12">
                  <c:v>312.92599999999999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012-4C4A-AC14-29E5E74A1A1F}"/>
            </c:ext>
          </c:extLst>
        </c:ser>
        <c:ser>
          <c:idx val="0"/>
          <c:order val="6"/>
          <c:tx>
            <c:strRef>
              <c:f>'1-4 발전전력량 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5.1283202229722553E-2"/>
                  <c:y val="2.279320994097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A012-4C4A-AC14-29E5E74A1A1F}"/>
                </c:ext>
              </c:extLst>
            </c:dLbl>
            <c:dLbl>
              <c:idx val="1"/>
              <c:layout>
                <c:manualLayout>
                  <c:x val="0.34236804564907269"/>
                  <c:y val="-4.0505568559546422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A012-4C4A-AC14-29E5E74A1A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12-4C4A-AC14-29E5E74A1A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012-4C4A-AC14-29E5E74A1A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012-4C4A-AC14-29E5E74A1A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012-4C4A-AC14-29E5E74A1A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012-4C4A-AC14-29E5E74A1A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012-4C4A-AC14-29E5E74A1A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012-4C4A-AC14-29E5E74A1A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012-4C4A-AC14-29E5E74A1A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012-4C4A-AC14-29E5E74A1A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012-4C4A-AC14-29E5E74A1A1F}"/>
                </c:ext>
              </c:extLst>
            </c:dLbl>
            <c:dLbl>
              <c:idx val="12"/>
              <c:layout>
                <c:manualLayout>
                  <c:x val="-4.7302382932729745E-2"/>
                  <c:y val="-2.4866914119420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A012-4C4A-AC14-29E5E74A1A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추이(에너지원별)'!$B$35:$N$35</c:f>
              <c:numCache>
                <c:formatCode>#,##0_ </c:formatCode>
                <c:ptCount val="13"/>
                <c:pt idx="0">
                  <c:v>245.54900000000001</c:v>
                </c:pt>
                <c:pt idx="1">
                  <c:v>248.66399999999999</c:v>
                </c:pt>
                <c:pt idx="2">
                  <c:v>257.44600000000003</c:v>
                </c:pt>
                <c:pt idx="3">
                  <c:v>241.89</c:v>
                </c:pt>
                <c:pt idx="4">
                  <c:v>235.42500000000001</c:v>
                </c:pt>
                <c:pt idx="5">
                  <c:v>194.661</c:v>
                </c:pt>
                <c:pt idx="6">
                  <c:v>200.38900000000001</c:v>
                </c:pt>
                <c:pt idx="7">
                  <c:v>192.28200000000001</c:v>
                </c:pt>
                <c:pt idx="8">
                  <c:v>220.60400000000001</c:v>
                </c:pt>
                <c:pt idx="9">
                  <c:v>196.292</c:v>
                </c:pt>
                <c:pt idx="10">
                  <c:v>258.56200000000001</c:v>
                </c:pt>
                <c:pt idx="11">
                  <c:v>202.56</c:v>
                </c:pt>
                <c:pt idx="12">
                  <c:v>228.76300000000001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012-4C4A-AC14-29E5E74A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7408"/>
        <c:axId val="170898944"/>
      </c:lineChart>
      <c:catAx>
        <c:axId val="170897408"/>
        <c:scaling>
          <c:orientation val="minMax"/>
        </c:scaling>
        <c:delete val="1"/>
        <c:axPos val="b"/>
        <c:majorTickMark val="out"/>
        <c:minorTickMark val="none"/>
        <c:tickLblPos val="none"/>
        <c:crossAx val="170898944"/>
        <c:crosses val="autoZero"/>
        <c:auto val="1"/>
        <c:lblAlgn val="ctr"/>
        <c:lblOffset val="100"/>
        <c:noMultiLvlLbl val="0"/>
      </c:catAx>
      <c:valAx>
        <c:axId val="170898944"/>
        <c:scaling>
          <c:orientation val="minMax"/>
          <c:max val="25000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089740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'1-5 판매전력량 추이(계약종별)'!$A$27</c:f>
              <c:strCache>
                <c:ptCount val="1"/>
                <c:pt idx="0">
                  <c:v>주택용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759533746730438E-3"/>
                  <c:y val="5.808714685076936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2C1-44F6-B762-50B12FA5DB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1-44F6-B762-50B12FA5DB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1-44F6-B762-50B12FA5DB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1-44F6-B762-50B12FA5DB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1-44F6-B762-50B12FA5DB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C1-44F6-B762-50B12FA5DB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1-44F6-B762-50B12FA5DB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C1-44F6-B762-50B12FA5DB84}"/>
                </c:ext>
              </c:extLst>
            </c:dLbl>
            <c:dLbl>
              <c:idx val="8"/>
              <c:layout>
                <c:manualLayout>
                  <c:x val="-0.14120668913558782"/>
                  <c:y val="8.71732677498627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주택용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2C1-44F6-B762-50B12FA5DB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C1-44F6-B762-50B12FA5DB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C1-44F6-B762-50B12FA5DB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C1-44F6-B762-50B12FA5DB84}"/>
                </c:ext>
              </c:extLst>
            </c:dLbl>
            <c:dLbl>
              <c:idx val="12"/>
              <c:layout>
                <c:manualLayout>
                  <c:x val="1.8852754936749749E-3"/>
                  <c:y val="9.1991344604405827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C1-44F6-B762-50B12FA5DB8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추이(계약종별)'!$B$27:$N$27</c:f>
              <c:numCache>
                <c:formatCode>#,##0_ </c:formatCode>
                <c:ptCount val="13"/>
                <c:pt idx="0">
                  <c:v>6419.3090000000002</c:v>
                </c:pt>
                <c:pt idx="1">
                  <c:v>7092.8149999999996</c:v>
                </c:pt>
                <c:pt idx="2">
                  <c:v>7060.5290000000005</c:v>
                </c:pt>
                <c:pt idx="3">
                  <c:v>6223.1570000000002</c:v>
                </c:pt>
                <c:pt idx="4">
                  <c:v>6285.8860000000004</c:v>
                </c:pt>
                <c:pt idx="5">
                  <c:v>5779.665</c:v>
                </c:pt>
                <c:pt idx="6">
                  <c:v>5993.4979999999996</c:v>
                </c:pt>
                <c:pt idx="7">
                  <c:v>7548.9120000000003</c:v>
                </c:pt>
                <c:pt idx="8">
                  <c:v>8961.5969999999998</c:v>
                </c:pt>
                <c:pt idx="9">
                  <c:v>7393.6289999999999</c:v>
                </c:pt>
                <c:pt idx="10">
                  <c:v>6045.0309999999999</c:v>
                </c:pt>
                <c:pt idx="11">
                  <c:v>6107.6450000000004</c:v>
                </c:pt>
                <c:pt idx="12">
                  <c:v>6503.7690000000002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C1-44F6-B762-50B12FA5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008000"/>
        <c:axId val="171009536"/>
      </c:barChart>
      <c:lineChart>
        <c:grouping val="standard"/>
        <c:varyColors val="0"/>
        <c:ser>
          <c:idx val="1"/>
          <c:order val="0"/>
          <c:tx>
            <c:strRef>
              <c:f>'1-5 판매전력량 추이(계약종별)'!$A$23</c:f>
              <c:strCache>
                <c:ptCount val="1"/>
                <c:pt idx="0">
                  <c:v>산업용</c:v>
                </c:pt>
              </c:strCache>
            </c:strRef>
          </c:tx>
          <c:dLbls>
            <c:dLbl>
              <c:idx val="0"/>
              <c:layout>
                <c:manualLayout>
                  <c:x val="-4.6773684998076132E-2"/>
                  <c:y val="-4.231094812895400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C1-44F6-B762-50B12FA5DB84}"/>
                </c:ext>
              </c:extLst>
            </c:dLbl>
            <c:dLbl>
              <c:idx val="10"/>
              <c:layout>
                <c:manualLayout>
                  <c:x val="-0.32538385396626335"/>
                  <c:y val="-2.661809394899768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산업용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C1-44F6-B762-50B12FA5DB84}"/>
                </c:ext>
              </c:extLst>
            </c:dLbl>
            <c:dLbl>
              <c:idx val="12"/>
              <c:layout>
                <c:manualLayout>
                  <c:x val="-2.6132590386341937E-3"/>
                  <c:y val="-6.35199027257928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2C1-44F6-B762-50B12FA5DB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추이(계약종별)'!$B$23:$N$23</c:f>
              <c:numCache>
                <c:formatCode>#,##0_ </c:formatCode>
                <c:ptCount val="13"/>
                <c:pt idx="0">
                  <c:v>25509.178</c:v>
                </c:pt>
                <c:pt idx="1">
                  <c:v>26069.752</c:v>
                </c:pt>
                <c:pt idx="2">
                  <c:v>23735.956999999999</c:v>
                </c:pt>
                <c:pt idx="3">
                  <c:v>25171.141</c:v>
                </c:pt>
                <c:pt idx="4">
                  <c:v>24455.29</c:v>
                </c:pt>
                <c:pt idx="5">
                  <c:v>24585.742999999999</c:v>
                </c:pt>
                <c:pt idx="6">
                  <c:v>24160.799999999999</c:v>
                </c:pt>
                <c:pt idx="7">
                  <c:v>26117.510999999999</c:v>
                </c:pt>
                <c:pt idx="8">
                  <c:v>25223.463</c:v>
                </c:pt>
                <c:pt idx="9">
                  <c:v>23795.732</c:v>
                </c:pt>
                <c:pt idx="10">
                  <c:v>24134.111000000001</c:v>
                </c:pt>
                <c:pt idx="11">
                  <c:v>23466.792000000001</c:v>
                </c:pt>
                <c:pt idx="12">
                  <c:v>25119.213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C1-44F6-B762-50B12FA5DB84}"/>
            </c:ext>
          </c:extLst>
        </c:ser>
        <c:ser>
          <c:idx val="2"/>
          <c:order val="1"/>
          <c:tx>
            <c:strRef>
              <c:f>'1-5 판매전력량 추이(계약종별)'!$A$25</c:f>
              <c:strCache>
                <c:ptCount val="1"/>
                <c:pt idx="0">
                  <c:v>일반용</c:v>
                </c:pt>
              </c:strCache>
            </c:strRef>
          </c:tx>
          <c:dLbls>
            <c:dLbl>
              <c:idx val="0"/>
              <c:layout>
                <c:manualLayout>
                  <c:x val="-4.1820754537724512E-2"/>
                  <c:y val="-4.290877114533328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2C1-44F6-B762-50B12FA5DB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C1-44F6-B762-50B12FA5DB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C1-44F6-B762-50B12FA5DB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C1-44F6-B762-50B12FA5DB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C1-44F6-B762-50B12FA5DB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C1-44F6-B762-50B12FA5DB84}"/>
                </c:ext>
              </c:extLst>
            </c:dLbl>
            <c:dLbl>
              <c:idx val="6"/>
              <c:layout>
                <c:manualLayout>
                  <c:x val="-4.3149799537320802E-2"/>
                  <c:y val="-6.699167055798907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일반용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D2C1-44F6-B762-50B12FA5DB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C1-44F6-B762-50B12FA5DB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C1-44F6-B762-50B12FA5DB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C1-44F6-B762-50B12FA5DB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2C1-44F6-B762-50B12FA5DB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2C1-44F6-B762-50B12FA5DB84}"/>
                </c:ext>
              </c:extLst>
            </c:dLbl>
            <c:dLbl>
              <c:idx val="12"/>
              <c:layout>
                <c:manualLayout>
                  <c:x val="-7.6454601378538574E-3"/>
                  <c:y val="-4.593386184493591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D2C1-44F6-B762-50B12FA5DB8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추이(계약종별)'!$B$25:$N$25</c:f>
              <c:numCache>
                <c:formatCode>#,##0_ </c:formatCode>
                <c:ptCount val="13"/>
                <c:pt idx="0">
                  <c:v>11070.976000000001</c:v>
                </c:pt>
                <c:pt idx="1">
                  <c:v>11518.842000000001</c:v>
                </c:pt>
                <c:pt idx="2">
                  <c:v>11732.995999999999</c:v>
                </c:pt>
                <c:pt idx="3">
                  <c:v>10164.688</c:v>
                </c:pt>
                <c:pt idx="4">
                  <c:v>9389.482</c:v>
                </c:pt>
                <c:pt idx="5">
                  <c:v>9001.6669999999995</c:v>
                </c:pt>
                <c:pt idx="6">
                  <c:v>9977.9740000000002</c:v>
                </c:pt>
                <c:pt idx="7">
                  <c:v>11827.253000000001</c:v>
                </c:pt>
                <c:pt idx="8">
                  <c:v>12767.781000000001</c:v>
                </c:pt>
                <c:pt idx="9">
                  <c:v>11060.663</c:v>
                </c:pt>
                <c:pt idx="10">
                  <c:v>9429.99</c:v>
                </c:pt>
                <c:pt idx="11">
                  <c:v>9263.0930000000008</c:v>
                </c:pt>
                <c:pt idx="12">
                  <c:v>11058.464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2C1-44F6-B762-50B12FA5DB84}"/>
            </c:ext>
          </c:extLst>
        </c:ser>
        <c:ser>
          <c:idx val="4"/>
          <c:order val="3"/>
          <c:tx>
            <c:strRef>
              <c:f>'1-5 판매전력량 추이(계약종별)'!$A$29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3524885476271764E-2"/>
                  <c:y val="3.975740896465614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D2C1-44F6-B762-50B12FA5DB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2C1-44F6-B762-50B12FA5DB84}"/>
                </c:ext>
              </c:extLst>
            </c:dLbl>
            <c:dLbl>
              <c:idx val="2"/>
              <c:layout>
                <c:manualLayout>
                  <c:x val="0.27636446442737495"/>
                  <c:y val="2.007077297357071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D2C1-44F6-B762-50B12FA5DB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2C1-44F6-B762-50B12FA5DB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2C1-44F6-B762-50B12FA5DB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2C1-44F6-B762-50B12FA5DB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2C1-44F6-B762-50B12FA5DB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2C1-44F6-B762-50B12FA5DB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2C1-44F6-B762-50B12FA5DB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2C1-44F6-B762-50B12FA5DB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2C1-44F6-B762-50B12FA5DB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2C1-44F6-B762-50B12FA5DB84}"/>
                </c:ext>
              </c:extLst>
            </c:dLbl>
            <c:dLbl>
              <c:idx val="12"/>
              <c:layout>
                <c:manualLayout>
                  <c:x val="-2.9247974437978013E-3"/>
                  <c:y val="3.65211630099636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D2C1-44F6-B762-50B12FA5DB8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추이(계약종별)'!$B$29:$N$29</c:f>
              <c:numCache>
                <c:formatCode>#,##0_ </c:formatCode>
                <c:ptCount val="13"/>
                <c:pt idx="0">
                  <c:v>4251.1549999999997</c:v>
                </c:pt>
                <c:pt idx="1">
                  <c:v>5120.8090000000002</c:v>
                </c:pt>
                <c:pt idx="2">
                  <c:v>5011.9889999999996</c:v>
                </c:pt>
                <c:pt idx="3">
                  <c:v>4277.82</c:v>
                </c:pt>
                <c:pt idx="4">
                  <c:v>3627.6219999999998</c:v>
                </c:pt>
                <c:pt idx="5">
                  <c:v>2837.9189999999999</c:v>
                </c:pt>
                <c:pt idx="6">
                  <c:v>2882.7890000000002</c:v>
                </c:pt>
                <c:pt idx="7">
                  <c:v>3039.45</c:v>
                </c:pt>
                <c:pt idx="8">
                  <c:v>3209.2249999999999</c:v>
                </c:pt>
                <c:pt idx="9">
                  <c:v>3066.7719999999999</c:v>
                </c:pt>
                <c:pt idx="10">
                  <c:v>2733.7930000000001</c:v>
                </c:pt>
                <c:pt idx="11">
                  <c:v>3653.558</c:v>
                </c:pt>
                <c:pt idx="12">
                  <c:v>4246.4639999999999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C1-44F6-B762-50B12FA5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8000"/>
        <c:axId val="171009536"/>
      </c:lineChart>
      <c:catAx>
        <c:axId val="171008000"/>
        <c:scaling>
          <c:orientation val="minMax"/>
        </c:scaling>
        <c:delete val="1"/>
        <c:axPos val="b"/>
        <c:majorTickMark val="out"/>
        <c:minorTickMark val="none"/>
        <c:tickLblPos val="none"/>
        <c:crossAx val="171009536"/>
        <c:crosses val="autoZero"/>
        <c:auto val="1"/>
        <c:lblAlgn val="ctr"/>
        <c:lblOffset val="100"/>
        <c:noMultiLvlLbl val="0"/>
      </c:catAx>
      <c:valAx>
        <c:axId val="171009536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1008000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579784061083279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'1-6 판매전력량 추이(용도별)'!$A$27</c:f>
              <c:strCache>
                <c:ptCount val="1"/>
                <c:pt idx="0">
                  <c:v>가정용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249184688011162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913-46D0-B548-6729417B72E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13-46D0-B548-6729417B72E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13-46D0-B548-6729417B72E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13-46D0-B548-6729417B72E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13-46D0-B548-6729417B72E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13-46D0-B548-6729417B72E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13-46D0-B548-6729417B72E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13-46D0-B548-6729417B72E5}"/>
                </c:ext>
              </c:extLst>
            </c:dLbl>
            <c:dLbl>
              <c:idx val="8"/>
              <c:layout>
                <c:manualLayout>
                  <c:x val="-0.14090250003441093"/>
                  <c:y val="8.16588910397491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가정용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913-46D0-B548-6729417B72E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13-46D0-B548-6729417B72E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13-46D0-B548-6729417B72E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13-46D0-B548-6729417B72E5}"/>
                </c:ext>
              </c:extLst>
            </c:dLbl>
            <c:dLbl>
              <c:idx val="12"/>
              <c:layout>
                <c:manualLayout>
                  <c:x val="-1.3783920411525501E-16"/>
                  <c:y val="3.579159608328894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F913-46D0-B548-6729417B72E5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추이(용도별)'!$B$27:$N$27</c:f>
              <c:numCache>
                <c:formatCode>#,##0_ </c:formatCode>
                <c:ptCount val="13"/>
                <c:pt idx="0">
                  <c:v>6218.1120000000001</c:v>
                </c:pt>
                <c:pt idx="1">
                  <c:v>6859.6710000000003</c:v>
                </c:pt>
                <c:pt idx="2">
                  <c:v>6832.5119999999997</c:v>
                </c:pt>
                <c:pt idx="3">
                  <c:v>6026.9089999999997</c:v>
                </c:pt>
                <c:pt idx="4">
                  <c:v>6097.4759999999997</c:v>
                </c:pt>
                <c:pt idx="5">
                  <c:v>5606.7250000000004</c:v>
                </c:pt>
                <c:pt idx="6">
                  <c:v>5810.4250000000002</c:v>
                </c:pt>
                <c:pt idx="7">
                  <c:v>7335.0450000000001</c:v>
                </c:pt>
                <c:pt idx="8">
                  <c:v>8720.5349999999999</c:v>
                </c:pt>
                <c:pt idx="9">
                  <c:v>7184.4470000000001</c:v>
                </c:pt>
                <c:pt idx="10">
                  <c:v>5863.9939999999997</c:v>
                </c:pt>
                <c:pt idx="11">
                  <c:v>5922.5410000000002</c:v>
                </c:pt>
                <c:pt idx="12">
                  <c:v>6297.1750000000002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13-46D0-B548-6729417B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9216"/>
        <c:axId val="162170752"/>
      </c:barChart>
      <c:lineChart>
        <c:grouping val="standard"/>
        <c:varyColors val="0"/>
        <c:ser>
          <c:idx val="1"/>
          <c:order val="0"/>
          <c:tx>
            <c:strRef>
              <c:f>'1-6 판매전력량 추이(용도별)'!$A$23</c:f>
              <c:strCache>
                <c:ptCount val="1"/>
                <c:pt idx="0">
                  <c:v>제조업</c:v>
                </c:pt>
              </c:strCache>
            </c:strRef>
          </c:tx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F913-46D0-B548-6729417B72E5}"/>
                </c:ext>
              </c:extLst>
            </c:dLbl>
            <c:dLbl>
              <c:idx val="10"/>
              <c:layout>
                <c:manualLayout>
                  <c:x val="-0.32113284414157628"/>
                  <c:y val="-6.23960680526363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제조업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F913-46D0-B548-6729417B72E5}"/>
                </c:ext>
              </c:extLst>
            </c:dLbl>
            <c:dLbl>
              <c:idx val="12"/>
              <c:layout>
                <c:manualLayout>
                  <c:x val="-1.7666167844800934E-2"/>
                  <c:y val="-4.801904797972073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F913-46D0-B548-6729417B72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추이(용도별)'!$B$23:$N$23</c:f>
              <c:numCache>
                <c:formatCode>#,##0_ </c:formatCode>
                <c:ptCount val="13"/>
                <c:pt idx="0">
                  <c:v>23068.737000000001</c:v>
                </c:pt>
                <c:pt idx="1">
                  <c:v>23566.593000000001</c:v>
                </c:pt>
                <c:pt idx="2">
                  <c:v>21340.352999999999</c:v>
                </c:pt>
                <c:pt idx="3">
                  <c:v>22983.927</c:v>
                </c:pt>
                <c:pt idx="4">
                  <c:v>22143.995999999999</c:v>
                </c:pt>
                <c:pt idx="5">
                  <c:v>22146.809000000001</c:v>
                </c:pt>
                <c:pt idx="6">
                  <c:v>21717.278999999999</c:v>
                </c:pt>
                <c:pt idx="7">
                  <c:v>23611.107</c:v>
                </c:pt>
                <c:pt idx="8">
                  <c:v>22668.605</c:v>
                </c:pt>
                <c:pt idx="9">
                  <c:v>21350.988000000001</c:v>
                </c:pt>
                <c:pt idx="10">
                  <c:v>21706.846000000001</c:v>
                </c:pt>
                <c:pt idx="11">
                  <c:v>21069.57</c:v>
                </c:pt>
                <c:pt idx="12">
                  <c:v>22586.5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13-46D0-B548-6729417B72E5}"/>
            </c:ext>
          </c:extLst>
        </c:ser>
        <c:ser>
          <c:idx val="2"/>
          <c:order val="1"/>
          <c:tx>
            <c:strRef>
              <c:f>'1-6 판매전력량 추이(용도별)'!$A$25</c:f>
              <c:strCache>
                <c:ptCount val="1"/>
                <c:pt idx="0">
                  <c:v>서비스업</c:v>
                </c:pt>
              </c:strCache>
            </c:strRef>
          </c:tx>
          <c:dLbls>
            <c:dLbl>
              <c:idx val="0"/>
              <c:layout>
                <c:manualLayout>
                  <c:x val="-4.2874753185299028E-2"/>
                  <c:y val="-5.396207397308559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F913-46D0-B548-6729417B72E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13-46D0-B548-6729417B72E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13-46D0-B548-6729417B72E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13-46D0-B548-6729417B72E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13-46D0-B548-6729417B72E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13-46D0-B548-6729417B72E5}"/>
                </c:ext>
              </c:extLst>
            </c:dLbl>
            <c:dLbl>
              <c:idx val="6"/>
              <c:layout>
                <c:manualLayout>
                  <c:x val="-5.0418206707025306E-2"/>
                  <c:y val="-6.39363850302067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서비스업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F913-46D0-B548-6729417B72E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913-46D0-B548-6729417B72E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913-46D0-B548-6729417B72E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13-46D0-B548-6729417B72E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13-46D0-B548-6729417B72E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13-46D0-B548-6729417B72E5}"/>
                </c:ext>
              </c:extLst>
            </c:dLbl>
            <c:dLbl>
              <c:idx val="12"/>
              <c:layout>
                <c:manualLayout>
                  <c:x val="-1.3818663180093737E-2"/>
                  <c:y val="-5.104481800469110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F913-46D0-B548-6729417B72E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추이(용도별)'!$B$25:$N$25</c:f>
              <c:numCache>
                <c:formatCode>#,##0_ </c:formatCode>
                <c:ptCount val="13"/>
                <c:pt idx="0">
                  <c:v>13799.959000000001</c:v>
                </c:pt>
                <c:pt idx="1">
                  <c:v>14629.331</c:v>
                </c:pt>
                <c:pt idx="2">
                  <c:v>14854.224</c:v>
                </c:pt>
                <c:pt idx="3">
                  <c:v>12751.919</c:v>
                </c:pt>
                <c:pt idx="4">
                  <c:v>11893.99</c:v>
                </c:pt>
                <c:pt idx="5">
                  <c:v>11216.679</c:v>
                </c:pt>
                <c:pt idx="6">
                  <c:v>11998.553</c:v>
                </c:pt>
                <c:pt idx="7">
                  <c:v>13733.082</c:v>
                </c:pt>
                <c:pt idx="8">
                  <c:v>14682.019</c:v>
                </c:pt>
                <c:pt idx="9">
                  <c:v>12992.044</c:v>
                </c:pt>
                <c:pt idx="10">
                  <c:v>11477.216</c:v>
                </c:pt>
                <c:pt idx="11">
                  <c:v>11602.314</c:v>
                </c:pt>
                <c:pt idx="12">
                  <c:v>13717.066000000001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13-46D0-B548-6729417B72E5}"/>
            </c:ext>
          </c:extLst>
        </c:ser>
        <c:ser>
          <c:idx val="4"/>
          <c:order val="3"/>
          <c:tx>
            <c:strRef>
              <c:f>'1-6 판매전력량 추이(용도별)'!$A$29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0005299022164806E-2"/>
                  <c:y val="3.59110242484605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F913-46D0-B548-6729417B72E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13-46D0-B548-6729417B72E5}"/>
                </c:ext>
              </c:extLst>
            </c:dLbl>
            <c:dLbl>
              <c:idx val="2"/>
              <c:layout>
                <c:manualLayout>
                  <c:x val="0.27397604737421422"/>
                  <c:y val="-2.480407993431876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F913-46D0-B548-6729417B72E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913-46D0-B548-6729417B72E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913-46D0-B548-6729417B72E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913-46D0-B548-6729417B72E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913-46D0-B548-6729417B72E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913-46D0-B548-6729417B72E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913-46D0-B548-6729417B72E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913-46D0-B548-6729417B72E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913-46D0-B548-6729417B72E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913-46D0-B548-6729417B72E5}"/>
                </c:ext>
              </c:extLst>
            </c:dLbl>
            <c:dLbl>
              <c:idx val="12"/>
              <c:layout>
                <c:manualLayout>
                  <c:x val="-8.6943706169220966E-3"/>
                  <c:y val="3.27288444553022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F913-46D0-B548-6729417B72E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추이(용도별)'!$B$29:$N$29</c:f>
              <c:numCache>
                <c:formatCode>#,##0_ </c:formatCode>
                <c:ptCount val="13"/>
                <c:pt idx="0">
                  <c:v>4163.8119999999999</c:v>
                </c:pt>
                <c:pt idx="1">
                  <c:v>4746.6239999999998</c:v>
                </c:pt>
                <c:pt idx="2">
                  <c:v>4514.3819999999996</c:v>
                </c:pt>
                <c:pt idx="3">
                  <c:v>4074.0509999999999</c:v>
                </c:pt>
                <c:pt idx="4">
                  <c:v>3622.8180000000002</c:v>
                </c:pt>
                <c:pt idx="5">
                  <c:v>3234.7809999999999</c:v>
                </c:pt>
                <c:pt idx="6">
                  <c:v>3488.8029999999999</c:v>
                </c:pt>
                <c:pt idx="7">
                  <c:v>3853.8919999999998</c:v>
                </c:pt>
                <c:pt idx="8">
                  <c:v>4090.9079999999999</c:v>
                </c:pt>
                <c:pt idx="9">
                  <c:v>3789.3159999999998</c:v>
                </c:pt>
                <c:pt idx="10">
                  <c:v>3294.8690000000001</c:v>
                </c:pt>
                <c:pt idx="11">
                  <c:v>3896.663</c:v>
                </c:pt>
                <c:pt idx="12">
                  <c:v>4327.1689999999999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913-46D0-B548-6729417B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9216"/>
        <c:axId val="162170752"/>
      </c:lineChart>
      <c:catAx>
        <c:axId val="162169216"/>
        <c:scaling>
          <c:orientation val="minMax"/>
        </c:scaling>
        <c:delete val="1"/>
        <c:axPos val="b"/>
        <c:majorTickMark val="out"/>
        <c:minorTickMark val="none"/>
        <c:tickLblPos val="none"/>
        <c:crossAx val="162170752"/>
        <c:crosses val="autoZero"/>
        <c:auto val="1"/>
        <c:lblAlgn val="ctr"/>
        <c:lblOffset val="100"/>
        <c:noMultiLvlLbl val="0"/>
      </c:catAx>
      <c:valAx>
        <c:axId val="16217075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16921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395108380404242"/>
          <c:h val="0.8958333333333337"/>
        </c:manualLayout>
      </c:layout>
      <c:areaChart>
        <c:grouping val="standard"/>
        <c:varyColors val="0"/>
        <c:ser>
          <c:idx val="1"/>
          <c:order val="0"/>
          <c:tx>
            <c:strRef>
              <c:f>'1-7 전력수급추이'!$A$21</c:f>
              <c:strCache>
                <c:ptCount val="1"/>
                <c:pt idx="0">
                  <c:v>총설비용량</c:v>
                </c:pt>
              </c:strCache>
            </c:strRef>
          </c:tx>
          <c:dLbls>
            <c:dLbl>
              <c:idx val="0"/>
              <c:layout>
                <c:manualLayout>
                  <c:x val="4.4298360603347207E-2"/>
                  <c:y val="-0.3896156957236063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667-4703-B0C5-496B9FE096A7}"/>
                </c:ext>
              </c:extLst>
            </c:dLbl>
            <c:dLbl>
              <c:idx val="8"/>
              <c:layout>
                <c:manualLayout>
                  <c:x val="-0.15089849897053165"/>
                  <c:y val="-0.315524982145177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공급예비력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667-4703-B0C5-496B9FE096A7}"/>
                </c:ext>
              </c:extLst>
            </c:dLbl>
            <c:dLbl>
              <c:idx val="10"/>
              <c:layout>
                <c:manualLayout>
                  <c:x val="-0.29672969929106052"/>
                  <c:y val="-0.40973155815937684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총설비용량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667-4703-B0C5-496B9FE096A7}"/>
                </c:ext>
              </c:extLst>
            </c:dLbl>
            <c:dLbl>
              <c:idx val="12"/>
              <c:layout>
                <c:manualLayout>
                  <c:x val="-1.5260338034937556E-2"/>
                  <c:y val="-0.40629597805644846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667-4703-B0C5-496B9FE09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전력수급추이'!$B$21:$N$21</c:f>
              <c:numCache>
                <c:formatCode>#,##0_ </c:formatCode>
                <c:ptCount val="13"/>
                <c:pt idx="0">
                  <c:v>134158</c:v>
                </c:pt>
                <c:pt idx="1">
                  <c:v>134020</c:v>
                </c:pt>
                <c:pt idx="2">
                  <c:v>133069</c:v>
                </c:pt>
                <c:pt idx="3">
                  <c:v>133561</c:v>
                </c:pt>
                <c:pt idx="4">
                  <c:v>133680</c:v>
                </c:pt>
                <c:pt idx="5">
                  <c:v>133917</c:v>
                </c:pt>
                <c:pt idx="6">
                  <c:v>134092</c:v>
                </c:pt>
                <c:pt idx="7">
                  <c:v>134239</c:v>
                </c:pt>
                <c:pt idx="8">
                  <c:v>134417</c:v>
                </c:pt>
                <c:pt idx="9">
                  <c:v>134719</c:v>
                </c:pt>
                <c:pt idx="10">
                  <c:v>134768</c:v>
                </c:pt>
                <c:pt idx="11">
                  <c:v>136268</c:v>
                </c:pt>
                <c:pt idx="12">
                  <c:v>137938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7-4703-B0C5-496B9FE096A7}"/>
            </c:ext>
          </c:extLst>
        </c:ser>
        <c:ser>
          <c:idx val="2"/>
          <c:order val="1"/>
          <c:tx>
            <c:strRef>
              <c:f>'1-7 전력수급추이'!$A$22</c:f>
              <c:strCache>
                <c:ptCount val="1"/>
                <c:pt idx="0">
                  <c:v>공급능력</c:v>
                </c:pt>
              </c:strCache>
            </c:strRef>
          </c:tx>
          <c:dLbls>
            <c:dLbl>
              <c:idx val="0"/>
              <c:layout>
                <c:manualLayout>
                  <c:x val="3.1210191177757494E-2"/>
                  <c:y val="-0.2264904024327713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667-4703-B0C5-496B9FE096A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67-4703-B0C5-496B9FE096A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67-4703-B0C5-496B9FE096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67-4703-B0C5-496B9FE096A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67-4703-B0C5-496B9FE096A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67-4703-B0C5-496B9FE096A7}"/>
                </c:ext>
              </c:extLst>
            </c:dLbl>
            <c:dLbl>
              <c:idx val="6"/>
              <c:layout>
                <c:manualLayout>
                  <c:x val="-1.376150686934887E-3"/>
                  <c:y val="-0.2143486803027764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공급능력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667-4703-B0C5-496B9FE096A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67-4703-B0C5-496B9FE096A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67-4703-B0C5-496B9FE096A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67-4703-B0C5-496B9FE096A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67-4703-B0C5-496B9FE096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67-4703-B0C5-496B9FE096A7}"/>
                </c:ext>
              </c:extLst>
            </c:dLbl>
            <c:dLbl>
              <c:idx val="12"/>
              <c:layout>
                <c:manualLayout>
                  <c:x val="-1.1488048091778105E-2"/>
                  <c:y val="-0.2331051848692994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667-4703-B0C5-496B9FE096A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전력수급추이'!$B$22:$N$22</c:f>
              <c:numCache>
                <c:formatCode>#,##0_ </c:formatCode>
                <c:ptCount val="13"/>
                <c:pt idx="0">
                  <c:v>103554</c:v>
                </c:pt>
                <c:pt idx="1">
                  <c:v>107631</c:v>
                </c:pt>
                <c:pt idx="2">
                  <c:v>100103</c:v>
                </c:pt>
                <c:pt idx="3">
                  <c:v>89033</c:v>
                </c:pt>
                <c:pt idx="4">
                  <c:v>84457</c:v>
                </c:pt>
                <c:pt idx="5">
                  <c:v>84474</c:v>
                </c:pt>
                <c:pt idx="6">
                  <c:v>94364</c:v>
                </c:pt>
                <c:pt idx="7">
                  <c:v>99716</c:v>
                </c:pt>
                <c:pt idx="8">
                  <c:v>100691</c:v>
                </c:pt>
                <c:pt idx="9">
                  <c:v>91923</c:v>
                </c:pt>
                <c:pt idx="10">
                  <c:v>86098</c:v>
                </c:pt>
                <c:pt idx="11">
                  <c:v>92682</c:v>
                </c:pt>
                <c:pt idx="12">
                  <c:v>105628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67-4703-B0C5-496B9FE096A7}"/>
            </c:ext>
          </c:extLst>
        </c:ser>
        <c:ser>
          <c:idx val="3"/>
          <c:order val="2"/>
          <c:tx>
            <c:strRef>
              <c:f>'1-7 전력수급추이'!$A$23</c:f>
              <c:strCache>
                <c:ptCount val="1"/>
                <c:pt idx="0">
                  <c:v>최대전력</c:v>
                </c:pt>
              </c:strCache>
            </c:strRef>
          </c:tx>
          <c:dLbls>
            <c:dLbl>
              <c:idx val="0"/>
              <c:layout>
                <c:manualLayout>
                  <c:x val="3.2838882138082864E-2"/>
                  <c:y val="-0.1831698117039045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667-4703-B0C5-496B9FE096A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67-4703-B0C5-496B9FE096A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67-4703-B0C5-496B9FE096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67-4703-B0C5-496B9FE096A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67-4703-B0C5-496B9FE096A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67-4703-B0C5-496B9FE096A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67-4703-B0C5-496B9FE096A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667-4703-B0C5-496B9FE096A7}"/>
                </c:ext>
              </c:extLst>
            </c:dLbl>
            <c:dLbl>
              <c:idx val="8"/>
              <c:layout>
                <c:manualLayout>
                  <c:x val="-0.15002293584478224"/>
                  <c:y val="-0.1508143590368418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최대전력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0667-4703-B0C5-496B9FE096A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67-4703-B0C5-496B9FE096A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67-4703-B0C5-496B9FE096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67-4703-B0C5-496B9FE096A7}"/>
                </c:ext>
              </c:extLst>
            </c:dLbl>
            <c:dLbl>
              <c:idx val="12"/>
              <c:layout>
                <c:manualLayout>
                  <c:x val="-1.1359839924649515E-2"/>
                  <c:y val="-0.190201495606086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667-4703-B0C5-496B9FE096A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전력수급추이'!$B$23:$N$23</c:f>
              <c:numCache>
                <c:formatCode>#,##0_ </c:formatCode>
                <c:ptCount val="13"/>
                <c:pt idx="0">
                  <c:v>90708</c:v>
                </c:pt>
                <c:pt idx="1">
                  <c:v>89397</c:v>
                </c:pt>
                <c:pt idx="2">
                  <c:v>87351</c:v>
                </c:pt>
                <c:pt idx="3">
                  <c:v>78233</c:v>
                </c:pt>
                <c:pt idx="4">
                  <c:v>71879</c:v>
                </c:pt>
                <c:pt idx="5">
                  <c:v>73134</c:v>
                </c:pt>
                <c:pt idx="6">
                  <c:v>84739</c:v>
                </c:pt>
                <c:pt idx="7">
                  <c:v>92990</c:v>
                </c:pt>
                <c:pt idx="8">
                  <c:v>89263</c:v>
                </c:pt>
                <c:pt idx="9">
                  <c:v>82122</c:v>
                </c:pt>
                <c:pt idx="10">
                  <c:v>72544</c:v>
                </c:pt>
                <c:pt idx="11">
                  <c:v>82117</c:v>
                </c:pt>
                <c:pt idx="12">
                  <c:v>94509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67-4703-B0C5-496B9FE096A7}"/>
            </c:ext>
          </c:extLst>
        </c:ser>
        <c:ser>
          <c:idx val="4"/>
          <c:order val="3"/>
          <c:tx>
            <c:strRef>
              <c:f>'1-7 전력수급추이'!$A$24</c:f>
              <c:strCache>
                <c:ptCount val="1"/>
                <c:pt idx="0">
                  <c:v>평균전력</c:v>
                </c:pt>
              </c:strCache>
            </c:strRef>
          </c:tx>
          <c:dLbls>
            <c:dLbl>
              <c:idx val="0"/>
              <c:layout>
                <c:manualLayout>
                  <c:x val="3.4827003204160607E-2"/>
                  <c:y val="-0.1507481584144341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0667-4703-B0C5-496B9FE096A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67-4703-B0C5-496B9FE096A7}"/>
                </c:ext>
              </c:extLst>
            </c:dLbl>
            <c:dLbl>
              <c:idx val="2"/>
              <c:layout>
                <c:manualLayout>
                  <c:x val="0.30073029459106132"/>
                  <c:y val="-0.1065133492742808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평균전력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0667-4703-B0C5-496B9FE096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67-4703-B0C5-496B9FE096A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67-4703-B0C5-496B9FE096A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67-4703-B0C5-496B9FE096A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67-4703-B0C5-496B9FE096A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667-4703-B0C5-496B9FE096A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667-4703-B0C5-496B9FE096A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667-4703-B0C5-496B9FE096A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667-4703-B0C5-496B9FE096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667-4703-B0C5-496B9FE096A7}"/>
                </c:ext>
              </c:extLst>
            </c:dLbl>
            <c:dLbl>
              <c:idx val="12"/>
              <c:layout>
                <c:manualLayout>
                  <c:x val="-1.3409977964593972E-2"/>
                  <c:y val="-0.1566347340044777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0667-4703-B0C5-496B9FE096A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전력수급추이'!$B$24:$N$24</c:f>
              <c:numCache>
                <c:formatCode>#,##0_ </c:formatCode>
                <c:ptCount val="13"/>
                <c:pt idx="0">
                  <c:v>71738.721774193546</c:v>
                </c:pt>
                <c:pt idx="1">
                  <c:v>73645.565860215051</c:v>
                </c:pt>
                <c:pt idx="2">
                  <c:v>72154.020833333328</c:v>
                </c:pt>
                <c:pt idx="3">
                  <c:v>66746.173387096773</c:v>
                </c:pt>
                <c:pt idx="4">
                  <c:v>62303.985584305556</c:v>
                </c:pt>
                <c:pt idx="5">
                  <c:v>62071.008475672046</c:v>
                </c:pt>
                <c:pt idx="6">
                  <c:v>66092.862043194458</c:v>
                </c:pt>
                <c:pt idx="7">
                  <c:v>73961.567575403227</c:v>
                </c:pt>
                <c:pt idx="8">
                  <c:v>72532.206534543016</c:v>
                </c:pt>
                <c:pt idx="9">
                  <c:v>64317.097170416659</c:v>
                </c:pt>
                <c:pt idx="10">
                  <c:v>61479.884669086015</c:v>
                </c:pt>
                <c:pt idx="11">
                  <c:v>64191.398167083331</c:v>
                </c:pt>
                <c:pt idx="12">
                  <c:v>74688.122206528235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67-4703-B0C5-496B9FE0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0080"/>
        <c:axId val="171391616"/>
      </c:areaChart>
      <c:catAx>
        <c:axId val="171390080"/>
        <c:scaling>
          <c:orientation val="minMax"/>
        </c:scaling>
        <c:delete val="1"/>
        <c:axPos val="b"/>
        <c:majorTickMark val="out"/>
        <c:minorTickMark val="none"/>
        <c:tickLblPos val="none"/>
        <c:crossAx val="171391616"/>
        <c:crosses val="autoZero"/>
        <c:auto val="1"/>
        <c:lblAlgn val="ctr"/>
        <c:lblOffset val="100"/>
        <c:noMultiLvlLbl val="0"/>
      </c:catAx>
      <c:valAx>
        <c:axId val="171391616"/>
        <c:scaling>
          <c:orientation val="minMax"/>
          <c:max val="160000"/>
        </c:scaling>
        <c:delete val="0"/>
        <c:axPos val="l"/>
        <c:numFmt formatCode="#,##0_ " sourceLinked="1"/>
        <c:majorTickMark val="out"/>
        <c:minorTickMark val="none"/>
        <c:tickLblPos val="nextTo"/>
        <c:crossAx val="171390080"/>
        <c:crosses val="autoZero"/>
        <c:crossBetween val="midCat"/>
      </c:valAx>
      <c:spPr>
        <a:ln w="5080">
          <a:solidFill>
            <a:schemeClr val="tx1"/>
          </a:solidFill>
        </a:ln>
      </c:spPr>
    </c:plotArea>
    <c:plotVisOnly val="1"/>
    <c:dispBlanksAs val="zero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6</xdr:row>
      <xdr:rowOff>11207</xdr:rowOff>
    </xdr:from>
    <xdr:to>
      <xdr:col>13</xdr:col>
      <xdr:colOff>438151</xdr:colOff>
      <xdr:row>20</xdr:row>
      <xdr:rowOff>228601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15688</xdr:rowOff>
    </xdr:from>
    <xdr:to>
      <xdr:col>13</xdr:col>
      <xdr:colOff>438150</xdr:colOff>
      <xdr:row>18</xdr:row>
      <xdr:rowOff>228600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38100</xdr:rowOff>
    </xdr:from>
    <xdr:to>
      <xdr:col>13</xdr:col>
      <xdr:colOff>447675</xdr:colOff>
      <xdr:row>18</xdr:row>
      <xdr:rowOff>228600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38100</xdr:rowOff>
    </xdr:from>
    <xdr:to>
      <xdr:col>13</xdr:col>
      <xdr:colOff>428624</xdr:colOff>
      <xdr:row>18</xdr:row>
      <xdr:rowOff>179294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437029</xdr:colOff>
      <xdr:row>18</xdr:row>
      <xdr:rowOff>257735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457200</xdr:colOff>
      <xdr:row>18</xdr:row>
      <xdr:rowOff>235323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459441</xdr:colOff>
      <xdr:row>18</xdr:row>
      <xdr:rowOff>295275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34990</xdr:colOff>
      <xdr:row>3</xdr:row>
      <xdr:rowOff>123825</xdr:rowOff>
    </xdr:from>
    <xdr:ext cx="295850" cy="195823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30315" y="790575"/>
          <a:ext cx="295850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ctr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월  별</a:t>
          </a:r>
        </a:p>
      </xdr:txBody>
    </xdr:sp>
    <xdr:clientData/>
  </xdr:oneCellAnchor>
  <xdr:oneCellAnchor>
    <xdr:from>
      <xdr:col>0</xdr:col>
      <xdr:colOff>257175</xdr:colOff>
      <xdr:row>4</xdr:row>
      <xdr:rowOff>66675</xdr:rowOff>
    </xdr:from>
    <xdr:ext cx="368049" cy="195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57175" y="1057275"/>
          <a:ext cx="368049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    분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9</xdr:col>
      <xdr:colOff>333375</xdr:colOff>
      <xdr:row>31</xdr:row>
      <xdr:rowOff>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9620250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0"/>
  <sheetViews>
    <sheetView tabSelected="1" view="pageBreakPreview" zoomScale="60" zoomScaleNormal="100" workbookViewId="0"/>
  </sheetViews>
  <sheetFormatPr defaultRowHeight="16.5"/>
  <cols>
    <col min="1" max="2" width="9" style="1"/>
    <col min="3" max="3" width="6" style="1" customWidth="1"/>
    <col min="4" max="4" width="7.125" style="1" customWidth="1"/>
    <col min="5" max="5" width="19" style="1" customWidth="1"/>
    <col min="6" max="6" width="29.625" style="1" customWidth="1"/>
    <col min="7" max="16384" width="9" style="1"/>
  </cols>
  <sheetData>
    <row r="1" spans="1:6" ht="206.25" customHeight="1"/>
    <row r="2" spans="1:6" ht="7.5" customHeight="1">
      <c r="C2" s="2" t="s">
        <v>0</v>
      </c>
      <c r="D2" s="2" t="s">
        <v>0</v>
      </c>
      <c r="E2" s="3" t="s">
        <v>0</v>
      </c>
      <c r="F2" s="4" t="s">
        <v>0</v>
      </c>
    </row>
    <row r="3" spans="1:6" ht="8.25" customHeight="1"/>
    <row r="4" spans="1:6" ht="39">
      <c r="D4" s="5" t="s">
        <v>1</v>
      </c>
    </row>
    <row r="6" spans="1:6" ht="30" customHeight="1">
      <c r="E6" s="6" t="s">
        <v>2</v>
      </c>
    </row>
    <row r="7" spans="1:6" ht="9.9499999999999993" customHeight="1">
      <c r="A7" s="7"/>
      <c r="B7" s="7"/>
      <c r="C7" s="8"/>
      <c r="D7" s="8"/>
      <c r="E7" s="8"/>
      <c r="F7" s="8"/>
    </row>
    <row r="8" spans="1:6">
      <c r="A8" s="7"/>
      <c r="B8" s="7"/>
      <c r="C8" s="8"/>
      <c r="D8" s="8"/>
      <c r="E8" s="8"/>
      <c r="F8" s="8"/>
    </row>
    <row r="9" spans="1:6">
      <c r="A9" s="7"/>
      <c r="B9" s="7"/>
      <c r="C9" s="8"/>
      <c r="D9" s="8"/>
      <c r="E9" s="8"/>
      <c r="F9" s="8"/>
    </row>
    <row r="10" spans="1:6">
      <c r="A10" s="8"/>
      <c r="B10" s="8"/>
      <c r="C10" s="8"/>
      <c r="D10" s="8"/>
      <c r="E10" s="8"/>
      <c r="F10" s="8"/>
    </row>
    <row r="11" spans="1:6">
      <c r="A11" s="7"/>
      <c r="B11" s="7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7"/>
      <c r="B14" s="7"/>
      <c r="C14" s="8"/>
      <c r="D14" s="8"/>
      <c r="E14" s="8"/>
      <c r="F14" s="8"/>
    </row>
    <row r="15" spans="1:6">
      <c r="A15" s="7"/>
      <c r="B15" s="7"/>
      <c r="C15" s="8"/>
      <c r="D15" s="8"/>
      <c r="E15" s="8"/>
      <c r="F15" s="8"/>
    </row>
    <row r="16" spans="1:6">
      <c r="A16" s="8"/>
      <c r="B16" s="8"/>
      <c r="C16" s="8"/>
      <c r="D16" s="8"/>
      <c r="E16" s="8"/>
      <c r="F16" s="8"/>
    </row>
    <row r="17" spans="1:11">
      <c r="A17" s="8"/>
      <c r="B17" s="8"/>
      <c r="C17" s="8"/>
      <c r="D17" s="8"/>
      <c r="E17" s="8"/>
      <c r="F17" s="8"/>
    </row>
    <row r="18" spans="1:11">
      <c r="A18" s="8"/>
      <c r="B18" s="8"/>
      <c r="C18" s="8"/>
      <c r="D18" s="8"/>
      <c r="E18" s="8"/>
      <c r="F18" s="8"/>
    </row>
    <row r="19" spans="1:11">
      <c r="A19" s="7"/>
      <c r="B19" s="7"/>
      <c r="C19" s="8"/>
      <c r="D19" s="8"/>
      <c r="E19" s="8"/>
      <c r="F19" s="8"/>
    </row>
    <row r="20" spans="1:11">
      <c r="A20" s="8"/>
      <c r="B20" s="8"/>
      <c r="C20" s="8"/>
      <c r="D20" s="8"/>
      <c r="E20" s="8"/>
      <c r="F20" s="8"/>
    </row>
    <row r="21" spans="1:11">
      <c r="A21" s="8"/>
      <c r="B21" s="8"/>
      <c r="C21" s="8"/>
      <c r="D21" s="8"/>
      <c r="E21" s="8"/>
      <c r="F21" s="8"/>
    </row>
    <row r="22" spans="1:11">
      <c r="A22" s="8"/>
      <c r="B22" s="8"/>
      <c r="C22" s="8"/>
      <c r="D22" s="8"/>
      <c r="E22" s="8"/>
      <c r="F22" s="8"/>
    </row>
    <row r="23" spans="1:11">
      <c r="A23" s="8"/>
      <c r="B23" s="8"/>
      <c r="C23" s="8"/>
      <c r="D23" s="8"/>
      <c r="E23" s="8"/>
      <c r="F23" s="8"/>
      <c r="G23" s="9"/>
      <c r="H23" s="9"/>
      <c r="I23" s="9"/>
      <c r="J23" s="9"/>
      <c r="K23" s="9"/>
    </row>
    <row r="24" spans="1:11">
      <c r="A24" s="8"/>
      <c r="B24" s="8"/>
      <c r="C24" s="8"/>
      <c r="D24" s="8"/>
      <c r="E24" s="8"/>
      <c r="F24" s="8"/>
    </row>
    <row r="25" spans="1:11">
      <c r="A25" s="8"/>
      <c r="B25" s="8"/>
      <c r="C25" s="8"/>
      <c r="D25" s="8"/>
      <c r="E25" s="8"/>
      <c r="F25" s="8"/>
    </row>
    <row r="26" spans="1:11">
      <c r="A26" s="10"/>
      <c r="B26" s="10"/>
      <c r="C26" s="10"/>
      <c r="D26" s="10"/>
      <c r="E26" s="10"/>
      <c r="F26" s="10"/>
    </row>
    <row r="27" spans="1:11">
      <c r="A27" s="11"/>
      <c r="B27" s="11"/>
      <c r="C27" s="11"/>
      <c r="D27" s="11"/>
      <c r="E27" s="11"/>
      <c r="F27" s="11"/>
    </row>
    <row r="28" spans="1:11">
      <c r="A28" s="11"/>
      <c r="B28" s="11"/>
      <c r="C28" s="11"/>
      <c r="D28" s="11"/>
      <c r="E28" s="11"/>
      <c r="F28" s="11"/>
    </row>
    <row r="29" spans="1:11">
      <c r="A29" s="11"/>
      <c r="B29" s="11"/>
      <c r="C29" s="11"/>
      <c r="D29" s="11"/>
      <c r="E29" s="11"/>
      <c r="F29" s="11"/>
    </row>
    <row r="30" spans="1:11">
      <c r="A30" s="11"/>
      <c r="B30" s="11"/>
      <c r="C30" s="11"/>
      <c r="D30" s="11"/>
      <c r="E30" s="11"/>
      <c r="F30" s="11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orientation="portrait" r:id="rId1"/>
  <headerFooter differentOddEven="1"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4"/>
  <sheetViews>
    <sheetView view="pageBreakPreview" zoomScaleNormal="100" zoomScaleSheetLayoutView="100" workbookViewId="0">
      <selection activeCell="B1" sqref="B1"/>
    </sheetView>
  </sheetViews>
  <sheetFormatPr defaultColWidth="9" defaultRowHeight="16.5"/>
  <cols>
    <col min="1" max="1" width="1.375" style="49" customWidth="1"/>
    <col min="2" max="2" width="8.625" style="49" customWidth="1"/>
    <col min="3" max="3" width="7.875" style="49" customWidth="1"/>
    <col min="4" max="11" width="8.625" style="49" customWidth="1"/>
    <col min="12" max="13" width="9" style="49"/>
    <col min="14" max="15" width="7.625" style="49" customWidth="1"/>
    <col min="16" max="16" width="11.625" style="49" bestFit="1" customWidth="1"/>
    <col min="17" max="17" width="10.5" style="49" bestFit="1" customWidth="1"/>
    <col min="18" max="19" width="7.625" style="49" customWidth="1"/>
    <col min="20" max="21" width="9.375" style="49" customWidth="1"/>
    <col min="22" max="27" width="7.625" style="49" customWidth="1"/>
    <col min="28" max="28" width="7.625" style="142" customWidth="1"/>
    <col min="29" max="16384" width="9" style="142"/>
  </cols>
  <sheetData>
    <row r="1" spans="1:27" ht="38.25" customHeight="1"/>
    <row r="2" spans="1:27" ht="38.25" customHeight="1">
      <c r="A2" s="110" t="s">
        <v>82</v>
      </c>
    </row>
    <row r="3" spans="1:27" ht="18" customHeight="1">
      <c r="A3" s="170" t="s">
        <v>83</v>
      </c>
    </row>
    <row r="4" spans="1:27" ht="21" customHeight="1"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</row>
    <row r="5" spans="1:27" ht="30" customHeight="1">
      <c r="A5" s="2854" t="s">
        <v>84</v>
      </c>
      <c r="B5" s="2855"/>
      <c r="C5" s="2856"/>
      <c r="D5" s="2854" t="s">
        <v>85</v>
      </c>
      <c r="E5" s="2855"/>
      <c r="F5" s="2855"/>
      <c r="G5" s="2856"/>
      <c r="H5" s="2860" t="s">
        <v>86</v>
      </c>
      <c r="I5" s="2855"/>
      <c r="J5" s="2855"/>
      <c r="K5" s="2856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</row>
    <row r="6" spans="1:27" ht="30" customHeight="1">
      <c r="A6" s="2857"/>
      <c r="B6" s="2858"/>
      <c r="C6" s="2859"/>
      <c r="D6" s="171">
        <v>2021.12</v>
      </c>
      <c r="E6" s="172">
        <v>2022.12</v>
      </c>
      <c r="F6" s="173" t="s">
        <v>88</v>
      </c>
      <c r="G6" s="174" t="s">
        <v>89</v>
      </c>
      <c r="H6" s="175" t="s">
        <v>90</v>
      </c>
      <c r="I6" s="173" t="s">
        <v>91</v>
      </c>
      <c r="J6" s="173" t="s">
        <v>88</v>
      </c>
      <c r="K6" s="174" t="s">
        <v>89</v>
      </c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</row>
    <row r="7" spans="1:27" ht="30" customHeight="1">
      <c r="A7" s="2861" t="s">
        <v>92</v>
      </c>
      <c r="B7" s="2862"/>
      <c r="C7" s="176" t="s">
        <v>93</v>
      </c>
      <c r="D7" s="177">
        <v>134019.77499999999</v>
      </c>
      <c r="E7" s="178">
        <v>138017.60200000001</v>
      </c>
      <c r="F7" s="178">
        <v>3997.8270000000193</v>
      </c>
      <c r="G7" s="179">
        <v>2.9830127680784566E-2</v>
      </c>
      <c r="H7" s="180">
        <v>134019.77499999999</v>
      </c>
      <c r="I7" s="178">
        <v>138017.60200000001</v>
      </c>
      <c r="J7" s="178">
        <v>3997.8270000000193</v>
      </c>
      <c r="K7" s="179">
        <v>2.9830127680784566E-2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</row>
    <row r="8" spans="1:27" ht="30" customHeight="1">
      <c r="A8" s="2863" t="s">
        <v>94</v>
      </c>
      <c r="B8" s="2851"/>
      <c r="C8" s="181" t="s">
        <v>95</v>
      </c>
      <c r="D8" s="182">
        <v>53373.608999999997</v>
      </c>
      <c r="E8" s="183">
        <v>55567.963000000003</v>
      </c>
      <c r="F8" s="183">
        <v>2194.3540000000066</v>
      </c>
      <c r="G8" s="184">
        <v>4.1113090179080956E-2</v>
      </c>
      <c r="H8" s="185">
        <v>576809.48800000001</v>
      </c>
      <c r="I8" s="186">
        <v>594391.99899999995</v>
      </c>
      <c r="J8" s="183">
        <v>17582.51099999994</v>
      </c>
      <c r="K8" s="184">
        <v>3.0482353993455703E-2</v>
      </c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</row>
    <row r="9" spans="1:27" ht="30" customHeight="1">
      <c r="A9" s="2850" t="s">
        <v>97</v>
      </c>
      <c r="B9" s="2851"/>
      <c r="C9" s="181" t="s">
        <v>95</v>
      </c>
      <c r="D9" s="182">
        <v>51382.244185000003</v>
      </c>
      <c r="E9" s="183">
        <v>53504.417022000001</v>
      </c>
      <c r="F9" s="183">
        <v>2122.1728369999983</v>
      </c>
      <c r="G9" s="184">
        <v>4.1301676691255208E-2</v>
      </c>
      <c r="H9" s="185">
        <v>554196.94465600001</v>
      </c>
      <c r="I9" s="186">
        <v>571484.83052100008</v>
      </c>
      <c r="J9" s="183">
        <v>17287.885865000077</v>
      </c>
      <c r="K9" s="184">
        <v>3.1194480647544851E-2</v>
      </c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</row>
    <row r="10" spans="1:27" ht="30" customHeight="1">
      <c r="A10" s="187"/>
      <c r="B10" s="188" t="s">
        <v>100</v>
      </c>
      <c r="C10" s="181" t="s">
        <v>101</v>
      </c>
      <c r="D10" s="189">
        <v>125.3</v>
      </c>
      <c r="E10" s="190">
        <v>177.738</v>
      </c>
      <c r="F10" s="190">
        <v>52.438000000000002</v>
      </c>
      <c r="G10" s="184">
        <v>0.41849960095770156</v>
      </c>
      <c r="H10" s="191">
        <v>96.480999999999995</v>
      </c>
      <c r="I10" s="192">
        <v>155.495</v>
      </c>
      <c r="J10" s="190">
        <v>59.01400000000001</v>
      </c>
      <c r="K10" s="184">
        <v>0.61166447279775304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</row>
    <row r="11" spans="1:27" ht="30" customHeight="1">
      <c r="A11" s="2850" t="s">
        <v>102</v>
      </c>
      <c r="B11" s="2851"/>
      <c r="C11" s="181" t="s">
        <v>95</v>
      </c>
      <c r="D11" s="182">
        <v>47250.618999999999</v>
      </c>
      <c r="E11" s="183">
        <v>46927.909</v>
      </c>
      <c r="F11" s="193">
        <v>-322.70999999999913</v>
      </c>
      <c r="G11" s="184">
        <v>-6.8297517964790921E-3</v>
      </c>
      <c r="H11" s="185">
        <v>533430.81085799995</v>
      </c>
      <c r="I11" s="186">
        <v>547932.74221300008</v>
      </c>
      <c r="J11" s="183">
        <v>14501.931355000124</v>
      </c>
      <c r="K11" s="184">
        <v>2.7186152467785666E-2</v>
      </c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</row>
    <row r="12" spans="1:27" ht="30" customHeight="1">
      <c r="A12" s="194"/>
      <c r="B12" s="195" t="s">
        <v>87</v>
      </c>
      <c r="C12" s="174" t="s">
        <v>101</v>
      </c>
      <c r="D12" s="196">
        <v>115.753</v>
      </c>
      <c r="E12" s="197">
        <v>140.37</v>
      </c>
      <c r="F12" s="197">
        <v>24.617000000000004</v>
      </c>
      <c r="G12" s="198">
        <v>0.21266835416792657</v>
      </c>
      <c r="H12" s="199">
        <v>108.114</v>
      </c>
      <c r="I12" s="200">
        <v>120.508</v>
      </c>
      <c r="J12" s="197">
        <v>12.393999999999991</v>
      </c>
      <c r="K12" s="198">
        <v>0.11463825221525419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</row>
    <row r="13" spans="1:27" ht="20.100000000000001" customHeight="1">
      <c r="A13" s="106"/>
      <c r="B13" s="106"/>
      <c r="C13" s="201"/>
      <c r="D13" s="202"/>
      <c r="E13" s="202"/>
      <c r="F13" s="203"/>
      <c r="G13" s="204"/>
      <c r="H13" s="203"/>
      <c r="I13" s="203"/>
      <c r="J13" s="203"/>
      <c r="K13" s="204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</row>
    <row r="14" spans="1:27" ht="30" customHeight="1">
      <c r="A14" s="2852" t="s">
        <v>103</v>
      </c>
      <c r="B14" s="2853"/>
      <c r="C14" s="205" t="s">
        <v>93</v>
      </c>
      <c r="D14" s="206">
        <v>90708</v>
      </c>
      <c r="E14" s="207">
        <v>94509</v>
      </c>
      <c r="F14" s="178">
        <v>3801</v>
      </c>
      <c r="G14" s="179">
        <v>4.1903690964413279E-2</v>
      </c>
      <c r="H14" s="180">
        <v>91141</v>
      </c>
      <c r="I14" s="178">
        <v>94509</v>
      </c>
      <c r="J14" s="178">
        <v>3368</v>
      </c>
      <c r="K14" s="179">
        <v>3.6953731032137019E-2</v>
      </c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</row>
    <row r="15" spans="1:27" ht="30" customHeight="1">
      <c r="A15" s="2850" t="s">
        <v>104</v>
      </c>
      <c r="B15" s="2851"/>
      <c r="C15" s="181" t="s">
        <v>93</v>
      </c>
      <c r="D15" s="208">
        <v>71738.721774193546</v>
      </c>
      <c r="E15" s="209">
        <v>74688.122206528235</v>
      </c>
      <c r="F15" s="183">
        <v>2949.400432334689</v>
      </c>
      <c r="G15" s="184">
        <v>4.111308871125819E-2</v>
      </c>
      <c r="H15" s="182">
        <v>65845.83222576484</v>
      </c>
      <c r="I15" s="210">
        <v>67852.967870314722</v>
      </c>
      <c r="J15" s="183">
        <v>2007.1356445498823</v>
      </c>
      <c r="K15" s="184">
        <v>3.0482349097935912E-2</v>
      </c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</row>
    <row r="16" spans="1:27" ht="30" customHeight="1">
      <c r="A16" s="211"/>
      <c r="B16" s="212" t="s">
        <v>105</v>
      </c>
      <c r="C16" s="181" t="s">
        <v>106</v>
      </c>
      <c r="D16" s="213">
        <v>14.161926180711735</v>
      </c>
      <c r="E16" s="214">
        <v>11.765017088319631</v>
      </c>
      <c r="F16" s="190">
        <v>-2.3969090923921037</v>
      </c>
      <c r="G16" s="184">
        <v>-0.16925021792986372</v>
      </c>
      <c r="H16" s="189">
        <v>10.530935583326933</v>
      </c>
      <c r="I16" s="215">
        <v>11.765017088319631</v>
      </c>
      <c r="J16" s="190">
        <v>1.2340815049926981</v>
      </c>
      <c r="K16" s="184">
        <v>0.11718631219685299</v>
      </c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</row>
    <row r="17" spans="1:27" ht="30" customHeight="1">
      <c r="A17" s="211"/>
      <c r="B17" s="212" t="s">
        <v>107</v>
      </c>
      <c r="C17" s="181" t="s">
        <v>106</v>
      </c>
      <c r="D17" s="213">
        <v>79.087535580316555</v>
      </c>
      <c r="E17" s="214">
        <v>79.027523523186403</v>
      </c>
      <c r="F17" s="190">
        <v>-6.0012057130151675E-2</v>
      </c>
      <c r="G17" s="184">
        <v>-7.588055019012071E-4</v>
      </c>
      <c r="H17" s="189">
        <v>72.246115607426773</v>
      </c>
      <c r="I17" s="215">
        <v>71.795244760091336</v>
      </c>
      <c r="J17" s="190">
        <v>-0.45087084733543747</v>
      </c>
      <c r="K17" s="184">
        <v>-6.2407624762193959E-3</v>
      </c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</row>
    <row r="18" spans="1:27" ht="30" customHeight="1">
      <c r="A18" s="216"/>
      <c r="B18" s="212" t="s">
        <v>110</v>
      </c>
      <c r="C18" s="181" t="s">
        <v>106</v>
      </c>
      <c r="D18" s="213">
        <v>53.528460090455724</v>
      </c>
      <c r="E18" s="214">
        <v>54.114925397740222</v>
      </c>
      <c r="F18" s="190">
        <v>0.58646530728449875</v>
      </c>
      <c r="G18" s="184">
        <v>1.0956140084983823E-2</v>
      </c>
      <c r="H18" s="189">
        <v>49.131430213015093</v>
      </c>
      <c r="I18" s="215">
        <v>49.162546678625716</v>
      </c>
      <c r="J18" s="190">
        <v>3.1116465610622868E-2</v>
      </c>
      <c r="K18" s="184">
        <v>6.3333115839929292E-4</v>
      </c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</row>
    <row r="19" spans="1:27" ht="30" customHeight="1">
      <c r="A19" s="2846" t="s">
        <v>96</v>
      </c>
      <c r="B19" s="2847"/>
      <c r="C19" s="174" t="s">
        <v>113</v>
      </c>
      <c r="D19" s="217">
        <v>24523.304</v>
      </c>
      <c r="E19" s="218">
        <v>24866.375</v>
      </c>
      <c r="F19" s="219">
        <v>343.07099999999991</v>
      </c>
      <c r="G19" s="198">
        <v>1.398959128835168E-2</v>
      </c>
      <c r="H19" s="220">
        <v>24523.304</v>
      </c>
      <c r="I19" s="221">
        <v>24866.375</v>
      </c>
      <c r="J19" s="221">
        <v>343.07099999999991</v>
      </c>
      <c r="K19" s="198">
        <v>1.398959128835168E-2</v>
      </c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20.100000000000001" customHeight="1">
      <c r="B20" s="222"/>
      <c r="C20" s="223"/>
      <c r="D20" s="224"/>
      <c r="E20" s="224"/>
      <c r="F20" s="224"/>
      <c r="G20" s="224"/>
      <c r="H20" s="224"/>
      <c r="I20" s="224"/>
      <c r="J20" s="224"/>
      <c r="K20" s="224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</row>
    <row r="21" spans="1:27" ht="17.100000000000001" customHeight="1">
      <c r="A21" s="225" t="s">
        <v>115</v>
      </c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</row>
    <row r="22" spans="1:27" ht="30" customHeight="1">
      <c r="A22" s="2848" t="s">
        <v>116</v>
      </c>
      <c r="B22" s="2849"/>
      <c r="C22" s="226" t="s">
        <v>117</v>
      </c>
      <c r="D22" s="227" t="s">
        <v>118</v>
      </c>
      <c r="E22" s="227" t="s">
        <v>119</v>
      </c>
      <c r="F22" s="227" t="s">
        <v>120</v>
      </c>
      <c r="G22" s="227" t="s">
        <v>121</v>
      </c>
      <c r="H22" s="227" t="s">
        <v>122</v>
      </c>
      <c r="I22" s="228" t="s">
        <v>123</v>
      </c>
      <c r="J22" s="228" t="s">
        <v>124</v>
      </c>
      <c r="K22" s="229" t="s">
        <v>125</v>
      </c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</row>
    <row r="23" spans="1:27" ht="30" customHeight="1">
      <c r="A23" s="230"/>
      <c r="B23" s="231" t="s">
        <v>126</v>
      </c>
      <c r="C23" s="232">
        <v>50.548000000000002</v>
      </c>
      <c r="D23" s="233">
        <v>162.923</v>
      </c>
      <c r="E23" s="233">
        <v>175.524</v>
      </c>
      <c r="F23" s="233">
        <v>394.96699999999998</v>
      </c>
      <c r="G23" s="233">
        <v>296.74432727483554</v>
      </c>
      <c r="H23" s="233">
        <v>192.74376199299368</v>
      </c>
      <c r="I23" s="233">
        <v>288.93099999999998</v>
      </c>
      <c r="J23" s="234">
        <v>195.48510915961464</v>
      </c>
      <c r="K23" s="235">
        <v>184.42033330827718</v>
      </c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</row>
    <row r="24" spans="1:27" ht="30" customHeight="1">
      <c r="A24" s="236"/>
      <c r="B24" s="237" t="s">
        <v>134</v>
      </c>
      <c r="C24" s="238">
        <v>52.581000000000003</v>
      </c>
      <c r="D24" s="239">
        <v>157.97399999999999</v>
      </c>
      <c r="E24" s="239">
        <v>202.71199999999999</v>
      </c>
      <c r="F24" s="239">
        <v>304.02300000000002</v>
      </c>
      <c r="G24" s="239">
        <v>240.49208834536694</v>
      </c>
      <c r="H24" s="239">
        <v>210.73313260850611</v>
      </c>
      <c r="I24" s="239">
        <v>277.83499999999998</v>
      </c>
      <c r="J24" s="240">
        <v>199.86397993783382</v>
      </c>
      <c r="K24" s="241">
        <v>195.46431458253866</v>
      </c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</row>
    <row r="25" spans="1:27" ht="20.100000000000001" customHeight="1">
      <c r="A25" s="106" t="s">
        <v>135</v>
      </c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</row>
    <row r="26" spans="1:27" ht="20.100000000000001" customHeight="1">
      <c r="A26" s="106" t="s">
        <v>136</v>
      </c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</row>
    <row r="27" spans="1:27" ht="20.100000000000001" customHeight="1">
      <c r="A27" s="106" t="s">
        <v>137</v>
      </c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</row>
    <row r="28" spans="1:27"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</row>
    <row r="29" spans="1:27"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</row>
    <row r="30" spans="1:27"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</row>
    <row r="31" spans="1:27"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</row>
    <row r="32" spans="1:27"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2:27"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</row>
    <row r="34" spans="12:27"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</row>
    <row r="35" spans="12:27"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</row>
    <row r="36" spans="12:27"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</row>
    <row r="37" spans="12:27"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</row>
    <row r="38" spans="12:27"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</row>
    <row r="39" spans="12:27"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</row>
    <row r="40" spans="12:27"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</row>
    <row r="41" spans="12:27"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</row>
    <row r="42" spans="12:27"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</row>
    <row r="43" spans="12:27"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</row>
    <row r="44" spans="12:27"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</row>
  </sheetData>
  <mergeCells count="11">
    <mergeCell ref="A9:B9"/>
    <mergeCell ref="A5:C6"/>
    <mergeCell ref="D5:G5"/>
    <mergeCell ref="H5:K5"/>
    <mergeCell ref="A7:B7"/>
    <mergeCell ref="A8:B8"/>
    <mergeCell ref="A19:B19"/>
    <mergeCell ref="A22:B22"/>
    <mergeCell ref="A11:B11"/>
    <mergeCell ref="A14:B14"/>
    <mergeCell ref="A15:B1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10" orientation="portrait" useFirstPageNumber="1" r:id="rId1"/>
  <headerFooter differentOddEven="1"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4"/>
  <sheetViews>
    <sheetView view="pageBreakPreview" zoomScale="60" zoomScaleNormal="100" workbookViewId="0">
      <selection activeCell="F26" sqref="F26"/>
    </sheetView>
  </sheetViews>
  <sheetFormatPr defaultColWidth="10" defaultRowHeight="16.5"/>
  <cols>
    <col min="1" max="2" width="10" style="142"/>
    <col min="3" max="3" width="6" style="142" customWidth="1"/>
    <col min="4" max="4" width="7.125" style="142" customWidth="1"/>
    <col min="5" max="5" width="19" style="142" customWidth="1"/>
    <col min="6" max="6" width="33.875" style="142" customWidth="1"/>
    <col min="7" max="16384" width="10" style="142"/>
  </cols>
  <sheetData>
    <row r="1" spans="3:6" ht="206.25" customHeight="1"/>
    <row r="2" spans="3:6" ht="7.5" customHeight="1">
      <c r="C2" s="242" t="s">
        <v>0</v>
      </c>
      <c r="D2" s="242" t="s">
        <v>0</v>
      </c>
      <c r="E2" s="243" t="s">
        <v>0</v>
      </c>
      <c r="F2" s="244" t="s">
        <v>0</v>
      </c>
    </row>
    <row r="3" spans="3:6" ht="8.25" customHeight="1"/>
    <row r="4" spans="3:6" ht="39">
      <c r="D4" s="245" t="s">
        <v>142</v>
      </c>
    </row>
    <row r="6" spans="3:6" ht="30" customHeight="1">
      <c r="E6" s="246" t="s">
        <v>143</v>
      </c>
    </row>
    <row r="7" spans="3:6" ht="9.9499999999999993" customHeight="1">
      <c r="E7" s="246"/>
    </row>
    <row r="8" spans="3:6" ht="30" customHeight="1">
      <c r="E8" s="246" t="s">
        <v>144</v>
      </c>
    </row>
    <row r="9" spans="3:6" ht="9.9499999999999993" customHeight="1">
      <c r="E9" s="247"/>
    </row>
    <row r="10" spans="3:6" ht="30" customHeight="1">
      <c r="E10" s="246" t="s">
        <v>145</v>
      </c>
    </row>
    <row r="11" spans="3:6" ht="9.9499999999999993" customHeight="1">
      <c r="E11" s="247"/>
    </row>
    <row r="12" spans="3:6" ht="30" customHeight="1">
      <c r="E12" s="246" t="s">
        <v>146</v>
      </c>
    </row>
    <row r="13" spans="3:6" ht="9.9499999999999993" customHeight="1">
      <c r="E13" s="247"/>
    </row>
    <row r="14" spans="3:6" ht="30" customHeight="1">
      <c r="E14" s="246" t="s">
        <v>147</v>
      </c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11" orientation="portrait" useFirstPageNumber="1" r:id="rId1"/>
  <headerFooter differentOddEven="1" scaleWithDoc="0" alignWithMargins="0">
    <firstFooter>&amp;R&amp;P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4"/>
  <sheetViews>
    <sheetView showGridLines="0" view="pageBreakPreview" zoomScaleNormal="100" zoomScaleSheetLayoutView="100" workbookViewId="0">
      <pane xSplit="1" ySplit="6" topLeftCell="B19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7.875" defaultRowHeight="13.5"/>
  <cols>
    <col min="1" max="1" width="6.5" style="260" customWidth="1"/>
    <col min="2" max="3" width="5.375" style="260" customWidth="1"/>
    <col min="4" max="4" width="6" style="260" customWidth="1"/>
    <col min="5" max="6" width="5.375" style="260" customWidth="1"/>
    <col min="7" max="8" width="6" style="260" customWidth="1"/>
    <col min="9" max="9" width="5.375" style="260" customWidth="1"/>
    <col min="10" max="10" width="6" style="260" customWidth="1"/>
    <col min="11" max="11" width="5.375" style="260" customWidth="1"/>
    <col min="12" max="12" width="4.5" style="260" customWidth="1"/>
    <col min="13" max="13" width="6" style="260" customWidth="1"/>
    <col min="14" max="16" width="5.375" style="260" customWidth="1"/>
    <col min="17" max="17" width="4.875" style="260" customWidth="1"/>
    <col min="18" max="19" width="6" style="260" customWidth="1"/>
    <col min="20" max="20" width="4.875" style="260" customWidth="1"/>
    <col min="21" max="21" width="6" style="260" customWidth="1"/>
    <col min="22" max="23" width="5.375" style="260" customWidth="1"/>
    <col min="24" max="24" width="6" style="260" customWidth="1"/>
    <col min="25" max="26" width="5.375" style="260" customWidth="1"/>
    <col min="27" max="28" width="6" style="260" customWidth="1"/>
    <col min="29" max="29" width="4.875" style="260" customWidth="1"/>
    <col min="30" max="31" width="6" style="260" customWidth="1"/>
    <col min="32" max="32" width="4.875" style="260" customWidth="1"/>
    <col min="33" max="33" width="6.75" style="315" customWidth="1"/>
    <col min="34" max="16384" width="7.875" style="260"/>
  </cols>
  <sheetData>
    <row r="1" spans="1:33" s="251" customFormat="1" ht="20.25">
      <c r="A1" s="248" t="s">
        <v>148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50"/>
      <c r="AE1" s="250"/>
      <c r="AF1" s="250"/>
      <c r="AG1" s="250"/>
    </row>
    <row r="2" spans="1:33" s="254" customFormat="1" ht="17.25">
      <c r="A2" s="252" t="s">
        <v>149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3"/>
      <c r="N2" s="252"/>
      <c r="O2" s="253"/>
      <c r="P2" s="253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0"/>
      <c r="AE2" s="250"/>
      <c r="AF2" s="250"/>
      <c r="AG2" s="250"/>
    </row>
    <row r="3" spans="1:33" s="251" customFormat="1" ht="15" customHeight="1">
      <c r="A3" s="250"/>
      <c r="B3" s="250"/>
      <c r="C3" s="250"/>
      <c r="D3" s="255"/>
      <c r="E3" s="255"/>
      <c r="F3" s="250"/>
      <c r="G3" s="250"/>
      <c r="H3" s="256"/>
      <c r="I3" s="257"/>
      <c r="J3" s="250"/>
      <c r="K3" s="250"/>
      <c r="L3" s="250"/>
      <c r="M3" s="257"/>
      <c r="N3" s="2880"/>
      <c r="O3" s="2880"/>
      <c r="P3" s="12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8"/>
      <c r="AB3" s="258"/>
      <c r="AC3" s="258"/>
      <c r="AD3" s="249"/>
      <c r="AE3" s="258"/>
      <c r="AF3" s="258"/>
      <c r="AG3" s="259" t="s">
        <v>150</v>
      </c>
    </row>
    <row r="4" spans="1:33" ht="20.100000000000001" customHeight="1">
      <c r="A4" s="2881" t="s">
        <v>65</v>
      </c>
      <c r="B4" s="2884" t="s">
        <v>151</v>
      </c>
      <c r="C4" s="2884"/>
      <c r="D4" s="2884"/>
      <c r="E4" s="2884"/>
      <c r="F4" s="2884"/>
      <c r="G4" s="2884"/>
      <c r="H4" s="2884"/>
      <c r="I4" s="2884"/>
      <c r="J4" s="2884"/>
      <c r="K4" s="2884"/>
      <c r="L4" s="2884"/>
      <c r="M4" s="2885"/>
      <c r="N4" s="2886" t="s">
        <v>152</v>
      </c>
      <c r="O4" s="2884"/>
      <c r="P4" s="2884"/>
      <c r="Q4" s="2884"/>
      <c r="R4" s="2884" t="s">
        <v>153</v>
      </c>
      <c r="S4" s="2884"/>
      <c r="T4" s="2884"/>
      <c r="U4" s="2885"/>
      <c r="V4" s="2884" t="s">
        <v>154</v>
      </c>
      <c r="W4" s="2884"/>
      <c r="X4" s="2884"/>
      <c r="Y4" s="2884"/>
      <c r="Z4" s="2884"/>
      <c r="AA4" s="2884"/>
      <c r="AB4" s="2884"/>
      <c r="AC4" s="2884"/>
      <c r="AD4" s="2884"/>
      <c r="AE4" s="2884"/>
      <c r="AF4" s="2884"/>
      <c r="AG4" s="2885"/>
    </row>
    <row r="5" spans="1:33" ht="20.100000000000001" customHeight="1">
      <c r="A5" s="2882"/>
      <c r="B5" s="2872" t="s">
        <v>155</v>
      </c>
      <c r="C5" s="2874" t="s">
        <v>156</v>
      </c>
      <c r="D5" s="2875"/>
      <c r="E5" s="2875"/>
      <c r="F5" s="2875"/>
      <c r="G5" s="2876"/>
      <c r="H5" s="2866" t="s">
        <v>157</v>
      </c>
      <c r="I5" s="2864" t="s">
        <v>158</v>
      </c>
      <c r="J5" s="2864" t="s">
        <v>13</v>
      </c>
      <c r="K5" s="2868" t="s">
        <v>159</v>
      </c>
      <c r="L5" s="2868" t="s">
        <v>160</v>
      </c>
      <c r="M5" s="2870" t="s">
        <v>161</v>
      </c>
      <c r="N5" s="2872" t="s">
        <v>162</v>
      </c>
      <c r="O5" s="2877" t="s">
        <v>163</v>
      </c>
      <c r="P5" s="2878"/>
      <c r="Q5" s="2879"/>
      <c r="R5" s="2866" t="s">
        <v>164</v>
      </c>
      <c r="S5" s="2868" t="s">
        <v>159</v>
      </c>
      <c r="T5" s="2868" t="s">
        <v>160</v>
      </c>
      <c r="U5" s="2870" t="s">
        <v>161</v>
      </c>
      <c r="V5" s="2872" t="s">
        <v>155</v>
      </c>
      <c r="W5" s="2874" t="s">
        <v>165</v>
      </c>
      <c r="X5" s="2875"/>
      <c r="Y5" s="2875"/>
      <c r="Z5" s="2875"/>
      <c r="AA5" s="2876"/>
      <c r="AB5" s="2864" t="s">
        <v>164</v>
      </c>
      <c r="AC5" s="2864" t="s">
        <v>158</v>
      </c>
      <c r="AD5" s="2866" t="s">
        <v>13</v>
      </c>
      <c r="AE5" s="2868" t="s">
        <v>159</v>
      </c>
      <c r="AF5" s="2868" t="s">
        <v>160</v>
      </c>
      <c r="AG5" s="2870" t="s">
        <v>161</v>
      </c>
    </row>
    <row r="6" spans="1:33" ht="20.100000000000001" customHeight="1">
      <c r="A6" s="2883"/>
      <c r="B6" s="2873"/>
      <c r="C6" s="261" t="s">
        <v>128</v>
      </c>
      <c r="D6" s="261" t="s">
        <v>127</v>
      </c>
      <c r="E6" s="261" t="s">
        <v>166</v>
      </c>
      <c r="F6" s="261" t="s">
        <v>167</v>
      </c>
      <c r="G6" s="261" t="s">
        <v>168</v>
      </c>
      <c r="H6" s="2867"/>
      <c r="I6" s="2865"/>
      <c r="J6" s="2865"/>
      <c r="K6" s="2867"/>
      <c r="L6" s="2869"/>
      <c r="M6" s="2871"/>
      <c r="N6" s="2873"/>
      <c r="O6" s="261" t="s">
        <v>127</v>
      </c>
      <c r="P6" s="261" t="s">
        <v>166</v>
      </c>
      <c r="Q6" s="261" t="s">
        <v>167</v>
      </c>
      <c r="R6" s="2867"/>
      <c r="S6" s="2867"/>
      <c r="T6" s="2869"/>
      <c r="U6" s="2871"/>
      <c r="V6" s="2873"/>
      <c r="W6" s="261" t="s">
        <v>128</v>
      </c>
      <c r="X6" s="261" t="s">
        <v>127</v>
      </c>
      <c r="Y6" s="261" t="s">
        <v>169</v>
      </c>
      <c r="Z6" s="261" t="s">
        <v>170</v>
      </c>
      <c r="AA6" s="261" t="s">
        <v>161</v>
      </c>
      <c r="AB6" s="2865"/>
      <c r="AC6" s="2865"/>
      <c r="AD6" s="2867"/>
      <c r="AE6" s="2867"/>
      <c r="AF6" s="2869"/>
      <c r="AG6" s="2871"/>
    </row>
    <row r="7" spans="1:33" ht="24.95" customHeight="1">
      <c r="A7" s="262">
        <v>2011</v>
      </c>
      <c r="B7" s="263">
        <v>5327.0519999999997</v>
      </c>
      <c r="C7" s="264">
        <v>1125</v>
      </c>
      <c r="D7" s="264">
        <v>23080</v>
      </c>
      <c r="E7" s="264">
        <v>4576.1260000000002</v>
      </c>
      <c r="F7" s="264">
        <v>887.5</v>
      </c>
      <c r="G7" s="264">
        <v>29668.626</v>
      </c>
      <c r="H7" s="264">
        <v>12935.911</v>
      </c>
      <c r="I7" s="264">
        <v>355.45</v>
      </c>
      <c r="J7" s="264">
        <v>18715.683000000001</v>
      </c>
      <c r="K7" s="264">
        <v>0</v>
      </c>
      <c r="L7" s="265" t="s">
        <v>171</v>
      </c>
      <c r="M7" s="266">
        <v>67002.721999999994</v>
      </c>
      <c r="N7" s="263">
        <v>1091.337</v>
      </c>
      <c r="O7" s="264" t="s">
        <v>171</v>
      </c>
      <c r="P7" s="267">
        <v>4384.3580000000002</v>
      </c>
      <c r="Q7" s="264" t="s">
        <v>171</v>
      </c>
      <c r="R7" s="264">
        <v>6863.45</v>
      </c>
      <c r="S7" s="264">
        <v>0</v>
      </c>
      <c r="T7" s="268" t="s">
        <v>171</v>
      </c>
      <c r="U7" s="266">
        <v>12339.145</v>
      </c>
      <c r="V7" s="267">
        <v>6418.3890000000001</v>
      </c>
      <c r="W7" s="264">
        <v>1125</v>
      </c>
      <c r="X7" s="264">
        <v>23080</v>
      </c>
      <c r="Y7" s="264">
        <v>8960.4840000000004</v>
      </c>
      <c r="Z7" s="264">
        <v>887.5</v>
      </c>
      <c r="AA7" s="264">
        <v>34052.983999999997</v>
      </c>
      <c r="AB7" s="264">
        <v>19799.361000000001</v>
      </c>
      <c r="AC7" s="264">
        <v>355.45</v>
      </c>
      <c r="AD7" s="264">
        <v>18715.683000000001</v>
      </c>
      <c r="AE7" s="264">
        <v>0</v>
      </c>
      <c r="AF7" s="268" t="s">
        <v>171</v>
      </c>
      <c r="AG7" s="266">
        <v>79341.866999999998</v>
      </c>
    </row>
    <row r="8" spans="1:33" ht="24.95" customHeight="1">
      <c r="A8" s="262">
        <v>2012</v>
      </c>
      <c r="B8" s="267">
        <v>5330.7969999999996</v>
      </c>
      <c r="C8" s="267">
        <v>1125</v>
      </c>
      <c r="D8" s="267">
        <v>23408.6</v>
      </c>
      <c r="E8" s="267">
        <v>3950</v>
      </c>
      <c r="F8" s="267">
        <v>887.5</v>
      </c>
      <c r="G8" s="267">
        <v>29371.1</v>
      </c>
      <c r="H8" s="267">
        <v>12935.911</v>
      </c>
      <c r="I8" s="267">
        <v>367.34</v>
      </c>
      <c r="J8" s="267">
        <v>20715.683000000001</v>
      </c>
      <c r="K8" s="267">
        <v>127.277</v>
      </c>
      <c r="L8" s="265" t="s">
        <v>171</v>
      </c>
      <c r="M8" s="266">
        <v>68848.107999999993</v>
      </c>
      <c r="N8" s="267">
        <v>1115.2329999999999</v>
      </c>
      <c r="O8" s="264" t="s">
        <v>171</v>
      </c>
      <c r="P8" s="267">
        <v>2768.0120000000002</v>
      </c>
      <c r="Q8" s="264" t="s">
        <v>171</v>
      </c>
      <c r="R8" s="264">
        <v>6863.45</v>
      </c>
      <c r="S8" s="267">
        <v>2210.7730000000001</v>
      </c>
      <c r="T8" s="269" t="s">
        <v>171</v>
      </c>
      <c r="U8" s="266">
        <v>12957.468000000001</v>
      </c>
      <c r="V8" s="263">
        <v>6446.03</v>
      </c>
      <c r="W8" s="267">
        <v>1125</v>
      </c>
      <c r="X8" s="267">
        <v>23408.6</v>
      </c>
      <c r="Y8" s="267">
        <v>6718.0119999999997</v>
      </c>
      <c r="Z8" s="267">
        <v>887.5</v>
      </c>
      <c r="AA8" s="267">
        <v>32139.112000000001</v>
      </c>
      <c r="AB8" s="267">
        <v>19799.361000000001</v>
      </c>
      <c r="AC8" s="267">
        <v>367.34</v>
      </c>
      <c r="AD8" s="267">
        <v>20715.683000000001</v>
      </c>
      <c r="AE8" s="267">
        <v>2338.0500000000002</v>
      </c>
      <c r="AF8" s="268" t="s">
        <v>171</v>
      </c>
      <c r="AG8" s="266">
        <v>81805.576000000001</v>
      </c>
    </row>
    <row r="9" spans="1:33" ht="24.95" customHeight="1">
      <c r="A9" s="262">
        <v>2013</v>
      </c>
      <c r="B9" s="267">
        <v>5334.2969999999996</v>
      </c>
      <c r="C9" s="264">
        <v>1125</v>
      </c>
      <c r="D9" s="264">
        <v>23408.6</v>
      </c>
      <c r="E9" s="264">
        <v>3950</v>
      </c>
      <c r="F9" s="264">
        <v>887.5</v>
      </c>
      <c r="G9" s="264">
        <v>29371.1</v>
      </c>
      <c r="H9" s="264">
        <v>14886.352000000001</v>
      </c>
      <c r="I9" s="264">
        <v>329.69</v>
      </c>
      <c r="J9" s="264">
        <v>20715.683000000001</v>
      </c>
      <c r="K9" s="264">
        <v>208.172</v>
      </c>
      <c r="L9" s="265" t="s">
        <v>171</v>
      </c>
      <c r="M9" s="266">
        <v>70845.293999999994</v>
      </c>
      <c r="N9" s="263">
        <v>1120.165</v>
      </c>
      <c r="O9" s="264" t="s">
        <v>171</v>
      </c>
      <c r="P9" s="267">
        <v>3106.0680000000002</v>
      </c>
      <c r="Q9" s="264" t="s">
        <v>171</v>
      </c>
      <c r="R9" s="264">
        <v>8586.8799999999992</v>
      </c>
      <c r="S9" s="264">
        <v>3310.53</v>
      </c>
      <c r="T9" s="268" t="s">
        <v>171</v>
      </c>
      <c r="U9" s="266">
        <v>16123.643</v>
      </c>
      <c r="V9" s="267">
        <v>6454.4620000000004</v>
      </c>
      <c r="W9" s="264">
        <v>1125</v>
      </c>
      <c r="X9" s="264">
        <v>23408.6</v>
      </c>
      <c r="Y9" s="264">
        <v>7056.0680000000002</v>
      </c>
      <c r="Z9" s="264">
        <v>887.5</v>
      </c>
      <c r="AA9" s="264">
        <v>32477.168000000001</v>
      </c>
      <c r="AB9" s="264">
        <v>23473.232</v>
      </c>
      <c r="AC9" s="264">
        <v>329.69</v>
      </c>
      <c r="AD9" s="264">
        <v>20715.683000000001</v>
      </c>
      <c r="AE9" s="264">
        <v>3518.7020000000002</v>
      </c>
      <c r="AF9" s="268" t="s">
        <v>171</v>
      </c>
      <c r="AG9" s="266">
        <v>86968.937000000005</v>
      </c>
    </row>
    <row r="10" spans="1:33" ht="24.95" customHeight="1">
      <c r="A10" s="262">
        <v>2014</v>
      </c>
      <c r="B10" s="267">
        <v>5343.4970000000003</v>
      </c>
      <c r="C10" s="264">
        <v>1125</v>
      </c>
      <c r="D10" s="264">
        <v>25148.6</v>
      </c>
      <c r="E10" s="264">
        <v>2950</v>
      </c>
      <c r="F10" s="264">
        <v>387.5</v>
      </c>
      <c r="G10" s="264">
        <v>29611.1</v>
      </c>
      <c r="H10" s="264">
        <v>16073.752</v>
      </c>
      <c r="I10" s="264">
        <v>329.69</v>
      </c>
      <c r="J10" s="264">
        <v>20715.683000000001</v>
      </c>
      <c r="K10" s="264">
        <v>231.482</v>
      </c>
      <c r="L10" s="265" t="s">
        <v>171</v>
      </c>
      <c r="M10" s="266">
        <v>72305.203999999998</v>
      </c>
      <c r="N10" s="263">
        <v>1124.4390000000001</v>
      </c>
      <c r="O10" s="264" t="s">
        <v>171</v>
      </c>
      <c r="P10" s="267">
        <v>3791.0680000000002</v>
      </c>
      <c r="Q10" s="264" t="s">
        <v>171</v>
      </c>
      <c r="R10" s="264">
        <v>11752.58</v>
      </c>
      <c r="S10" s="264">
        <v>4242.4629999999997</v>
      </c>
      <c r="T10" s="268" t="s">
        <v>171</v>
      </c>
      <c r="U10" s="266">
        <v>20910.55</v>
      </c>
      <c r="V10" s="267">
        <v>6467.9359999999997</v>
      </c>
      <c r="W10" s="264">
        <v>1125</v>
      </c>
      <c r="X10" s="264">
        <v>25148.6</v>
      </c>
      <c r="Y10" s="264">
        <v>6741.0680000000002</v>
      </c>
      <c r="Z10" s="264">
        <v>387.5</v>
      </c>
      <c r="AA10" s="264">
        <v>33402.167999999998</v>
      </c>
      <c r="AB10" s="264">
        <v>27826.331999999999</v>
      </c>
      <c r="AC10" s="264">
        <v>329.69</v>
      </c>
      <c r="AD10" s="264">
        <v>20715.683000000001</v>
      </c>
      <c r="AE10" s="264">
        <v>4473.9459999999999</v>
      </c>
      <c r="AF10" s="268" t="s">
        <v>171</v>
      </c>
      <c r="AG10" s="266">
        <v>93215.755000000005</v>
      </c>
    </row>
    <row r="11" spans="1:33" ht="24.95" customHeight="1">
      <c r="A11" s="262">
        <v>2015</v>
      </c>
      <c r="B11" s="267">
        <v>5344.7269999999999</v>
      </c>
      <c r="C11" s="264">
        <v>1125</v>
      </c>
      <c r="D11" s="264">
        <v>25148.6</v>
      </c>
      <c r="E11" s="264">
        <v>2950</v>
      </c>
      <c r="F11" s="264">
        <v>387.5</v>
      </c>
      <c r="G11" s="264">
        <v>29611.1</v>
      </c>
      <c r="H11" s="264">
        <v>16018.352000000001</v>
      </c>
      <c r="I11" s="264">
        <v>329.69</v>
      </c>
      <c r="J11" s="264">
        <v>21715.683000000001</v>
      </c>
      <c r="K11" s="264">
        <v>262.55900000000003</v>
      </c>
      <c r="L11" s="265" t="s">
        <v>171</v>
      </c>
      <c r="M11" s="266">
        <v>73282.111000000004</v>
      </c>
      <c r="N11" s="263">
        <v>1125.982</v>
      </c>
      <c r="O11" s="264" t="s">
        <v>171</v>
      </c>
      <c r="P11" s="267">
        <v>4829.5789999999997</v>
      </c>
      <c r="Q11" s="264" t="s">
        <v>171</v>
      </c>
      <c r="R11" s="264">
        <v>13024.28</v>
      </c>
      <c r="S11" s="264">
        <v>5386.808</v>
      </c>
      <c r="T11" s="268" t="s">
        <v>171</v>
      </c>
      <c r="U11" s="266">
        <v>24366.649000000001</v>
      </c>
      <c r="V11" s="267">
        <v>6470.7089999999998</v>
      </c>
      <c r="W11" s="264">
        <v>1125</v>
      </c>
      <c r="X11" s="264">
        <v>25148.6</v>
      </c>
      <c r="Y11" s="264">
        <v>7779.5789999999997</v>
      </c>
      <c r="Z11" s="264">
        <v>387.5</v>
      </c>
      <c r="AA11" s="264">
        <v>34440.678999999996</v>
      </c>
      <c r="AB11" s="264">
        <v>29042.632000000001</v>
      </c>
      <c r="AC11" s="264">
        <v>329.69</v>
      </c>
      <c r="AD11" s="264">
        <v>21715.683000000001</v>
      </c>
      <c r="AE11" s="264">
        <v>5649.3670000000002</v>
      </c>
      <c r="AF11" s="268" t="s">
        <v>171</v>
      </c>
      <c r="AG11" s="266">
        <v>97648.76</v>
      </c>
    </row>
    <row r="12" spans="1:33" ht="24.95" customHeight="1">
      <c r="A12" s="262">
        <v>2016</v>
      </c>
      <c r="B12" s="270">
        <v>5349.7269999999999</v>
      </c>
      <c r="C12" s="271">
        <v>1125</v>
      </c>
      <c r="D12" s="271">
        <v>29420.799999999999</v>
      </c>
      <c r="E12" s="271">
        <v>2950</v>
      </c>
      <c r="F12" s="271">
        <v>250</v>
      </c>
      <c r="G12" s="271">
        <v>33745.800000000003</v>
      </c>
      <c r="H12" s="271">
        <v>16018.352000000001</v>
      </c>
      <c r="I12" s="271">
        <v>329.44</v>
      </c>
      <c r="J12" s="271">
        <v>23115.683000000001</v>
      </c>
      <c r="K12" s="271">
        <v>657.54200000000003</v>
      </c>
      <c r="L12" s="265" t="s">
        <v>171</v>
      </c>
      <c r="M12" s="272">
        <v>79216.543999999994</v>
      </c>
      <c r="N12" s="270">
        <v>1135.4839999999999</v>
      </c>
      <c r="O12" s="264">
        <v>1489.2239999999999</v>
      </c>
      <c r="P12" s="273">
        <v>278.7</v>
      </c>
      <c r="Q12" s="264">
        <v>241.81</v>
      </c>
      <c r="R12" s="271">
        <v>16684.249</v>
      </c>
      <c r="S12" s="271">
        <v>6819.5460000000003</v>
      </c>
      <c r="T12" s="268" t="s">
        <v>171</v>
      </c>
      <c r="U12" s="274">
        <v>26649.012999999999</v>
      </c>
      <c r="V12" s="270">
        <v>6485.2110000000002</v>
      </c>
      <c r="W12" s="271">
        <v>1125</v>
      </c>
      <c r="X12" s="271">
        <v>30910.024000000001</v>
      </c>
      <c r="Y12" s="271">
        <v>3228.7</v>
      </c>
      <c r="Z12" s="271">
        <v>491.81</v>
      </c>
      <c r="AA12" s="271">
        <v>35755.534</v>
      </c>
      <c r="AB12" s="271">
        <v>32702.600999999999</v>
      </c>
      <c r="AC12" s="271">
        <v>329.44</v>
      </c>
      <c r="AD12" s="271">
        <v>23115.683000000001</v>
      </c>
      <c r="AE12" s="271">
        <v>7477.0879999999997</v>
      </c>
      <c r="AF12" s="268" t="s">
        <v>171</v>
      </c>
      <c r="AG12" s="272">
        <v>105865.557</v>
      </c>
    </row>
    <row r="13" spans="1:33" ht="24.95" customHeight="1">
      <c r="A13" s="262">
        <v>2017</v>
      </c>
      <c r="B13" s="270">
        <v>5351.4769999999999</v>
      </c>
      <c r="C13" s="271">
        <v>600</v>
      </c>
      <c r="D13" s="271">
        <v>33524.578000000001</v>
      </c>
      <c r="E13" s="271">
        <v>2950</v>
      </c>
      <c r="F13" s="271" t="s">
        <v>171</v>
      </c>
      <c r="G13" s="271">
        <v>37074.578000000001</v>
      </c>
      <c r="H13" s="271">
        <v>16018.352000000001</v>
      </c>
      <c r="I13" s="271">
        <v>339.47</v>
      </c>
      <c r="J13" s="271">
        <v>22528.683000000001</v>
      </c>
      <c r="K13" s="271">
        <v>819.93</v>
      </c>
      <c r="L13" s="265" t="s">
        <v>171</v>
      </c>
      <c r="M13" s="272">
        <v>82132.490000000005</v>
      </c>
      <c r="N13" s="270">
        <v>1137.979</v>
      </c>
      <c r="O13" s="264">
        <v>2584.8240000000001</v>
      </c>
      <c r="P13" s="273">
        <v>278.7</v>
      </c>
      <c r="Q13" s="264">
        <v>196.3</v>
      </c>
      <c r="R13" s="271">
        <v>22210.355</v>
      </c>
      <c r="S13" s="271">
        <v>8366.9920000000002</v>
      </c>
      <c r="T13" s="268" t="s">
        <v>171</v>
      </c>
      <c r="U13" s="274">
        <v>34775.15</v>
      </c>
      <c r="V13" s="270">
        <v>6489.4560000000001</v>
      </c>
      <c r="W13" s="271">
        <v>600</v>
      </c>
      <c r="X13" s="271">
        <v>36109.402000000002</v>
      </c>
      <c r="Y13" s="271">
        <v>3228.7</v>
      </c>
      <c r="Z13" s="271">
        <v>196.3</v>
      </c>
      <c r="AA13" s="271">
        <v>40134.402000000002</v>
      </c>
      <c r="AB13" s="271">
        <v>38228.707000000002</v>
      </c>
      <c r="AC13" s="271">
        <v>339.47</v>
      </c>
      <c r="AD13" s="271">
        <v>22528.683000000001</v>
      </c>
      <c r="AE13" s="271">
        <v>9186.9230000000007</v>
      </c>
      <c r="AF13" s="268" t="s">
        <v>171</v>
      </c>
      <c r="AG13" s="272">
        <v>116907.641</v>
      </c>
    </row>
    <row r="14" spans="1:33" ht="24.95" customHeight="1">
      <c r="A14" s="275">
        <v>2018</v>
      </c>
      <c r="B14" s="276">
        <v>5351.6319999999996</v>
      </c>
      <c r="C14" s="277">
        <v>600</v>
      </c>
      <c r="D14" s="277">
        <v>33617.612999999998</v>
      </c>
      <c r="E14" s="277">
        <v>2950</v>
      </c>
      <c r="F14" s="265" t="s">
        <v>171</v>
      </c>
      <c r="G14" s="277">
        <v>37167.612999999998</v>
      </c>
      <c r="H14" s="277">
        <v>15725.798000000001</v>
      </c>
      <c r="I14" s="277">
        <v>339.47</v>
      </c>
      <c r="J14" s="277">
        <v>21850</v>
      </c>
      <c r="K14" s="277">
        <v>927.91200000000003</v>
      </c>
      <c r="L14" s="265" t="s">
        <v>171</v>
      </c>
      <c r="M14" s="278">
        <v>81362.425000000003</v>
      </c>
      <c r="N14" s="276">
        <v>1138.778</v>
      </c>
      <c r="O14" s="277">
        <v>2752.7240000000002</v>
      </c>
      <c r="P14" s="279">
        <v>259.3</v>
      </c>
      <c r="Q14" s="277">
        <v>196.3</v>
      </c>
      <c r="R14" s="277">
        <v>22687.235000000001</v>
      </c>
      <c r="S14" s="277">
        <v>10694.897000000001</v>
      </c>
      <c r="T14" s="268" t="s">
        <v>171</v>
      </c>
      <c r="U14" s="278">
        <v>37729.233999999997</v>
      </c>
      <c r="V14" s="276">
        <v>6490.41</v>
      </c>
      <c r="W14" s="277">
        <v>600</v>
      </c>
      <c r="X14" s="277">
        <v>36370.337</v>
      </c>
      <c r="Y14" s="277">
        <v>3209.3</v>
      </c>
      <c r="Z14" s="277">
        <v>196.3</v>
      </c>
      <c r="AA14" s="277">
        <v>40375.936999999998</v>
      </c>
      <c r="AB14" s="277">
        <v>38413.033000000003</v>
      </c>
      <c r="AC14" s="277">
        <v>339.47</v>
      </c>
      <c r="AD14" s="277">
        <v>21850</v>
      </c>
      <c r="AE14" s="277">
        <v>11622.808999999999</v>
      </c>
      <c r="AF14" s="268" t="s">
        <v>171</v>
      </c>
      <c r="AG14" s="278">
        <v>119091.66</v>
      </c>
    </row>
    <row r="15" spans="1:33" ht="24.95" customHeight="1">
      <c r="A15" s="275">
        <v>2019</v>
      </c>
      <c r="B15" s="276">
        <v>5351.6570000000002</v>
      </c>
      <c r="C15" s="277">
        <v>600</v>
      </c>
      <c r="D15" s="277">
        <v>33710.658000000003</v>
      </c>
      <c r="E15" s="277">
        <v>2600</v>
      </c>
      <c r="F15" s="264" t="s">
        <v>171</v>
      </c>
      <c r="G15" s="277">
        <v>36910.658000000003</v>
      </c>
      <c r="H15" s="277">
        <v>16484.788</v>
      </c>
      <c r="I15" s="277">
        <v>340.61700000000002</v>
      </c>
      <c r="J15" s="277">
        <v>23250</v>
      </c>
      <c r="K15" s="277">
        <v>1334.6210000000001</v>
      </c>
      <c r="L15" s="265" t="s">
        <v>171</v>
      </c>
      <c r="M15" s="278">
        <v>83672.341</v>
      </c>
      <c r="N15" s="276">
        <v>1156.4459999999999</v>
      </c>
      <c r="O15" s="277">
        <v>2692.7240000000002</v>
      </c>
      <c r="P15" s="279">
        <v>259.3</v>
      </c>
      <c r="Q15" s="277">
        <v>196.3</v>
      </c>
      <c r="R15" s="277">
        <v>23533.834999999999</v>
      </c>
      <c r="S15" s="277">
        <v>12914.932000000001</v>
      </c>
      <c r="T15" s="268">
        <v>911.79</v>
      </c>
      <c r="U15" s="280">
        <v>41665.326999999997</v>
      </c>
      <c r="V15" s="276">
        <v>6508.1030000000001</v>
      </c>
      <c r="W15" s="277">
        <v>600</v>
      </c>
      <c r="X15" s="277">
        <v>36403.381999999998</v>
      </c>
      <c r="Y15" s="277">
        <v>2859.3</v>
      </c>
      <c r="Z15" s="277">
        <v>196.3</v>
      </c>
      <c r="AA15" s="277">
        <v>40058.982000000004</v>
      </c>
      <c r="AB15" s="277">
        <v>40018.623</v>
      </c>
      <c r="AC15" s="277">
        <v>340.61700000000002</v>
      </c>
      <c r="AD15" s="277">
        <v>23250</v>
      </c>
      <c r="AE15" s="277">
        <v>14249.553</v>
      </c>
      <c r="AF15" s="268">
        <v>911.79</v>
      </c>
      <c r="AG15" s="278">
        <v>125337.66899999999</v>
      </c>
    </row>
    <row r="16" spans="1:33" ht="24.95" customHeight="1">
      <c r="A16" s="281">
        <v>2020</v>
      </c>
      <c r="B16" s="276">
        <v>5351.8069999999998</v>
      </c>
      <c r="C16" s="277">
        <v>400</v>
      </c>
      <c r="D16" s="277">
        <v>33760.658000000003</v>
      </c>
      <c r="E16" s="277">
        <v>1200</v>
      </c>
      <c r="F16" s="264">
        <v>1400</v>
      </c>
      <c r="G16" s="277">
        <v>36760.658000000003</v>
      </c>
      <c r="H16" s="277">
        <v>16651.677</v>
      </c>
      <c r="I16" s="277">
        <v>175.68</v>
      </c>
      <c r="J16" s="277">
        <v>23250</v>
      </c>
      <c r="K16" s="277">
        <v>1653.874</v>
      </c>
      <c r="L16" s="265">
        <v>10</v>
      </c>
      <c r="M16" s="278">
        <v>83853.695999999996</v>
      </c>
      <c r="N16" s="276">
        <v>1153.961</v>
      </c>
      <c r="O16" s="277">
        <v>2692.7240000000002</v>
      </c>
      <c r="P16" s="279">
        <v>259.3</v>
      </c>
      <c r="Q16" s="277">
        <v>196.3</v>
      </c>
      <c r="R16" s="277">
        <v>23533.834999999999</v>
      </c>
      <c r="S16" s="277">
        <v>17085.253000000001</v>
      </c>
      <c r="T16" s="264">
        <v>416.20400000000001</v>
      </c>
      <c r="U16" s="280">
        <v>45337.578000000001</v>
      </c>
      <c r="V16" s="276">
        <v>6505.768</v>
      </c>
      <c r="W16" s="277">
        <v>400</v>
      </c>
      <c r="X16" s="277">
        <v>36453.381999999998</v>
      </c>
      <c r="Y16" s="277">
        <v>1459.3</v>
      </c>
      <c r="Z16" s="277">
        <v>1596.3</v>
      </c>
      <c r="AA16" s="277">
        <v>39908.982000000004</v>
      </c>
      <c r="AB16" s="277">
        <v>40185.512000000002</v>
      </c>
      <c r="AC16" s="277">
        <v>175.68</v>
      </c>
      <c r="AD16" s="277">
        <v>23250</v>
      </c>
      <c r="AE16" s="277">
        <v>18739.127</v>
      </c>
      <c r="AF16" s="264">
        <v>426.20400000000001</v>
      </c>
      <c r="AG16" s="278">
        <v>129191.273</v>
      </c>
    </row>
    <row r="17" spans="1:33" ht="24.95" customHeight="1">
      <c r="A17" s="282">
        <v>2021</v>
      </c>
      <c r="B17" s="283">
        <v>5358.5929999999998</v>
      </c>
      <c r="C17" s="284">
        <v>400</v>
      </c>
      <c r="D17" s="284">
        <v>32158.657999999999</v>
      </c>
      <c r="E17" s="284">
        <v>1200</v>
      </c>
      <c r="F17" s="285">
        <v>1400</v>
      </c>
      <c r="G17" s="284">
        <v>35158.658000000003</v>
      </c>
      <c r="H17" s="284">
        <v>16651.677</v>
      </c>
      <c r="I17" s="284">
        <v>176.81</v>
      </c>
      <c r="J17" s="284">
        <v>23250</v>
      </c>
      <c r="K17" s="284">
        <v>1853.539</v>
      </c>
      <c r="L17" s="286">
        <v>10</v>
      </c>
      <c r="M17" s="287">
        <v>82459.277000000002</v>
      </c>
      <c r="N17" s="283">
        <v>1182.742</v>
      </c>
      <c r="O17" s="284">
        <v>4779.2240000000002</v>
      </c>
      <c r="P17" s="288">
        <v>171.3</v>
      </c>
      <c r="Q17" s="284">
        <v>196.3</v>
      </c>
      <c r="R17" s="284">
        <v>23565.525000000001</v>
      </c>
      <c r="S17" s="284">
        <v>21160.623</v>
      </c>
      <c r="T17" s="285">
        <v>504.78399999999999</v>
      </c>
      <c r="U17" s="286">
        <v>51560.498</v>
      </c>
      <c r="V17" s="283">
        <v>6541.335</v>
      </c>
      <c r="W17" s="284">
        <v>400</v>
      </c>
      <c r="X17" s="284">
        <v>36937.881999999998</v>
      </c>
      <c r="Y17" s="284">
        <v>1371.3</v>
      </c>
      <c r="Z17" s="284">
        <v>1596.3</v>
      </c>
      <c r="AA17" s="284">
        <v>40305.482000000004</v>
      </c>
      <c r="AB17" s="284">
        <v>40217.201999999997</v>
      </c>
      <c r="AC17" s="284">
        <v>176.81</v>
      </c>
      <c r="AD17" s="284">
        <v>23250</v>
      </c>
      <c r="AE17" s="284">
        <v>23014.162</v>
      </c>
      <c r="AF17" s="285">
        <v>514.78399999999999</v>
      </c>
      <c r="AG17" s="287">
        <v>134019.77499999999</v>
      </c>
    </row>
    <row r="18" spans="1:33" ht="24.95" customHeight="1">
      <c r="A18" s="289">
        <v>2021.12</v>
      </c>
      <c r="B18" s="290">
        <v>5358.5929999999998</v>
      </c>
      <c r="C18" s="291">
        <v>400</v>
      </c>
      <c r="D18" s="291">
        <v>32158.657999999999</v>
      </c>
      <c r="E18" s="291">
        <v>1200</v>
      </c>
      <c r="F18" s="292">
        <v>1400</v>
      </c>
      <c r="G18" s="291">
        <v>35158.658000000003</v>
      </c>
      <c r="H18" s="291">
        <v>16651.677</v>
      </c>
      <c r="I18" s="291">
        <v>176.81</v>
      </c>
      <c r="J18" s="291">
        <v>23250</v>
      </c>
      <c r="K18" s="291">
        <v>1853.539</v>
      </c>
      <c r="L18" s="293">
        <v>10</v>
      </c>
      <c r="M18" s="294">
        <v>82459.277000000002</v>
      </c>
      <c r="N18" s="290">
        <v>1182.742</v>
      </c>
      <c r="O18" s="291">
        <v>4779.2240000000002</v>
      </c>
      <c r="P18" s="295">
        <v>171.3</v>
      </c>
      <c r="Q18" s="291">
        <v>196.3</v>
      </c>
      <c r="R18" s="291">
        <v>23565.525000000001</v>
      </c>
      <c r="S18" s="291">
        <v>21160.623</v>
      </c>
      <c r="T18" s="292">
        <v>504.78399999999999</v>
      </c>
      <c r="U18" s="293">
        <v>51560.498</v>
      </c>
      <c r="V18" s="290">
        <v>6541.335</v>
      </c>
      <c r="W18" s="291">
        <v>400</v>
      </c>
      <c r="X18" s="291">
        <v>36937.881999999998</v>
      </c>
      <c r="Y18" s="291">
        <v>1371.3</v>
      </c>
      <c r="Z18" s="291">
        <v>1596.3</v>
      </c>
      <c r="AA18" s="291">
        <v>40305.482000000004</v>
      </c>
      <c r="AB18" s="291">
        <v>40217.201999999997</v>
      </c>
      <c r="AC18" s="291">
        <v>176.81</v>
      </c>
      <c r="AD18" s="291">
        <v>23250</v>
      </c>
      <c r="AE18" s="291">
        <v>23014.162</v>
      </c>
      <c r="AF18" s="292">
        <v>514.78399999999999</v>
      </c>
      <c r="AG18" s="294">
        <v>134019.77499999999</v>
      </c>
    </row>
    <row r="19" spans="1:33" ht="24.95" customHeight="1">
      <c r="A19" s="296">
        <v>2022.01</v>
      </c>
      <c r="B19" s="276">
        <v>5357.6930000000002</v>
      </c>
      <c r="C19" s="277">
        <v>400</v>
      </c>
      <c r="D19" s="277">
        <v>32158.657999999999</v>
      </c>
      <c r="E19" s="277">
        <v>0</v>
      </c>
      <c r="F19" s="264">
        <v>1400</v>
      </c>
      <c r="G19" s="277">
        <v>33958.658000000003</v>
      </c>
      <c r="H19" s="277">
        <v>16651.677</v>
      </c>
      <c r="I19" s="277">
        <v>176.81</v>
      </c>
      <c r="J19" s="277">
        <v>23250</v>
      </c>
      <c r="K19" s="277">
        <v>1851.9110000000001</v>
      </c>
      <c r="L19" s="280">
        <v>10</v>
      </c>
      <c r="M19" s="278">
        <v>81256.748999999996</v>
      </c>
      <c r="N19" s="276">
        <v>1182.412</v>
      </c>
      <c r="O19" s="277">
        <v>4779.2240000000002</v>
      </c>
      <c r="P19" s="279">
        <v>171.3</v>
      </c>
      <c r="Q19" s="277">
        <v>196.3</v>
      </c>
      <c r="R19" s="277">
        <v>23565.525000000001</v>
      </c>
      <c r="S19" s="277">
        <v>21413.163</v>
      </c>
      <c r="T19" s="264">
        <v>504.78399999999999</v>
      </c>
      <c r="U19" s="280">
        <v>51812.707999999999</v>
      </c>
      <c r="V19" s="276">
        <v>6540.1049999999996</v>
      </c>
      <c r="W19" s="277">
        <v>400</v>
      </c>
      <c r="X19" s="277">
        <v>36937.881999999998</v>
      </c>
      <c r="Y19" s="277">
        <v>171.3</v>
      </c>
      <c r="Z19" s="277">
        <v>1596.3</v>
      </c>
      <c r="AA19" s="277">
        <v>39105.482000000004</v>
      </c>
      <c r="AB19" s="277">
        <v>40217.201999999997</v>
      </c>
      <c r="AC19" s="277">
        <v>176.81</v>
      </c>
      <c r="AD19" s="277">
        <v>23250</v>
      </c>
      <c r="AE19" s="277">
        <v>23265.074000000001</v>
      </c>
      <c r="AF19" s="264">
        <v>514.78399999999999</v>
      </c>
      <c r="AG19" s="278">
        <v>133069.45699999999</v>
      </c>
    </row>
    <row r="20" spans="1:33" s="297" customFormat="1" ht="24.95" customHeight="1">
      <c r="A20" s="296">
        <v>2022.02</v>
      </c>
      <c r="B20" s="276">
        <v>5358.5929999999998</v>
      </c>
      <c r="C20" s="277">
        <v>400</v>
      </c>
      <c r="D20" s="277">
        <v>32158.657999999999</v>
      </c>
      <c r="E20" s="277" t="s">
        <v>171</v>
      </c>
      <c r="F20" s="264">
        <v>1400</v>
      </c>
      <c r="G20" s="277">
        <v>33958.658000000003</v>
      </c>
      <c r="H20" s="277">
        <v>16651.677</v>
      </c>
      <c r="I20" s="277">
        <v>176.81</v>
      </c>
      <c r="J20" s="277">
        <v>23250</v>
      </c>
      <c r="K20" s="277">
        <v>1859.4749999999999</v>
      </c>
      <c r="L20" s="280">
        <v>10</v>
      </c>
      <c r="M20" s="278">
        <v>81265.213000000003</v>
      </c>
      <c r="N20" s="276">
        <v>1179.442</v>
      </c>
      <c r="O20" s="277">
        <v>4779.2240000000002</v>
      </c>
      <c r="P20" s="279">
        <v>171.3</v>
      </c>
      <c r="Q20" s="277">
        <v>196.3</v>
      </c>
      <c r="R20" s="277">
        <v>23565.525000000001</v>
      </c>
      <c r="S20" s="277">
        <v>21899.244999999999</v>
      </c>
      <c r="T20" s="264">
        <v>504.70299999999997</v>
      </c>
      <c r="U20" s="280">
        <v>52295.74</v>
      </c>
      <c r="V20" s="276">
        <v>6538.0349999999999</v>
      </c>
      <c r="W20" s="277">
        <v>400</v>
      </c>
      <c r="X20" s="277">
        <v>36937.881999999998</v>
      </c>
      <c r="Y20" s="277">
        <v>171.3</v>
      </c>
      <c r="Z20" s="277">
        <v>1596.3</v>
      </c>
      <c r="AA20" s="277">
        <v>39105.482000000004</v>
      </c>
      <c r="AB20" s="277">
        <v>40217.201999999997</v>
      </c>
      <c r="AC20" s="277">
        <v>176.81</v>
      </c>
      <c r="AD20" s="277">
        <v>23250</v>
      </c>
      <c r="AE20" s="277">
        <v>23758.720000000001</v>
      </c>
      <c r="AF20" s="264">
        <v>514.70299999999997</v>
      </c>
      <c r="AG20" s="278">
        <v>133560.95199999999</v>
      </c>
    </row>
    <row r="21" spans="1:33" ht="24.95" customHeight="1">
      <c r="A21" s="296">
        <v>2022.03</v>
      </c>
      <c r="B21" s="276">
        <v>5358.5929999999998</v>
      </c>
      <c r="C21" s="277">
        <v>400</v>
      </c>
      <c r="D21" s="277">
        <v>32158.657999999999</v>
      </c>
      <c r="E21" s="277" t="s">
        <v>171</v>
      </c>
      <c r="F21" s="264">
        <v>1400</v>
      </c>
      <c r="G21" s="277">
        <v>33958.658000000003</v>
      </c>
      <c r="H21" s="277">
        <v>16651.677</v>
      </c>
      <c r="I21" s="277">
        <v>176.81</v>
      </c>
      <c r="J21" s="277">
        <v>23250</v>
      </c>
      <c r="K21" s="277">
        <v>1863.675</v>
      </c>
      <c r="L21" s="280">
        <v>10</v>
      </c>
      <c r="M21" s="278">
        <v>81269.413</v>
      </c>
      <c r="N21" s="276">
        <v>1161.4549999999999</v>
      </c>
      <c r="O21" s="277">
        <v>4779.2240000000002</v>
      </c>
      <c r="P21" s="279">
        <v>171.3</v>
      </c>
      <c r="Q21" s="277">
        <v>196.3</v>
      </c>
      <c r="R21" s="277">
        <v>23565.525000000001</v>
      </c>
      <c r="S21" s="277">
        <v>22029.14</v>
      </c>
      <c r="T21" s="264">
        <v>507.60199999999998</v>
      </c>
      <c r="U21" s="280">
        <v>52410.546000000002</v>
      </c>
      <c r="V21" s="276">
        <v>6520.0479999999998</v>
      </c>
      <c r="W21" s="277">
        <v>400</v>
      </c>
      <c r="X21" s="277">
        <v>36937.881999999998</v>
      </c>
      <c r="Y21" s="277">
        <v>171.3</v>
      </c>
      <c r="Z21" s="277">
        <v>1596.3</v>
      </c>
      <c r="AA21" s="277">
        <v>39105.482000000004</v>
      </c>
      <c r="AB21" s="277">
        <v>40217.201999999997</v>
      </c>
      <c r="AC21" s="277">
        <v>176.81</v>
      </c>
      <c r="AD21" s="277">
        <v>23250</v>
      </c>
      <c r="AE21" s="277">
        <v>23892.813999999998</v>
      </c>
      <c r="AF21" s="264">
        <v>517.60199999999998</v>
      </c>
      <c r="AG21" s="278">
        <v>133679.959</v>
      </c>
    </row>
    <row r="22" spans="1:33" ht="24.95" customHeight="1">
      <c r="A22" s="296">
        <v>2022.04</v>
      </c>
      <c r="B22" s="276">
        <v>5358.5929999999998</v>
      </c>
      <c r="C22" s="277">
        <v>400</v>
      </c>
      <c r="D22" s="277">
        <v>32158.657999999999</v>
      </c>
      <c r="E22" s="277" t="s">
        <v>171</v>
      </c>
      <c r="F22" s="264">
        <v>1400</v>
      </c>
      <c r="G22" s="277">
        <v>33958.658000000003</v>
      </c>
      <c r="H22" s="277">
        <v>16651.677</v>
      </c>
      <c r="I22" s="277">
        <v>176.81</v>
      </c>
      <c r="J22" s="277">
        <v>23250</v>
      </c>
      <c r="K22" s="277">
        <v>1862.664</v>
      </c>
      <c r="L22" s="280">
        <v>10</v>
      </c>
      <c r="M22" s="278">
        <v>81268.402000000002</v>
      </c>
      <c r="N22" s="276">
        <v>1161.4549999999999</v>
      </c>
      <c r="O22" s="277">
        <v>4779.2240000000002</v>
      </c>
      <c r="P22" s="279">
        <v>171.3</v>
      </c>
      <c r="Q22" s="277">
        <v>196.3</v>
      </c>
      <c r="R22" s="277">
        <v>23565.525000000001</v>
      </c>
      <c r="S22" s="277">
        <v>22267.201000000001</v>
      </c>
      <c r="T22" s="264">
        <v>507.50400000000002</v>
      </c>
      <c r="U22" s="280">
        <v>52648.51</v>
      </c>
      <c r="V22" s="276">
        <v>6520.0479999999998</v>
      </c>
      <c r="W22" s="277">
        <v>400</v>
      </c>
      <c r="X22" s="277">
        <v>36937.881999999998</v>
      </c>
      <c r="Y22" s="277">
        <v>171.3</v>
      </c>
      <c r="Z22" s="277">
        <v>1596.3</v>
      </c>
      <c r="AA22" s="277">
        <v>39105.482000000004</v>
      </c>
      <c r="AB22" s="277">
        <v>40217.201999999997</v>
      </c>
      <c r="AC22" s="277">
        <v>176.81</v>
      </c>
      <c r="AD22" s="277">
        <v>23250</v>
      </c>
      <c r="AE22" s="277">
        <v>24129.865000000002</v>
      </c>
      <c r="AF22" s="264">
        <v>517.50400000000002</v>
      </c>
      <c r="AG22" s="278">
        <v>133916.91200000001</v>
      </c>
    </row>
    <row r="23" spans="1:33" ht="24.95" customHeight="1">
      <c r="A23" s="296">
        <v>2022.05</v>
      </c>
      <c r="B23" s="279">
        <v>5350.3950000000004</v>
      </c>
      <c r="C23" s="277">
        <v>400</v>
      </c>
      <c r="D23" s="277">
        <v>32158.657999999999</v>
      </c>
      <c r="E23" s="277" t="s">
        <v>171</v>
      </c>
      <c r="F23" s="264">
        <v>1400</v>
      </c>
      <c r="G23" s="277">
        <v>33958.658000000003</v>
      </c>
      <c r="H23" s="277">
        <v>16651.677</v>
      </c>
      <c r="I23" s="277">
        <v>176.81</v>
      </c>
      <c r="J23" s="277">
        <v>23250</v>
      </c>
      <c r="K23" s="277">
        <v>1863.799</v>
      </c>
      <c r="L23" s="280">
        <v>10</v>
      </c>
      <c r="M23" s="278">
        <v>81261.339000000007</v>
      </c>
      <c r="N23" s="276">
        <v>1161.4380000000001</v>
      </c>
      <c r="O23" s="277">
        <v>4529.2240000000002</v>
      </c>
      <c r="P23" s="279">
        <v>171.3</v>
      </c>
      <c r="Q23" s="277">
        <v>196.3</v>
      </c>
      <c r="R23" s="277">
        <v>23565.525000000001</v>
      </c>
      <c r="S23" s="277">
        <v>22727.403999999999</v>
      </c>
      <c r="T23" s="264">
        <v>447.50400000000002</v>
      </c>
      <c r="U23" s="280">
        <v>52798.696000000004</v>
      </c>
      <c r="V23" s="276">
        <v>6511.8329999999996</v>
      </c>
      <c r="W23" s="277">
        <v>400</v>
      </c>
      <c r="X23" s="277">
        <v>36687.881999999998</v>
      </c>
      <c r="Y23" s="277">
        <v>171.3</v>
      </c>
      <c r="Z23" s="277">
        <v>1596.3</v>
      </c>
      <c r="AA23" s="277">
        <v>38855.482000000004</v>
      </c>
      <c r="AB23" s="277">
        <v>40217.201999999997</v>
      </c>
      <c r="AC23" s="277">
        <v>176.81</v>
      </c>
      <c r="AD23" s="277">
        <v>23250</v>
      </c>
      <c r="AE23" s="277">
        <v>24591.203000000001</v>
      </c>
      <c r="AF23" s="264">
        <v>457.50400000000002</v>
      </c>
      <c r="AG23" s="278">
        <v>134060.035</v>
      </c>
    </row>
    <row r="24" spans="1:33" ht="24.95" customHeight="1">
      <c r="A24" s="296">
        <v>2022.06</v>
      </c>
      <c r="B24" s="279">
        <v>5350.3950000000004</v>
      </c>
      <c r="C24" s="277">
        <v>400</v>
      </c>
      <c r="D24" s="277">
        <v>32158.657999999999</v>
      </c>
      <c r="E24" s="277" t="s">
        <v>171</v>
      </c>
      <c r="F24" s="264">
        <v>1400</v>
      </c>
      <c r="G24" s="277">
        <v>33958.658000000003</v>
      </c>
      <c r="H24" s="277">
        <v>16651.677</v>
      </c>
      <c r="I24" s="277">
        <v>176.81</v>
      </c>
      <c r="J24" s="277">
        <v>23250</v>
      </c>
      <c r="K24" s="277">
        <v>1851.1289999999999</v>
      </c>
      <c r="L24" s="280">
        <v>10</v>
      </c>
      <c r="M24" s="278">
        <v>81248.668999999994</v>
      </c>
      <c r="N24" s="276">
        <v>1161.4380000000001</v>
      </c>
      <c r="O24" s="277">
        <v>4529.2240000000002</v>
      </c>
      <c r="P24" s="279">
        <v>171.3</v>
      </c>
      <c r="Q24" s="277">
        <v>196.3</v>
      </c>
      <c r="R24" s="277">
        <v>23565.525000000001</v>
      </c>
      <c r="S24" s="277">
        <v>22917.633000000002</v>
      </c>
      <c r="T24" s="264">
        <v>446.67</v>
      </c>
      <c r="U24" s="278">
        <v>52988.09</v>
      </c>
      <c r="V24" s="279">
        <v>6511.8329999999996</v>
      </c>
      <c r="W24" s="277">
        <v>400</v>
      </c>
      <c r="X24" s="277">
        <v>36687.881999999998</v>
      </c>
      <c r="Y24" s="277">
        <v>171.3</v>
      </c>
      <c r="Z24" s="277">
        <v>1596.3</v>
      </c>
      <c r="AA24" s="277">
        <v>38855.482000000004</v>
      </c>
      <c r="AB24" s="277">
        <v>40217.201999999997</v>
      </c>
      <c r="AC24" s="277">
        <v>176.81</v>
      </c>
      <c r="AD24" s="277">
        <v>23250</v>
      </c>
      <c r="AE24" s="277">
        <v>24768.761999999999</v>
      </c>
      <c r="AF24" s="264">
        <v>456.67</v>
      </c>
      <c r="AG24" s="278">
        <v>134236.75899999999</v>
      </c>
    </row>
    <row r="25" spans="1:33" ht="24.95" customHeight="1">
      <c r="A25" s="296">
        <v>2022.07</v>
      </c>
      <c r="B25" s="279">
        <v>5350.3950000000004</v>
      </c>
      <c r="C25" s="277">
        <v>400</v>
      </c>
      <c r="D25" s="277">
        <v>32158.657999999999</v>
      </c>
      <c r="E25" s="277" t="s">
        <v>171</v>
      </c>
      <c r="F25" s="264">
        <v>1400</v>
      </c>
      <c r="G25" s="277">
        <v>33958.658000000003</v>
      </c>
      <c r="H25" s="277">
        <v>16651.677</v>
      </c>
      <c r="I25" s="277">
        <v>176.81</v>
      </c>
      <c r="J25" s="277">
        <v>23250</v>
      </c>
      <c r="K25" s="277">
        <v>1853.11</v>
      </c>
      <c r="L25" s="280">
        <v>10</v>
      </c>
      <c r="M25" s="278">
        <v>81250.649999999994</v>
      </c>
      <c r="N25" s="276">
        <v>1161.518</v>
      </c>
      <c r="O25" s="277">
        <v>4529.2240000000002</v>
      </c>
      <c r="P25" s="279">
        <v>171.3</v>
      </c>
      <c r="Q25" s="277">
        <v>196.3</v>
      </c>
      <c r="R25" s="277">
        <v>23565.525000000001</v>
      </c>
      <c r="S25" s="277">
        <v>22969.698</v>
      </c>
      <c r="T25" s="264">
        <v>446.59500000000003</v>
      </c>
      <c r="U25" s="278">
        <v>53040.160000000003</v>
      </c>
      <c r="V25" s="279">
        <v>6511.9129999999996</v>
      </c>
      <c r="W25" s="277">
        <v>400</v>
      </c>
      <c r="X25" s="277">
        <v>36687.881999999998</v>
      </c>
      <c r="Y25" s="277">
        <v>171.3</v>
      </c>
      <c r="Z25" s="277">
        <v>1596.3</v>
      </c>
      <c r="AA25" s="277">
        <v>38855.482000000004</v>
      </c>
      <c r="AB25" s="277">
        <v>40217.201999999997</v>
      </c>
      <c r="AC25" s="277">
        <v>176.81</v>
      </c>
      <c r="AD25" s="277">
        <v>23250</v>
      </c>
      <c r="AE25" s="277">
        <v>24822.808000000001</v>
      </c>
      <c r="AF25" s="264">
        <v>456.59500000000003</v>
      </c>
      <c r="AG25" s="278">
        <v>134290.81099999999</v>
      </c>
    </row>
    <row r="26" spans="1:33" ht="24.95" customHeight="1">
      <c r="A26" s="296">
        <v>2022.08</v>
      </c>
      <c r="B26" s="279">
        <v>5350.3950000000004</v>
      </c>
      <c r="C26" s="277">
        <v>400</v>
      </c>
      <c r="D26" s="277">
        <v>32158.657999999999</v>
      </c>
      <c r="E26" s="277" t="s">
        <v>171</v>
      </c>
      <c r="F26" s="264">
        <v>1400</v>
      </c>
      <c r="G26" s="277">
        <v>33958.658000000003</v>
      </c>
      <c r="H26" s="277">
        <v>16651.677</v>
      </c>
      <c r="I26" s="277">
        <v>136.81</v>
      </c>
      <c r="J26" s="277">
        <v>23250</v>
      </c>
      <c r="K26" s="277">
        <v>1922.6279999999999</v>
      </c>
      <c r="L26" s="280">
        <v>10</v>
      </c>
      <c r="M26" s="278">
        <v>81280.168000000005</v>
      </c>
      <c r="N26" s="276">
        <v>1161.518</v>
      </c>
      <c r="O26" s="277">
        <v>4529.2240000000002</v>
      </c>
      <c r="P26" s="279">
        <v>171.3</v>
      </c>
      <c r="Q26" s="277">
        <v>196.3</v>
      </c>
      <c r="R26" s="277">
        <v>23565.525000000001</v>
      </c>
      <c r="S26" s="277">
        <v>23343.971000000001</v>
      </c>
      <c r="T26" s="264">
        <v>446.59500000000003</v>
      </c>
      <c r="U26" s="278">
        <v>53414.432999999997</v>
      </c>
      <c r="V26" s="279">
        <v>6511.9129999999996</v>
      </c>
      <c r="W26" s="277">
        <v>400</v>
      </c>
      <c r="X26" s="277">
        <v>36687.881999999998</v>
      </c>
      <c r="Y26" s="277">
        <v>171.3</v>
      </c>
      <c r="Z26" s="277">
        <v>1596.3</v>
      </c>
      <c r="AA26" s="277">
        <v>38855.482000000004</v>
      </c>
      <c r="AB26" s="277">
        <v>40217.201999999997</v>
      </c>
      <c r="AC26" s="277">
        <v>136.81</v>
      </c>
      <c r="AD26" s="277">
        <v>23250</v>
      </c>
      <c r="AE26" s="277">
        <v>25266.598999999998</v>
      </c>
      <c r="AF26" s="264">
        <v>456.59500000000003</v>
      </c>
      <c r="AG26" s="278">
        <v>134694.60200000001</v>
      </c>
    </row>
    <row r="27" spans="1:33" ht="24.95" customHeight="1">
      <c r="A27" s="296">
        <v>2022.09</v>
      </c>
      <c r="B27" s="279">
        <v>5350.3950000000004</v>
      </c>
      <c r="C27" s="277">
        <v>400</v>
      </c>
      <c r="D27" s="277">
        <v>32158.657999999999</v>
      </c>
      <c r="E27" s="277" t="s">
        <v>171</v>
      </c>
      <c r="F27" s="264">
        <v>1400</v>
      </c>
      <c r="G27" s="277">
        <v>33958.658000000003</v>
      </c>
      <c r="H27" s="277">
        <v>16651.677</v>
      </c>
      <c r="I27" s="277">
        <v>136.81</v>
      </c>
      <c r="J27" s="277">
        <v>23250</v>
      </c>
      <c r="K27" s="277">
        <v>1922.14</v>
      </c>
      <c r="L27" s="280">
        <v>10</v>
      </c>
      <c r="M27" s="278">
        <v>81279.679999999993</v>
      </c>
      <c r="N27" s="276">
        <v>1160.2180000000001</v>
      </c>
      <c r="O27" s="277">
        <v>4529.2240000000002</v>
      </c>
      <c r="P27" s="279">
        <v>171.3</v>
      </c>
      <c r="Q27" s="277">
        <v>196.3</v>
      </c>
      <c r="R27" s="277">
        <v>23565.525000000001</v>
      </c>
      <c r="S27" s="277">
        <v>23419.994999999999</v>
      </c>
      <c r="T27" s="264">
        <v>445.83499999999998</v>
      </c>
      <c r="U27" s="278">
        <v>53488.396999999997</v>
      </c>
      <c r="V27" s="279">
        <v>6510.6130000000003</v>
      </c>
      <c r="W27" s="277">
        <v>400</v>
      </c>
      <c r="X27" s="277">
        <v>36687.881999999998</v>
      </c>
      <c r="Y27" s="277">
        <v>171.3</v>
      </c>
      <c r="Z27" s="277">
        <v>1596.3</v>
      </c>
      <c r="AA27" s="277">
        <v>38855.482000000004</v>
      </c>
      <c r="AB27" s="277">
        <v>40217.201999999997</v>
      </c>
      <c r="AC27" s="277">
        <v>136.81</v>
      </c>
      <c r="AD27" s="277">
        <v>23250</v>
      </c>
      <c r="AE27" s="277">
        <v>25342.134999999998</v>
      </c>
      <c r="AF27" s="264">
        <v>455.83499999999998</v>
      </c>
      <c r="AG27" s="278">
        <v>134768.07699999999</v>
      </c>
    </row>
    <row r="28" spans="1:33" ht="24.95" customHeight="1">
      <c r="A28" s="296">
        <v>2022.1</v>
      </c>
      <c r="B28" s="279">
        <v>5350.3950000000004</v>
      </c>
      <c r="C28" s="277">
        <v>400</v>
      </c>
      <c r="D28" s="277">
        <v>32158.657999999999</v>
      </c>
      <c r="E28" s="277" t="s">
        <v>171</v>
      </c>
      <c r="F28" s="264">
        <v>1400</v>
      </c>
      <c r="G28" s="277">
        <v>33958.658000000003</v>
      </c>
      <c r="H28" s="277">
        <v>16651.677</v>
      </c>
      <c r="I28" s="277">
        <v>136.81</v>
      </c>
      <c r="J28" s="277">
        <v>23250</v>
      </c>
      <c r="K28" s="277">
        <v>1930.6469999999999</v>
      </c>
      <c r="L28" s="280">
        <v>10</v>
      </c>
      <c r="M28" s="278">
        <v>81288.187000000005</v>
      </c>
      <c r="N28" s="276">
        <v>1160.2180000000001</v>
      </c>
      <c r="O28" s="277">
        <v>5569.2240000000002</v>
      </c>
      <c r="P28" s="279">
        <v>171.3</v>
      </c>
      <c r="Q28" s="277">
        <v>196.3</v>
      </c>
      <c r="R28" s="277">
        <v>23565.525000000001</v>
      </c>
      <c r="S28" s="277">
        <v>23634.263999999999</v>
      </c>
      <c r="T28" s="264">
        <v>445.83499999999998</v>
      </c>
      <c r="U28" s="278">
        <v>54742.665999999997</v>
      </c>
      <c r="V28" s="279">
        <v>6510.6130000000003</v>
      </c>
      <c r="W28" s="277">
        <v>400</v>
      </c>
      <c r="X28" s="277">
        <v>37727.881999999998</v>
      </c>
      <c r="Y28" s="277">
        <v>171.3</v>
      </c>
      <c r="Z28" s="277">
        <v>1596.3</v>
      </c>
      <c r="AA28" s="277">
        <v>39895.482000000004</v>
      </c>
      <c r="AB28" s="277">
        <v>40217.201999999997</v>
      </c>
      <c r="AC28" s="277">
        <v>136.81</v>
      </c>
      <c r="AD28" s="277">
        <v>23250</v>
      </c>
      <c r="AE28" s="277">
        <v>25564.911</v>
      </c>
      <c r="AF28" s="264">
        <v>455.83499999999998</v>
      </c>
      <c r="AG28" s="278">
        <v>136030.853</v>
      </c>
    </row>
    <row r="29" spans="1:33" ht="24.95" customHeight="1">
      <c r="A29" s="296">
        <v>2022.11</v>
      </c>
      <c r="B29" s="279">
        <v>5350.3950000000004</v>
      </c>
      <c r="C29" s="277">
        <v>400</v>
      </c>
      <c r="D29" s="277">
        <v>32158.657999999999</v>
      </c>
      <c r="E29" s="277" t="s">
        <v>171</v>
      </c>
      <c r="F29" s="264">
        <v>1400</v>
      </c>
      <c r="G29" s="277">
        <v>33958.658000000003</v>
      </c>
      <c r="H29" s="277">
        <v>16651.677</v>
      </c>
      <c r="I29" s="277">
        <v>136.81</v>
      </c>
      <c r="J29" s="277">
        <v>23250</v>
      </c>
      <c r="K29" s="277">
        <v>1959.961</v>
      </c>
      <c r="L29" s="280">
        <v>10</v>
      </c>
      <c r="M29" s="278">
        <v>81317.501000000004</v>
      </c>
      <c r="N29" s="276">
        <v>1161.518</v>
      </c>
      <c r="O29" s="277">
        <v>5569.2240000000002</v>
      </c>
      <c r="P29" s="279">
        <v>171.3</v>
      </c>
      <c r="Q29" s="277">
        <v>196.3</v>
      </c>
      <c r="R29" s="277">
        <v>23565.525000000001</v>
      </c>
      <c r="S29" s="277">
        <v>23840.062999999998</v>
      </c>
      <c r="T29" s="264">
        <v>446.69400000000002</v>
      </c>
      <c r="U29" s="278">
        <v>54950.624000000003</v>
      </c>
      <c r="V29" s="279">
        <v>6511.9129999999996</v>
      </c>
      <c r="W29" s="277">
        <v>400</v>
      </c>
      <c r="X29" s="277">
        <v>37727.881999999998</v>
      </c>
      <c r="Y29" s="277">
        <v>171.3</v>
      </c>
      <c r="Z29" s="277">
        <v>1596.3</v>
      </c>
      <c r="AA29" s="277">
        <v>39895.482000000004</v>
      </c>
      <c r="AB29" s="277">
        <v>40217.201999999997</v>
      </c>
      <c r="AC29" s="277">
        <v>136.81</v>
      </c>
      <c r="AD29" s="277">
        <v>23250</v>
      </c>
      <c r="AE29" s="277">
        <v>25800.023000000001</v>
      </c>
      <c r="AF29" s="264">
        <v>456.69400000000002</v>
      </c>
      <c r="AG29" s="278">
        <v>136268.125</v>
      </c>
    </row>
    <row r="30" spans="1:33" ht="24.95" customHeight="1">
      <c r="A30" s="298">
        <v>2022.12</v>
      </c>
      <c r="B30" s="299">
        <v>5350.3950000000004</v>
      </c>
      <c r="C30" s="300">
        <v>400</v>
      </c>
      <c r="D30" s="300">
        <v>32158.657999999999</v>
      </c>
      <c r="E30" s="300" t="s">
        <v>171</v>
      </c>
      <c r="F30" s="301">
        <v>1400</v>
      </c>
      <c r="G30" s="300">
        <v>33958.658000000003</v>
      </c>
      <c r="H30" s="300">
        <v>16651.677</v>
      </c>
      <c r="I30" s="300">
        <v>136.81</v>
      </c>
      <c r="J30" s="300">
        <v>24650</v>
      </c>
      <c r="K30" s="300">
        <v>1963.9480000000001</v>
      </c>
      <c r="L30" s="302">
        <v>10</v>
      </c>
      <c r="M30" s="303">
        <v>82721.487999999998</v>
      </c>
      <c r="N30" s="304">
        <v>1162.028</v>
      </c>
      <c r="O30" s="300">
        <v>5569.2240000000002</v>
      </c>
      <c r="P30" s="300">
        <v>171.3</v>
      </c>
      <c r="Q30" s="300">
        <v>196.3</v>
      </c>
      <c r="R30" s="300">
        <v>23565.525000000001</v>
      </c>
      <c r="S30" s="300">
        <v>24184.844000000001</v>
      </c>
      <c r="T30" s="300">
        <v>446.89299999999997</v>
      </c>
      <c r="U30" s="303">
        <v>55296.114000000001</v>
      </c>
      <c r="V30" s="299">
        <v>6512.4229999999998</v>
      </c>
      <c r="W30" s="300">
        <v>400</v>
      </c>
      <c r="X30" s="300">
        <v>37727.881999999998</v>
      </c>
      <c r="Y30" s="300">
        <v>171.3</v>
      </c>
      <c r="Z30" s="300">
        <v>1596.3</v>
      </c>
      <c r="AA30" s="300">
        <v>39895.482000000004</v>
      </c>
      <c r="AB30" s="300">
        <v>40217.201999999997</v>
      </c>
      <c r="AC30" s="300">
        <v>136.81</v>
      </c>
      <c r="AD30" s="300">
        <v>24650</v>
      </c>
      <c r="AE30" s="300">
        <v>26148.792000000001</v>
      </c>
      <c r="AF30" s="300">
        <v>456.89299999999997</v>
      </c>
      <c r="AG30" s="303">
        <v>138017.60200000001</v>
      </c>
    </row>
    <row r="31" spans="1:33" s="251" customFormat="1" ht="12.75" customHeight="1">
      <c r="A31" s="305" t="s">
        <v>172</v>
      </c>
      <c r="B31" s="306"/>
      <c r="C31" s="306"/>
      <c r="D31" s="306"/>
      <c r="E31" s="306"/>
      <c r="F31" s="306"/>
      <c r="G31" s="306"/>
      <c r="H31" s="306"/>
      <c r="I31" s="306"/>
      <c r="J31" s="249"/>
      <c r="K31" s="249"/>
      <c r="L31" s="249"/>
      <c r="M31" s="306"/>
      <c r="N31" s="307"/>
      <c r="O31" s="307"/>
      <c r="P31" s="307"/>
      <c r="Q31" s="305"/>
      <c r="R31" s="305"/>
      <c r="S31" s="307"/>
      <c r="T31" s="307"/>
      <c r="U31" s="307"/>
      <c r="V31" s="308"/>
      <c r="W31" s="307"/>
      <c r="X31" s="307"/>
      <c r="Y31" s="249"/>
      <c r="Z31" s="309"/>
      <c r="AA31" s="307"/>
      <c r="AB31" s="249"/>
      <c r="AC31" s="249"/>
      <c r="AD31" s="249"/>
      <c r="AE31" s="249"/>
      <c r="AF31" s="249"/>
      <c r="AG31" s="310"/>
    </row>
    <row r="32" spans="1:33" s="251" customFormat="1" ht="12.75" customHeight="1">
      <c r="A32" s="305" t="s">
        <v>173</v>
      </c>
      <c r="B32" s="306"/>
      <c r="C32" s="306"/>
      <c r="D32" s="306"/>
      <c r="E32" s="306"/>
      <c r="F32" s="306"/>
      <c r="G32" s="306"/>
      <c r="H32" s="306"/>
      <c r="I32" s="306"/>
      <c r="J32" s="249"/>
      <c r="K32" s="249"/>
      <c r="L32" s="249"/>
      <c r="M32" s="306"/>
      <c r="N32" s="307"/>
      <c r="O32" s="307"/>
      <c r="P32" s="307"/>
      <c r="Q32" s="305"/>
      <c r="R32" s="249"/>
      <c r="S32" s="307"/>
      <c r="T32" s="307"/>
      <c r="U32" s="307"/>
      <c r="V32" s="308"/>
      <c r="W32" s="307"/>
      <c r="X32" s="307"/>
      <c r="Y32" s="249"/>
      <c r="Z32" s="309"/>
      <c r="AA32" s="307"/>
      <c r="AB32" s="249"/>
      <c r="AC32" s="249"/>
      <c r="AD32" s="249"/>
      <c r="AE32" s="249"/>
      <c r="AF32" s="249"/>
      <c r="AG32" s="310"/>
    </row>
    <row r="33" spans="1:30" s="312" customFormat="1" ht="12.75" customHeight="1">
      <c r="A33" s="305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AD33" s="313"/>
    </row>
    <row r="34" spans="1:30" s="312" customFormat="1" ht="12.75" customHeight="1">
      <c r="A34" s="305"/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</row>
  </sheetData>
  <mergeCells count="28">
    <mergeCell ref="R4:U4"/>
    <mergeCell ref="V4:AG4"/>
    <mergeCell ref="B5:B6"/>
    <mergeCell ref="C5:G5"/>
    <mergeCell ref="H5:H6"/>
    <mergeCell ref="I5:I6"/>
    <mergeCell ref="O5:Q5"/>
    <mergeCell ref="N3:O3"/>
    <mergeCell ref="A4:A6"/>
    <mergeCell ref="B4:M4"/>
    <mergeCell ref="N4:Q4"/>
    <mergeCell ref="J5:J6"/>
    <mergeCell ref="K5:K6"/>
    <mergeCell ref="L5:L6"/>
    <mergeCell ref="M5:M6"/>
    <mergeCell ref="N5:N6"/>
    <mergeCell ref="AG5:AG6"/>
    <mergeCell ref="R5:R6"/>
    <mergeCell ref="S5:S6"/>
    <mergeCell ref="T5:T6"/>
    <mergeCell ref="U5:U6"/>
    <mergeCell ref="V5:V6"/>
    <mergeCell ref="W5:AA5"/>
    <mergeCell ref="AB5:AB6"/>
    <mergeCell ref="AC5:AC6"/>
    <mergeCell ref="AD5:AD6"/>
    <mergeCell ref="AE5:AE6"/>
    <mergeCell ref="AF5:AF6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12" fitToWidth="0" fitToHeight="0" orientation="portrait" useFirstPageNumber="1" r:id="rId1"/>
  <headerFooter differentOddEven="1" scaleWithDoc="0" alignWithMargins="0">
    <firstFooter>&amp;R&amp;P</firstFooter>
  </headerFooter>
  <colBreaks count="1" manualBreakCount="1">
    <brk id="17" max="3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B39"/>
  <sheetViews>
    <sheetView showGridLines="0" view="pageBreakPreview" zoomScale="85" zoomScaleNormal="100" zoomScaleSheetLayoutView="85" workbookViewId="0"/>
  </sheetViews>
  <sheetFormatPr defaultColWidth="7.875" defaultRowHeight="16.5"/>
  <cols>
    <col min="1" max="1" width="12.125" style="249" customWidth="1"/>
    <col min="2" max="5" width="9.375" style="249" customWidth="1"/>
    <col min="6" max="6" width="8.75" style="249" customWidth="1"/>
    <col min="7" max="12" width="9.375" style="249" customWidth="1"/>
    <col min="13" max="13" width="9.875" style="249" customWidth="1"/>
    <col min="14" max="14" width="9.375" style="249" customWidth="1"/>
    <col min="15" max="15" width="9.5" style="249" customWidth="1"/>
    <col min="16" max="18" width="9.375" style="249" customWidth="1"/>
    <col min="19" max="19" width="9.625" style="249" customWidth="1"/>
    <col min="20" max="20" width="12.125" style="249" customWidth="1"/>
    <col min="21" max="16384" width="7.875" style="249"/>
  </cols>
  <sheetData>
    <row r="1" spans="1:20" ht="23.1" customHeight="1">
      <c r="A1" s="248" t="s">
        <v>174</v>
      </c>
    </row>
    <row r="2" spans="1:20" s="252" customFormat="1" ht="23.1" customHeight="1">
      <c r="A2" s="252" t="s">
        <v>175</v>
      </c>
      <c r="L2" s="253"/>
      <c r="N2" s="253"/>
      <c r="O2" s="253"/>
    </row>
    <row r="3" spans="1:20" ht="20.100000000000001" customHeight="1">
      <c r="A3" s="316" t="s">
        <v>176</v>
      </c>
      <c r="S3" s="259"/>
      <c r="T3" s="259" t="s">
        <v>177</v>
      </c>
    </row>
    <row r="4" spans="1:20" ht="24" customHeight="1">
      <c r="A4" s="2896" t="s">
        <v>178</v>
      </c>
      <c r="B4" s="2898" t="s">
        <v>179</v>
      </c>
      <c r="C4" s="2898"/>
      <c r="D4" s="2898"/>
      <c r="E4" s="2899"/>
      <c r="F4" s="2900" t="s">
        <v>180</v>
      </c>
      <c r="G4" s="2898"/>
      <c r="H4" s="2898"/>
      <c r="I4" s="2898"/>
      <c r="J4" s="2899"/>
      <c r="K4" s="2900" t="s">
        <v>181</v>
      </c>
      <c r="L4" s="2898"/>
      <c r="M4" s="2899"/>
      <c r="N4" s="2887" t="s">
        <v>182</v>
      </c>
      <c r="O4" s="2887" t="s">
        <v>13</v>
      </c>
      <c r="P4" s="2887" t="s">
        <v>183</v>
      </c>
      <c r="Q4" s="2889" t="s">
        <v>159</v>
      </c>
      <c r="R4" s="2889" t="s">
        <v>132</v>
      </c>
      <c r="S4" s="2891" t="s">
        <v>184</v>
      </c>
      <c r="T4" s="2893" t="s">
        <v>185</v>
      </c>
    </row>
    <row r="5" spans="1:20" ht="24" customHeight="1">
      <c r="A5" s="2897"/>
      <c r="B5" s="317" t="s">
        <v>186</v>
      </c>
      <c r="C5" s="298" t="s">
        <v>187</v>
      </c>
      <c r="D5" s="298" t="s">
        <v>188</v>
      </c>
      <c r="E5" s="298" t="s">
        <v>161</v>
      </c>
      <c r="F5" s="298" t="s">
        <v>128</v>
      </c>
      <c r="G5" s="298" t="s">
        <v>127</v>
      </c>
      <c r="H5" s="298" t="s">
        <v>189</v>
      </c>
      <c r="I5" s="298" t="s">
        <v>190</v>
      </c>
      <c r="J5" s="298" t="s">
        <v>161</v>
      </c>
      <c r="K5" s="298" t="s">
        <v>190</v>
      </c>
      <c r="L5" s="298" t="s">
        <v>191</v>
      </c>
      <c r="M5" s="298" t="s">
        <v>161</v>
      </c>
      <c r="N5" s="2888"/>
      <c r="O5" s="2888"/>
      <c r="P5" s="2888"/>
      <c r="Q5" s="2888"/>
      <c r="R5" s="2890"/>
      <c r="S5" s="2892"/>
      <c r="T5" s="2894"/>
    </row>
    <row r="6" spans="1:20" ht="21" customHeight="1">
      <c r="A6" s="318" t="s">
        <v>187</v>
      </c>
      <c r="B6" s="319" t="s">
        <v>171</v>
      </c>
      <c r="C6" s="320">
        <v>4700000</v>
      </c>
      <c r="D6" s="320" t="s">
        <v>171</v>
      </c>
      <c r="E6" s="320">
        <v>4700000</v>
      </c>
      <c r="F6" s="320" t="s">
        <v>171</v>
      </c>
      <c r="G6" s="320" t="s">
        <v>171</v>
      </c>
      <c r="H6" s="320" t="s">
        <v>171</v>
      </c>
      <c r="I6" s="320" t="s">
        <v>171</v>
      </c>
      <c r="J6" s="320" t="s">
        <v>171</v>
      </c>
      <c r="K6" s="320" t="s">
        <v>171</v>
      </c>
      <c r="L6" s="320" t="s">
        <v>171</v>
      </c>
      <c r="M6" s="320" t="s">
        <v>171</v>
      </c>
      <c r="N6" s="320" t="s">
        <v>171</v>
      </c>
      <c r="O6" s="320" t="s">
        <v>171</v>
      </c>
      <c r="P6" s="320" t="s">
        <v>171</v>
      </c>
      <c r="Q6" s="321" t="s">
        <v>171</v>
      </c>
      <c r="R6" s="322" t="s">
        <v>171</v>
      </c>
      <c r="S6" s="322">
        <v>4700000</v>
      </c>
      <c r="T6" s="318" t="s">
        <v>187</v>
      </c>
    </row>
    <row r="7" spans="1:20" ht="21" customHeight="1">
      <c r="A7" s="289" t="s">
        <v>119</v>
      </c>
      <c r="B7" s="323" t="s">
        <v>171</v>
      </c>
      <c r="C7" s="324" t="s">
        <v>171</v>
      </c>
      <c r="D7" s="324" t="s">
        <v>171</v>
      </c>
      <c r="E7" s="324" t="s">
        <v>171</v>
      </c>
      <c r="F7" s="324">
        <v>360000</v>
      </c>
      <c r="G7" s="324" t="s">
        <v>171</v>
      </c>
      <c r="H7" s="324" t="s">
        <v>171</v>
      </c>
      <c r="I7" s="324" t="s">
        <v>171</v>
      </c>
      <c r="J7" s="324">
        <v>360000</v>
      </c>
      <c r="K7" s="324" t="s">
        <v>171</v>
      </c>
      <c r="L7" s="324" t="s">
        <v>171</v>
      </c>
      <c r="M7" s="324" t="s">
        <v>171</v>
      </c>
      <c r="N7" s="324" t="s">
        <v>171</v>
      </c>
      <c r="O7" s="324" t="s">
        <v>171</v>
      </c>
      <c r="P7" s="324" t="s">
        <v>171</v>
      </c>
      <c r="Q7" s="325" t="s">
        <v>171</v>
      </c>
      <c r="R7" s="326" t="s">
        <v>171</v>
      </c>
      <c r="S7" s="326">
        <v>360000</v>
      </c>
      <c r="T7" s="289" t="s">
        <v>119</v>
      </c>
    </row>
    <row r="8" spans="1:20" ht="21" customHeight="1">
      <c r="A8" s="289" t="s">
        <v>118</v>
      </c>
      <c r="B8" s="323" t="s">
        <v>171</v>
      </c>
      <c r="C8" s="324" t="s">
        <v>171</v>
      </c>
      <c r="D8" s="324" t="s">
        <v>171</v>
      </c>
      <c r="E8" s="324" t="s">
        <v>171</v>
      </c>
      <c r="F8" s="324">
        <v>0</v>
      </c>
      <c r="G8" s="324">
        <v>36159028</v>
      </c>
      <c r="H8" s="324" t="s">
        <v>171</v>
      </c>
      <c r="I8" s="324" t="s">
        <v>171</v>
      </c>
      <c r="J8" s="324">
        <v>36159028</v>
      </c>
      <c r="K8" s="324" t="s">
        <v>171</v>
      </c>
      <c r="L8" s="324" t="s">
        <v>171</v>
      </c>
      <c r="M8" s="324" t="s">
        <v>171</v>
      </c>
      <c r="N8" s="324" t="s">
        <v>171</v>
      </c>
      <c r="O8" s="324" t="s">
        <v>171</v>
      </c>
      <c r="P8" s="324">
        <v>1140854.5</v>
      </c>
      <c r="Q8" s="325" t="s">
        <v>171</v>
      </c>
      <c r="R8" s="326" t="s">
        <v>171</v>
      </c>
      <c r="S8" s="326">
        <v>37299882.5</v>
      </c>
      <c r="T8" s="289" t="s">
        <v>118</v>
      </c>
    </row>
    <row r="9" spans="1:20" ht="21" customHeight="1">
      <c r="A9" s="289" t="s">
        <v>191</v>
      </c>
      <c r="B9" s="323" t="s">
        <v>171</v>
      </c>
      <c r="C9" s="324" t="s">
        <v>171</v>
      </c>
      <c r="D9" s="324" t="s">
        <v>171</v>
      </c>
      <c r="E9" s="324" t="s">
        <v>171</v>
      </c>
      <c r="F9" s="324" t="s">
        <v>171</v>
      </c>
      <c r="G9" s="324">
        <v>0</v>
      </c>
      <c r="H9" s="324" t="s">
        <v>171</v>
      </c>
      <c r="I9" s="324" t="s">
        <v>171</v>
      </c>
      <c r="J9" s="324">
        <v>0</v>
      </c>
      <c r="K9" s="324">
        <v>0</v>
      </c>
      <c r="L9" s="324">
        <v>612045</v>
      </c>
      <c r="M9" s="324">
        <v>612045</v>
      </c>
      <c r="N9" s="324">
        <v>136810</v>
      </c>
      <c r="O9" s="324" t="s">
        <v>171</v>
      </c>
      <c r="P9" s="324">
        <v>171300</v>
      </c>
      <c r="Q9" s="325" t="s">
        <v>171</v>
      </c>
      <c r="R9" s="326" t="s">
        <v>171</v>
      </c>
      <c r="S9" s="326">
        <v>920155</v>
      </c>
      <c r="T9" s="289" t="s">
        <v>191</v>
      </c>
    </row>
    <row r="10" spans="1:20" ht="21" customHeight="1">
      <c r="A10" s="289" t="s">
        <v>190</v>
      </c>
      <c r="B10" s="323" t="s">
        <v>171</v>
      </c>
      <c r="C10" s="324" t="s">
        <v>171</v>
      </c>
      <c r="D10" s="324" t="s">
        <v>171</v>
      </c>
      <c r="E10" s="324" t="s">
        <v>171</v>
      </c>
      <c r="F10" s="324" t="s">
        <v>171</v>
      </c>
      <c r="G10" s="324" t="s">
        <v>171</v>
      </c>
      <c r="H10" s="324" t="s">
        <v>171</v>
      </c>
      <c r="I10" s="324">
        <v>1400000</v>
      </c>
      <c r="J10" s="324">
        <v>1400000</v>
      </c>
      <c r="K10" s="324">
        <v>32400807</v>
      </c>
      <c r="L10" s="324" t="s">
        <v>171</v>
      </c>
      <c r="M10" s="324">
        <v>32400807</v>
      </c>
      <c r="N10" s="324" t="s">
        <v>171</v>
      </c>
      <c r="O10" s="324" t="s">
        <v>171</v>
      </c>
      <c r="P10" s="324">
        <v>7400650</v>
      </c>
      <c r="Q10" s="325" t="s">
        <v>171</v>
      </c>
      <c r="R10" s="326" t="s">
        <v>171</v>
      </c>
      <c r="S10" s="326">
        <v>41201457</v>
      </c>
      <c r="T10" s="289" t="s">
        <v>190</v>
      </c>
    </row>
    <row r="11" spans="1:20" ht="21" customHeight="1">
      <c r="A11" s="289" t="s">
        <v>13</v>
      </c>
      <c r="B11" s="323" t="s">
        <v>171</v>
      </c>
      <c r="C11" s="324" t="s">
        <v>171</v>
      </c>
      <c r="D11" s="324" t="s">
        <v>171</v>
      </c>
      <c r="E11" s="324" t="s">
        <v>171</v>
      </c>
      <c r="F11" s="324" t="s">
        <v>171</v>
      </c>
      <c r="G11" s="324" t="s">
        <v>171</v>
      </c>
      <c r="H11" s="324" t="s">
        <v>171</v>
      </c>
      <c r="I11" s="324" t="s">
        <v>171</v>
      </c>
      <c r="J11" s="324" t="s">
        <v>171</v>
      </c>
      <c r="K11" s="324" t="s">
        <v>171</v>
      </c>
      <c r="L11" s="324" t="s">
        <v>171</v>
      </c>
      <c r="M11" s="324" t="s">
        <v>171</v>
      </c>
      <c r="N11" s="324" t="s">
        <v>171</v>
      </c>
      <c r="O11" s="324">
        <v>24650000</v>
      </c>
      <c r="P11" s="324" t="s">
        <v>171</v>
      </c>
      <c r="Q11" s="325" t="s">
        <v>171</v>
      </c>
      <c r="R11" s="326" t="s">
        <v>171</v>
      </c>
      <c r="S11" s="326">
        <v>24650000</v>
      </c>
      <c r="T11" s="289" t="s">
        <v>13</v>
      </c>
    </row>
    <row r="12" spans="1:20" ht="21" customHeight="1">
      <c r="A12" s="289" t="s">
        <v>132</v>
      </c>
      <c r="B12" s="323" t="s">
        <v>171</v>
      </c>
      <c r="C12" s="324" t="s">
        <v>171</v>
      </c>
      <c r="D12" s="324" t="s">
        <v>171</v>
      </c>
      <c r="E12" s="324" t="s">
        <v>171</v>
      </c>
      <c r="F12" s="324" t="s">
        <v>171</v>
      </c>
      <c r="G12" s="324">
        <v>0</v>
      </c>
      <c r="H12" s="324" t="s">
        <v>171</v>
      </c>
      <c r="I12" s="324">
        <v>0</v>
      </c>
      <c r="J12" s="324">
        <v>0</v>
      </c>
      <c r="K12" s="324">
        <v>0</v>
      </c>
      <c r="L12" s="324" t="s">
        <v>171</v>
      </c>
      <c r="M12" s="324">
        <v>0</v>
      </c>
      <c r="N12" s="324" t="s">
        <v>171</v>
      </c>
      <c r="O12" s="324" t="s">
        <v>171</v>
      </c>
      <c r="P12" s="324">
        <v>88000</v>
      </c>
      <c r="Q12" s="325" t="s">
        <v>171</v>
      </c>
      <c r="R12" s="326">
        <v>368892.6</v>
      </c>
      <c r="S12" s="326">
        <v>456892.6</v>
      </c>
      <c r="T12" s="289" t="s">
        <v>132</v>
      </c>
    </row>
    <row r="13" spans="1:20" ht="21" customHeight="1">
      <c r="A13" s="327" t="s">
        <v>192</v>
      </c>
      <c r="B13" s="328" t="s">
        <v>171</v>
      </c>
      <c r="C13" s="329">
        <v>4700000</v>
      </c>
      <c r="D13" s="329" t="s">
        <v>171</v>
      </c>
      <c r="E13" s="329">
        <v>4700000</v>
      </c>
      <c r="F13" s="329">
        <v>360000</v>
      </c>
      <c r="G13" s="329">
        <v>36159028</v>
      </c>
      <c r="H13" s="329" t="s">
        <v>171</v>
      </c>
      <c r="I13" s="329">
        <v>1400000</v>
      </c>
      <c r="J13" s="329">
        <v>37919028</v>
      </c>
      <c r="K13" s="329">
        <v>32400807</v>
      </c>
      <c r="L13" s="329">
        <v>612045</v>
      </c>
      <c r="M13" s="329">
        <v>33012852</v>
      </c>
      <c r="N13" s="329">
        <v>136810</v>
      </c>
      <c r="O13" s="329">
        <v>24650000</v>
      </c>
      <c r="P13" s="329">
        <v>8800804.5</v>
      </c>
      <c r="Q13" s="330" t="s">
        <v>171</v>
      </c>
      <c r="R13" s="331">
        <v>368892.6</v>
      </c>
      <c r="S13" s="331">
        <v>109588387.09999999</v>
      </c>
      <c r="T13" s="327" t="s">
        <v>192</v>
      </c>
    </row>
    <row r="14" spans="1:20" ht="21" customHeight="1">
      <c r="A14" s="289" t="s">
        <v>179</v>
      </c>
      <c r="B14" s="323">
        <v>1581980</v>
      </c>
      <c r="C14" s="324" t="s">
        <v>171</v>
      </c>
      <c r="D14" s="324">
        <v>230443.4</v>
      </c>
      <c r="E14" s="324">
        <v>1812423.4</v>
      </c>
      <c r="F14" s="324" t="s">
        <v>171</v>
      </c>
      <c r="G14" s="324" t="s">
        <v>171</v>
      </c>
      <c r="H14" s="324" t="s">
        <v>171</v>
      </c>
      <c r="I14" s="324" t="s">
        <v>171</v>
      </c>
      <c r="J14" s="324" t="s">
        <v>171</v>
      </c>
      <c r="K14" s="324" t="s">
        <v>171</v>
      </c>
      <c r="L14" s="324" t="s">
        <v>171</v>
      </c>
      <c r="M14" s="324" t="s">
        <v>171</v>
      </c>
      <c r="N14" s="324" t="s">
        <v>171</v>
      </c>
      <c r="O14" s="324" t="s">
        <v>171</v>
      </c>
      <c r="P14" s="324" t="s">
        <v>171</v>
      </c>
      <c r="Q14" s="325" t="s">
        <v>171</v>
      </c>
      <c r="R14" s="326" t="s">
        <v>171</v>
      </c>
      <c r="S14" s="326">
        <v>1812423.4</v>
      </c>
      <c r="T14" s="289" t="s">
        <v>179</v>
      </c>
    </row>
    <row r="15" spans="1:20" ht="21" customHeight="1">
      <c r="A15" s="289" t="s">
        <v>193</v>
      </c>
      <c r="B15" s="323" t="s">
        <v>171</v>
      </c>
      <c r="C15" s="324" t="s">
        <v>171</v>
      </c>
      <c r="D15" s="324" t="s">
        <v>171</v>
      </c>
      <c r="E15" s="324" t="s">
        <v>171</v>
      </c>
      <c r="F15" s="324" t="s">
        <v>171</v>
      </c>
      <c r="G15" s="324" t="s">
        <v>171</v>
      </c>
      <c r="H15" s="324" t="s">
        <v>171</v>
      </c>
      <c r="I15" s="324" t="s">
        <v>171</v>
      </c>
      <c r="J15" s="324" t="s">
        <v>171</v>
      </c>
      <c r="K15" s="324" t="s">
        <v>171</v>
      </c>
      <c r="L15" s="324" t="s">
        <v>171</v>
      </c>
      <c r="M15" s="324" t="s">
        <v>171</v>
      </c>
      <c r="N15" s="324" t="s">
        <v>171</v>
      </c>
      <c r="O15" s="324" t="s">
        <v>171</v>
      </c>
      <c r="P15" s="324" t="s">
        <v>171</v>
      </c>
      <c r="Q15" s="325">
        <v>20973386.195</v>
      </c>
      <c r="R15" s="326" t="s">
        <v>171</v>
      </c>
      <c r="S15" s="326">
        <v>20973386.195</v>
      </c>
      <c r="T15" s="289" t="s">
        <v>193</v>
      </c>
    </row>
    <row r="16" spans="1:20" ht="21" customHeight="1">
      <c r="A16" s="289" t="s">
        <v>194</v>
      </c>
      <c r="B16" s="323" t="s">
        <v>171</v>
      </c>
      <c r="C16" s="324" t="s">
        <v>171</v>
      </c>
      <c r="D16" s="324" t="s">
        <v>171</v>
      </c>
      <c r="E16" s="324" t="s">
        <v>171</v>
      </c>
      <c r="F16" s="324" t="s">
        <v>171</v>
      </c>
      <c r="G16" s="324" t="s">
        <v>171</v>
      </c>
      <c r="H16" s="324" t="s">
        <v>171</v>
      </c>
      <c r="I16" s="324" t="s">
        <v>171</v>
      </c>
      <c r="J16" s="324" t="s">
        <v>171</v>
      </c>
      <c r="K16" s="324" t="s">
        <v>171</v>
      </c>
      <c r="L16" s="324" t="s">
        <v>171</v>
      </c>
      <c r="M16" s="324" t="s">
        <v>171</v>
      </c>
      <c r="N16" s="324" t="s">
        <v>171</v>
      </c>
      <c r="O16" s="324" t="s">
        <v>171</v>
      </c>
      <c r="P16" s="324" t="s">
        <v>171</v>
      </c>
      <c r="Q16" s="325">
        <v>1892502.4</v>
      </c>
      <c r="R16" s="326" t="s">
        <v>171</v>
      </c>
      <c r="S16" s="326">
        <v>1892502.4</v>
      </c>
      <c r="T16" s="289" t="s">
        <v>194</v>
      </c>
    </row>
    <row r="17" spans="1:28" ht="21" customHeight="1">
      <c r="A17" s="289" t="s">
        <v>195</v>
      </c>
      <c r="B17" s="323" t="s">
        <v>171</v>
      </c>
      <c r="C17" s="324" t="s">
        <v>171</v>
      </c>
      <c r="D17" s="324" t="s">
        <v>171</v>
      </c>
      <c r="E17" s="324" t="s">
        <v>171</v>
      </c>
      <c r="F17" s="324" t="s">
        <v>171</v>
      </c>
      <c r="G17" s="324" t="s">
        <v>171</v>
      </c>
      <c r="H17" s="324" t="s">
        <v>171</v>
      </c>
      <c r="I17" s="324" t="s">
        <v>171</v>
      </c>
      <c r="J17" s="324" t="s">
        <v>171</v>
      </c>
      <c r="K17" s="324" t="s">
        <v>171</v>
      </c>
      <c r="L17" s="324" t="s">
        <v>171</v>
      </c>
      <c r="M17" s="324" t="s">
        <v>171</v>
      </c>
      <c r="N17" s="324" t="s">
        <v>171</v>
      </c>
      <c r="O17" s="324" t="s">
        <v>171</v>
      </c>
      <c r="P17" s="324" t="s">
        <v>171</v>
      </c>
      <c r="Q17" s="325">
        <v>255580</v>
      </c>
      <c r="R17" s="326" t="s">
        <v>171</v>
      </c>
      <c r="S17" s="326">
        <v>255580</v>
      </c>
      <c r="T17" s="289" t="s">
        <v>195</v>
      </c>
    </row>
    <row r="18" spans="1:28" ht="21" customHeight="1">
      <c r="A18" s="289" t="s">
        <v>196</v>
      </c>
      <c r="B18" s="323" t="s">
        <v>171</v>
      </c>
      <c r="C18" s="324" t="s">
        <v>171</v>
      </c>
      <c r="D18" s="324" t="s">
        <v>171</v>
      </c>
      <c r="E18" s="324" t="s">
        <v>171</v>
      </c>
      <c r="F18" s="324">
        <v>40000</v>
      </c>
      <c r="G18" s="324">
        <v>309630</v>
      </c>
      <c r="H18" s="324" t="s">
        <v>171</v>
      </c>
      <c r="I18" s="324" t="s">
        <v>171</v>
      </c>
      <c r="J18" s="324">
        <v>349630</v>
      </c>
      <c r="K18" s="324" t="s">
        <v>171</v>
      </c>
      <c r="L18" s="324" t="s">
        <v>171</v>
      </c>
      <c r="M18" s="324" t="s">
        <v>171</v>
      </c>
      <c r="N18" s="324" t="s">
        <v>171</v>
      </c>
      <c r="O18" s="324" t="s">
        <v>171</v>
      </c>
      <c r="P18" s="324">
        <v>118369.5</v>
      </c>
      <c r="Q18" s="325">
        <v>1801199.12</v>
      </c>
      <c r="R18" s="326" t="s">
        <v>171</v>
      </c>
      <c r="S18" s="326">
        <v>2269198.62</v>
      </c>
      <c r="T18" s="289" t="s">
        <v>196</v>
      </c>
    </row>
    <row r="19" spans="1:28" ht="21" customHeight="1">
      <c r="A19" s="289" t="s">
        <v>197</v>
      </c>
      <c r="B19" s="323" t="s">
        <v>171</v>
      </c>
      <c r="C19" s="324" t="s">
        <v>171</v>
      </c>
      <c r="D19" s="324" t="s">
        <v>171</v>
      </c>
      <c r="E19" s="324" t="s">
        <v>171</v>
      </c>
      <c r="F19" s="324" t="s">
        <v>171</v>
      </c>
      <c r="G19" s="324" t="s">
        <v>171</v>
      </c>
      <c r="H19" s="324" t="s">
        <v>171</v>
      </c>
      <c r="I19" s="324" t="s">
        <v>171</v>
      </c>
      <c r="J19" s="324" t="s">
        <v>171</v>
      </c>
      <c r="K19" s="324" t="s">
        <v>171</v>
      </c>
      <c r="L19" s="324" t="s">
        <v>171</v>
      </c>
      <c r="M19" s="324" t="s">
        <v>171</v>
      </c>
      <c r="N19" s="324" t="s">
        <v>171</v>
      </c>
      <c r="O19" s="324" t="s">
        <v>171</v>
      </c>
      <c r="P19" s="324" t="s">
        <v>171</v>
      </c>
      <c r="Q19" s="325">
        <v>879794</v>
      </c>
      <c r="R19" s="326" t="s">
        <v>171</v>
      </c>
      <c r="S19" s="326">
        <v>879794</v>
      </c>
      <c r="T19" s="289" t="s">
        <v>197</v>
      </c>
    </row>
    <row r="20" spans="1:28" ht="21" customHeight="1">
      <c r="A20" s="289" t="s">
        <v>198</v>
      </c>
      <c r="B20" s="323" t="s">
        <v>171</v>
      </c>
      <c r="C20" s="324" t="s">
        <v>171</v>
      </c>
      <c r="D20" s="324" t="s">
        <v>171</v>
      </c>
      <c r="E20" s="324" t="s">
        <v>171</v>
      </c>
      <c r="F20" s="324" t="s">
        <v>171</v>
      </c>
      <c r="G20" s="324" t="s">
        <v>171</v>
      </c>
      <c r="H20" s="324" t="s">
        <v>171</v>
      </c>
      <c r="I20" s="324" t="s">
        <v>171</v>
      </c>
      <c r="J20" s="324" t="s">
        <v>171</v>
      </c>
      <c r="K20" s="324" t="s">
        <v>171</v>
      </c>
      <c r="L20" s="324" t="s">
        <v>171</v>
      </c>
      <c r="M20" s="324" t="s">
        <v>171</v>
      </c>
      <c r="N20" s="324" t="s">
        <v>171</v>
      </c>
      <c r="O20" s="324" t="s">
        <v>171</v>
      </c>
      <c r="P20" s="324" t="s">
        <v>171</v>
      </c>
      <c r="Q20" s="325">
        <v>346330</v>
      </c>
      <c r="R20" s="326" t="s">
        <v>171</v>
      </c>
      <c r="S20" s="326">
        <v>346330</v>
      </c>
      <c r="T20" s="289" t="s">
        <v>198</v>
      </c>
    </row>
    <row r="21" spans="1:28" ht="21" customHeight="1">
      <c r="A21" s="332" t="s">
        <v>199</v>
      </c>
      <c r="B21" s="333">
        <v>1581980</v>
      </c>
      <c r="C21" s="334" t="s">
        <v>171</v>
      </c>
      <c r="D21" s="334">
        <v>230443.4</v>
      </c>
      <c r="E21" s="334">
        <v>1812423.4</v>
      </c>
      <c r="F21" s="334">
        <v>40000</v>
      </c>
      <c r="G21" s="334">
        <v>309630</v>
      </c>
      <c r="H21" s="334" t="s">
        <v>171</v>
      </c>
      <c r="I21" s="334" t="s">
        <v>171</v>
      </c>
      <c r="J21" s="334">
        <v>349630</v>
      </c>
      <c r="K21" s="334" t="s">
        <v>171</v>
      </c>
      <c r="L21" s="334" t="s">
        <v>171</v>
      </c>
      <c r="M21" s="334" t="s">
        <v>171</v>
      </c>
      <c r="N21" s="334" t="s">
        <v>171</v>
      </c>
      <c r="O21" s="334" t="s">
        <v>171</v>
      </c>
      <c r="P21" s="334">
        <v>118369.5</v>
      </c>
      <c r="Q21" s="335">
        <v>26148791.715</v>
      </c>
      <c r="R21" s="336" t="s">
        <v>171</v>
      </c>
      <c r="S21" s="336">
        <v>28429214.614999998</v>
      </c>
      <c r="T21" s="332" t="s">
        <v>199</v>
      </c>
    </row>
    <row r="22" spans="1:28" ht="21" customHeight="1">
      <c r="A22" s="337" t="s">
        <v>200</v>
      </c>
      <c r="B22" s="338">
        <v>1581980</v>
      </c>
      <c r="C22" s="339">
        <v>4700000</v>
      </c>
      <c r="D22" s="339">
        <v>230443.4</v>
      </c>
      <c r="E22" s="339">
        <v>6512423.4000000004</v>
      </c>
      <c r="F22" s="339">
        <v>400000</v>
      </c>
      <c r="G22" s="339">
        <v>36468658</v>
      </c>
      <c r="H22" s="339" t="s">
        <v>171</v>
      </c>
      <c r="I22" s="339">
        <v>1400000</v>
      </c>
      <c r="J22" s="339">
        <v>38268658</v>
      </c>
      <c r="K22" s="339">
        <v>32400807</v>
      </c>
      <c r="L22" s="339">
        <v>612045</v>
      </c>
      <c r="M22" s="339">
        <v>33012852</v>
      </c>
      <c r="N22" s="339">
        <v>136810</v>
      </c>
      <c r="O22" s="339">
        <v>24650000</v>
      </c>
      <c r="P22" s="339">
        <v>8919174</v>
      </c>
      <c r="Q22" s="339">
        <v>26148791.715</v>
      </c>
      <c r="R22" s="338">
        <v>368892.6</v>
      </c>
      <c r="S22" s="338">
        <v>138017601.715</v>
      </c>
      <c r="T22" s="337" t="s">
        <v>200</v>
      </c>
    </row>
    <row r="23" spans="1:28" ht="12" customHeight="1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28" ht="20.100000000000001" customHeight="1">
      <c r="A24" s="316" t="s">
        <v>201</v>
      </c>
      <c r="B24" s="341"/>
      <c r="C24" s="341"/>
      <c r="D24" s="341"/>
      <c r="E24" s="341"/>
      <c r="F24" s="341"/>
      <c r="G24" s="341"/>
      <c r="H24" s="342"/>
      <c r="I24" s="342" t="s">
        <v>202</v>
      </c>
      <c r="J24" s="341"/>
      <c r="K24" s="316" t="s">
        <v>201</v>
      </c>
      <c r="L24" s="250"/>
      <c r="M24" s="250"/>
      <c r="N24" s="250"/>
      <c r="O24" s="250"/>
      <c r="P24" s="250"/>
      <c r="Q24" s="250"/>
      <c r="R24" s="250"/>
      <c r="S24" s="250"/>
      <c r="T24" s="250"/>
    </row>
    <row r="25" spans="1:28" ht="20.100000000000001" customHeight="1">
      <c r="A25" s="343" t="s">
        <v>203</v>
      </c>
      <c r="B25" s="344" t="s">
        <v>13</v>
      </c>
      <c r="C25" s="344" t="s">
        <v>204</v>
      </c>
      <c r="D25" s="344" t="s">
        <v>190</v>
      </c>
      <c r="E25" s="344" t="s">
        <v>140</v>
      </c>
      <c r="F25" s="344" t="s">
        <v>191</v>
      </c>
      <c r="G25" s="344" t="s">
        <v>187</v>
      </c>
      <c r="H25" s="345" t="s">
        <v>141</v>
      </c>
      <c r="I25" s="345" t="s">
        <v>200</v>
      </c>
      <c r="J25" s="341"/>
      <c r="K25" s="346" t="s">
        <v>205</v>
      </c>
      <c r="L25" s="347"/>
      <c r="M25" s="348">
        <f>L26+N26+P26+R26</f>
        <v>38127882</v>
      </c>
      <c r="N25" s="347"/>
      <c r="O25" s="347"/>
      <c r="P25" s="347"/>
      <c r="Q25" s="347"/>
      <c r="R25" s="347"/>
      <c r="S25" s="341"/>
      <c r="T25" s="250"/>
      <c r="V25" s="2895"/>
      <c r="W25" s="2895"/>
      <c r="X25" s="2895"/>
      <c r="Y25" s="2895"/>
      <c r="Z25" s="2895"/>
      <c r="AA25" s="2895"/>
      <c r="AB25" s="2895"/>
    </row>
    <row r="26" spans="1:28" ht="20.100000000000001" customHeight="1">
      <c r="A26" s="349" t="s">
        <v>206</v>
      </c>
      <c r="B26" s="350">
        <v>24650000</v>
      </c>
      <c r="C26" s="350">
        <v>38127882</v>
      </c>
      <c r="D26" s="350">
        <v>41201457</v>
      </c>
      <c r="E26" s="350">
        <v>27961215.114999998</v>
      </c>
      <c r="F26" s="350">
        <v>920155</v>
      </c>
      <c r="G26" s="350">
        <v>4700000</v>
      </c>
      <c r="H26" s="351">
        <v>456892.6</v>
      </c>
      <c r="I26" s="351">
        <v>138017601.715</v>
      </c>
      <c r="J26" s="341"/>
      <c r="K26" s="352" t="s">
        <v>207</v>
      </c>
      <c r="L26" s="353">
        <f>F22</f>
        <v>400000</v>
      </c>
      <c r="M26" s="305" t="s">
        <v>208</v>
      </c>
      <c r="N26" s="353">
        <f>G22</f>
        <v>36468658</v>
      </c>
      <c r="O26" s="354" t="s">
        <v>209</v>
      </c>
      <c r="P26" s="353">
        <f>P8</f>
        <v>1140854.5</v>
      </c>
      <c r="Q26" s="355" t="s">
        <v>210</v>
      </c>
      <c r="R26" s="353">
        <f>P18</f>
        <v>118369.5</v>
      </c>
      <c r="S26" s="341"/>
      <c r="T26" s="250"/>
      <c r="V26" s="2895"/>
      <c r="W26" s="2895"/>
      <c r="X26" s="2895"/>
      <c r="Y26" s="2895"/>
      <c r="Z26" s="2895"/>
      <c r="AA26" s="2895"/>
      <c r="AB26" s="2895"/>
    </row>
    <row r="27" spans="1:28" ht="20.100000000000001" customHeight="1">
      <c r="A27" s="356" t="s">
        <v>211</v>
      </c>
      <c r="B27" s="357">
        <v>17.86</v>
      </c>
      <c r="C27" s="357">
        <v>27.625399999999999</v>
      </c>
      <c r="D27" s="357">
        <v>29.8523</v>
      </c>
      <c r="E27" s="357">
        <v>20.2592</v>
      </c>
      <c r="F27" s="357">
        <v>0.66669999999999996</v>
      </c>
      <c r="G27" s="357">
        <v>3.4054000000000002</v>
      </c>
      <c r="H27" s="358">
        <v>0.33100000000000002</v>
      </c>
      <c r="I27" s="358">
        <v>100</v>
      </c>
      <c r="J27" s="341"/>
      <c r="K27" s="346" t="s">
        <v>212</v>
      </c>
      <c r="L27" s="347"/>
      <c r="M27" s="348">
        <f>L28+N28+P28</f>
        <v>41201457</v>
      </c>
      <c r="N27" s="347"/>
      <c r="O27" s="347"/>
      <c r="P27" s="347"/>
      <c r="Q27" s="347"/>
      <c r="R27" s="347"/>
      <c r="S27" s="341"/>
      <c r="T27" s="250"/>
      <c r="V27" s="2895"/>
      <c r="W27" s="2895"/>
      <c r="X27" s="2895"/>
      <c r="Y27" s="2895"/>
      <c r="Z27" s="2895"/>
      <c r="AA27" s="2895"/>
      <c r="AB27" s="2895"/>
    </row>
    <row r="28" spans="1:28" ht="20.100000000000001" customHeight="1">
      <c r="A28" s="359" t="s">
        <v>213</v>
      </c>
      <c r="B28" s="341"/>
      <c r="C28" s="341"/>
      <c r="D28" s="341"/>
      <c r="E28" s="341"/>
      <c r="F28" s="341"/>
      <c r="G28" s="341"/>
      <c r="H28" s="341"/>
      <c r="I28" s="342"/>
      <c r="J28" s="342" t="s">
        <v>202</v>
      </c>
      <c r="K28" s="360" t="s">
        <v>214</v>
      </c>
      <c r="L28" s="353">
        <f>I22</f>
        <v>1400000</v>
      </c>
      <c r="M28" s="305" t="s">
        <v>215</v>
      </c>
      <c r="N28" s="353">
        <f>K22</f>
        <v>32400807</v>
      </c>
      <c r="O28" s="361" t="s">
        <v>216</v>
      </c>
      <c r="P28" s="353">
        <f>P10</f>
        <v>7400650</v>
      </c>
      <c r="Q28" s="347"/>
      <c r="R28" s="347"/>
      <c r="S28" s="341"/>
      <c r="T28" s="250"/>
    </row>
    <row r="29" spans="1:28" ht="20.100000000000001" customHeight="1">
      <c r="A29" s="343" t="s">
        <v>203</v>
      </c>
      <c r="B29" s="344" t="s">
        <v>13</v>
      </c>
      <c r="C29" s="344" t="s">
        <v>204</v>
      </c>
      <c r="D29" s="344" t="s">
        <v>190</v>
      </c>
      <c r="E29" s="344" t="s">
        <v>140</v>
      </c>
      <c r="F29" s="344" t="s">
        <v>191</v>
      </c>
      <c r="G29" s="344" t="s">
        <v>187</v>
      </c>
      <c r="H29" s="344" t="s">
        <v>183</v>
      </c>
      <c r="I29" s="345" t="s">
        <v>141</v>
      </c>
      <c r="J29" s="345" t="s">
        <v>200</v>
      </c>
      <c r="K29" s="346" t="s">
        <v>217</v>
      </c>
      <c r="L29" s="347"/>
      <c r="M29" s="348">
        <f>L30+N30</f>
        <v>27961215.114999998</v>
      </c>
      <c r="N29" s="347"/>
      <c r="O29" s="347"/>
      <c r="P29" s="347"/>
      <c r="Q29" s="347"/>
      <c r="R29" s="347"/>
      <c r="S29" s="341"/>
      <c r="T29" s="250"/>
    </row>
    <row r="30" spans="1:28" ht="20.100000000000001" customHeight="1">
      <c r="A30" s="349" t="s">
        <v>206</v>
      </c>
      <c r="B30" s="362">
        <v>24650000</v>
      </c>
      <c r="C30" s="362">
        <v>36868658</v>
      </c>
      <c r="D30" s="362">
        <v>33800807</v>
      </c>
      <c r="E30" s="362">
        <v>27961215.114999998</v>
      </c>
      <c r="F30" s="362">
        <v>748855</v>
      </c>
      <c r="G30" s="362">
        <v>4700000</v>
      </c>
      <c r="H30" s="362">
        <v>8919174</v>
      </c>
      <c r="I30" s="363">
        <v>368892.6</v>
      </c>
      <c r="J30" s="351">
        <v>138017601.715</v>
      </c>
      <c r="K30" s="360" t="s">
        <v>218</v>
      </c>
      <c r="L30" s="353">
        <f>E14</f>
        <v>1812423.4</v>
      </c>
      <c r="M30" s="364" t="s">
        <v>219</v>
      </c>
      <c r="N30" s="353">
        <f>Q21</f>
        <v>26148791.715</v>
      </c>
      <c r="Q30" s="347"/>
      <c r="R30" s="347"/>
      <c r="S30" s="341"/>
      <c r="T30" s="250"/>
    </row>
    <row r="31" spans="1:28" ht="20.100000000000001" customHeight="1">
      <c r="A31" s="356" t="s">
        <v>211</v>
      </c>
      <c r="B31" s="357">
        <v>17.86</v>
      </c>
      <c r="C31" s="357">
        <v>26.713000000000001</v>
      </c>
      <c r="D31" s="357">
        <v>24.490200000000002</v>
      </c>
      <c r="E31" s="357">
        <v>20.2592</v>
      </c>
      <c r="F31" s="357">
        <v>0.54259999999999997</v>
      </c>
      <c r="G31" s="357">
        <v>3.4054000000000002</v>
      </c>
      <c r="H31" s="357">
        <v>6.4622999999999999</v>
      </c>
      <c r="I31" s="358">
        <v>0.26729999999999998</v>
      </c>
      <c r="J31" s="358">
        <v>100</v>
      </c>
      <c r="K31" s="346" t="s">
        <v>220</v>
      </c>
      <c r="L31" s="347"/>
      <c r="M31" s="348">
        <f>L32+N32+P32+R32</f>
        <v>920155</v>
      </c>
      <c r="N31" s="347"/>
      <c r="O31" s="347"/>
      <c r="P31" s="347"/>
      <c r="Q31" s="347"/>
      <c r="R31" s="347"/>
      <c r="S31" s="341"/>
      <c r="T31" s="250"/>
    </row>
    <row r="32" spans="1:28" ht="15.95" customHeight="1">
      <c r="A32" s="347"/>
      <c r="B32" s="365"/>
      <c r="C32" s="365"/>
      <c r="D32" s="365"/>
      <c r="E32" s="365"/>
      <c r="F32" s="365"/>
      <c r="G32" s="365"/>
      <c r="H32" s="365"/>
      <c r="I32" s="365"/>
      <c r="J32" s="365"/>
      <c r="K32" s="360" t="s">
        <v>221</v>
      </c>
      <c r="L32" s="353">
        <v>0</v>
      </c>
      <c r="M32" s="305" t="s">
        <v>222</v>
      </c>
      <c r="N32" s="353">
        <f>L22</f>
        <v>612045</v>
      </c>
      <c r="O32" s="366" t="s">
        <v>223</v>
      </c>
      <c r="P32" s="353">
        <f>N22</f>
        <v>136810</v>
      </c>
      <c r="Q32" s="367" t="s">
        <v>224</v>
      </c>
      <c r="R32" s="353">
        <f>P9</f>
        <v>171300</v>
      </c>
      <c r="S32" s="341"/>
      <c r="T32" s="250"/>
    </row>
    <row r="33" spans="1:20" ht="20.100000000000001" customHeight="1">
      <c r="A33" s="316" t="s">
        <v>225</v>
      </c>
      <c r="B33" s="341"/>
      <c r="C33" s="341"/>
      <c r="D33" s="341"/>
      <c r="E33" s="341"/>
      <c r="F33" s="341"/>
      <c r="G33" s="341"/>
      <c r="H33" s="342"/>
      <c r="I33" s="342" t="s">
        <v>202</v>
      </c>
      <c r="J33" s="365"/>
      <c r="K33" s="346"/>
      <c r="L33" s="347"/>
      <c r="M33" s="348"/>
      <c r="N33" s="347"/>
      <c r="O33" s="347"/>
      <c r="P33" s="347"/>
      <c r="Q33" s="347"/>
      <c r="R33" s="347"/>
      <c r="S33" s="341"/>
      <c r="T33" s="250"/>
    </row>
    <row r="34" spans="1:20" ht="20.100000000000001" customHeight="1">
      <c r="A34" s="343" t="s">
        <v>203</v>
      </c>
      <c r="B34" s="344" t="s">
        <v>13</v>
      </c>
      <c r="C34" s="344" t="s">
        <v>204</v>
      </c>
      <c r="D34" s="344" t="s">
        <v>190</v>
      </c>
      <c r="E34" s="344" t="s">
        <v>140</v>
      </c>
      <c r="F34" s="344" t="s">
        <v>191</v>
      </c>
      <c r="G34" s="344" t="s">
        <v>187</v>
      </c>
      <c r="H34" s="345" t="s">
        <v>141</v>
      </c>
      <c r="I34" s="345" t="s">
        <v>200</v>
      </c>
      <c r="J34" s="365"/>
      <c r="K34" s="316" t="s">
        <v>225</v>
      </c>
      <c r="L34" s="347"/>
      <c r="M34" s="348"/>
      <c r="N34" s="347"/>
      <c r="O34" s="347"/>
      <c r="P34" s="347"/>
      <c r="Q34" s="347"/>
      <c r="R34" s="347"/>
      <c r="S34" s="341"/>
      <c r="T34" s="250"/>
    </row>
    <row r="35" spans="1:20" ht="20.100000000000001" customHeight="1">
      <c r="A35" s="349" t="s">
        <v>206</v>
      </c>
      <c r="B35" s="350">
        <v>24650000</v>
      </c>
      <c r="C35" s="350">
        <v>37659882.5</v>
      </c>
      <c r="D35" s="350">
        <v>41201457</v>
      </c>
      <c r="E35" s="350">
        <v>28429214.614999998</v>
      </c>
      <c r="F35" s="350">
        <v>920155</v>
      </c>
      <c r="G35" s="350">
        <v>4700000</v>
      </c>
      <c r="H35" s="351">
        <v>456892.6</v>
      </c>
      <c r="I35" s="351">
        <v>138017601.715</v>
      </c>
      <c r="J35" s="365"/>
      <c r="K35" s="368" t="s">
        <v>226</v>
      </c>
      <c r="L35" s="347"/>
      <c r="M35" s="348"/>
      <c r="N35" s="347"/>
      <c r="O35" s="347"/>
      <c r="P35" s="347"/>
      <c r="Q35" s="347"/>
      <c r="R35" s="347"/>
      <c r="S35" s="341"/>
      <c r="T35" s="250"/>
    </row>
    <row r="36" spans="1:20" ht="20.100000000000001" customHeight="1">
      <c r="A36" s="356" t="s">
        <v>211</v>
      </c>
      <c r="B36" s="357">
        <v>17.86</v>
      </c>
      <c r="C36" s="357">
        <v>27.286000000000001</v>
      </c>
      <c r="D36" s="357">
        <v>29.852</v>
      </c>
      <c r="E36" s="357">
        <v>20.597999999999999</v>
      </c>
      <c r="F36" s="357">
        <v>0.66700000000000004</v>
      </c>
      <c r="G36" s="357">
        <v>3.4049999999999998</v>
      </c>
      <c r="H36" s="358">
        <v>0.33100000000000002</v>
      </c>
      <c r="I36" s="358">
        <v>100</v>
      </c>
      <c r="J36" s="365"/>
      <c r="K36" s="346"/>
      <c r="L36" s="347"/>
      <c r="M36" s="348"/>
      <c r="N36" s="347"/>
      <c r="O36" s="347"/>
      <c r="P36" s="347"/>
      <c r="Q36" s="347"/>
      <c r="R36" s="347"/>
      <c r="S36" s="341"/>
      <c r="T36" s="250"/>
    </row>
    <row r="37" spans="1:20" ht="15" customHeight="1">
      <c r="A37" s="305" t="s">
        <v>227</v>
      </c>
      <c r="B37" s="250"/>
      <c r="C37" s="250"/>
      <c r="D37" s="250"/>
      <c r="E37" s="250"/>
      <c r="F37" s="250"/>
      <c r="G37" s="250"/>
      <c r="H37" s="250"/>
      <c r="I37" s="250"/>
      <c r="J37" s="250"/>
      <c r="S37" s="369"/>
      <c r="T37" s="250"/>
    </row>
    <row r="38" spans="1:20" ht="15" customHeight="1">
      <c r="A38" s="305" t="s">
        <v>1753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369"/>
      <c r="O38" s="250"/>
      <c r="P38" s="250"/>
      <c r="Q38" s="250"/>
      <c r="R38" s="250"/>
      <c r="S38" s="250"/>
      <c r="T38" s="250"/>
    </row>
    <row r="39" spans="1:20" ht="15" customHeight="1">
      <c r="A39" s="305" t="s">
        <v>228</v>
      </c>
    </row>
  </sheetData>
  <mergeCells count="12">
    <mergeCell ref="V25:AB27"/>
    <mergeCell ref="A4:A5"/>
    <mergeCell ref="B4:E4"/>
    <mergeCell ref="F4:J4"/>
    <mergeCell ref="K4:M4"/>
    <mergeCell ref="N4:N5"/>
    <mergeCell ref="O4:O5"/>
    <mergeCell ref="P4:P5"/>
    <mergeCell ref="Q4:Q5"/>
    <mergeCell ref="R4:R5"/>
    <mergeCell ref="S4:S5"/>
    <mergeCell ref="T4:T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0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0" max="3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74"/>
  <sheetViews>
    <sheetView showGridLines="0" view="pageBreakPreview" zoomScale="82" zoomScaleNormal="100" zoomScaleSheetLayoutView="82" workbookViewId="0">
      <selection activeCell="B1" sqref="B1"/>
    </sheetView>
  </sheetViews>
  <sheetFormatPr defaultColWidth="10" defaultRowHeight="16.5"/>
  <cols>
    <col min="1" max="1" width="3.125" style="14" customWidth="1"/>
    <col min="2" max="2" width="9.25" style="535" customWidth="1"/>
    <col min="3" max="3" width="9.5" style="531" customWidth="1"/>
    <col min="4" max="4" width="9.5" style="535" customWidth="1"/>
    <col min="5" max="5" width="9.5" style="531" customWidth="1"/>
    <col min="6" max="6" width="9.5" style="535" customWidth="1"/>
    <col min="7" max="7" width="9.25" style="531" customWidth="1"/>
    <col min="8" max="8" width="9.5" style="535" customWidth="1"/>
    <col min="9" max="9" width="9.5" style="531" customWidth="1"/>
    <col min="10" max="10" width="9.5" style="535" customWidth="1"/>
    <col min="11" max="11" width="9.5" style="531" customWidth="1"/>
    <col min="12" max="12" width="3.125" style="535" customWidth="1"/>
    <col min="13" max="13" width="9.25" style="14" customWidth="1"/>
    <col min="14" max="17" width="9.5" style="14" customWidth="1"/>
    <col min="18" max="18" width="9.25" style="14" customWidth="1"/>
    <col min="19" max="19" width="9.5" style="14" customWidth="1"/>
    <col min="20" max="20" width="9.25" style="14" customWidth="1"/>
    <col min="21" max="21" width="9.5" style="14" customWidth="1"/>
    <col min="22" max="22" width="9.875" style="14" customWidth="1"/>
    <col min="23" max="16384" width="10" style="14"/>
  </cols>
  <sheetData>
    <row r="1" spans="1:24" ht="20.25">
      <c r="A1" s="370" t="s">
        <v>229</v>
      </c>
      <c r="B1" s="370"/>
      <c r="C1" s="371"/>
      <c r="D1" s="372"/>
      <c r="E1" s="371"/>
      <c r="F1" s="372"/>
      <c r="G1" s="371"/>
      <c r="H1" s="372"/>
      <c r="I1" s="371"/>
      <c r="J1" s="372"/>
      <c r="K1" s="371"/>
      <c r="L1" s="372"/>
      <c r="M1" s="373"/>
      <c r="N1" s="373"/>
      <c r="O1" s="373"/>
      <c r="P1" s="373"/>
      <c r="Q1" s="373"/>
      <c r="R1" s="373"/>
      <c r="S1" s="373"/>
      <c r="T1" s="373"/>
      <c r="U1" s="374"/>
      <c r="V1" s="374"/>
    </row>
    <row r="2" spans="1:24" ht="21" customHeight="1">
      <c r="A2" s="375" t="s">
        <v>230</v>
      </c>
      <c r="B2" s="372"/>
      <c r="C2" s="371"/>
      <c r="D2" s="372"/>
      <c r="E2" s="371"/>
      <c r="F2" s="372"/>
      <c r="G2" s="371"/>
      <c r="H2" s="372"/>
      <c r="I2" s="371"/>
      <c r="J2" s="372"/>
      <c r="K2" s="371"/>
      <c r="L2" s="372"/>
      <c r="M2" s="373"/>
      <c r="N2" s="373"/>
      <c r="O2" s="373"/>
      <c r="P2" s="373"/>
      <c r="Q2" s="373"/>
      <c r="R2" s="373"/>
      <c r="S2" s="373"/>
      <c r="T2" s="373"/>
      <c r="U2" s="374"/>
      <c r="V2" s="374"/>
    </row>
    <row r="3" spans="1:24" s="382" customFormat="1" ht="18" customHeight="1">
      <c r="A3" s="376"/>
      <c r="B3" s="316" t="s">
        <v>231</v>
      </c>
      <c r="C3" s="377"/>
      <c r="D3" s="376"/>
      <c r="E3" s="377"/>
      <c r="F3" s="376"/>
      <c r="G3" s="377"/>
      <c r="H3" s="376"/>
      <c r="I3" s="377"/>
      <c r="J3" s="376"/>
      <c r="K3" s="378" t="s">
        <v>232</v>
      </c>
      <c r="L3" s="376"/>
      <c r="M3" s="376"/>
      <c r="N3" s="376"/>
      <c r="O3" s="376"/>
      <c r="P3" s="376"/>
      <c r="Q3" s="376"/>
      <c r="R3" s="379"/>
      <c r="S3" s="379"/>
      <c r="T3" s="379"/>
      <c r="U3" s="380"/>
      <c r="V3" s="381" t="s">
        <v>233</v>
      </c>
    </row>
    <row r="4" spans="1:24" ht="20.100000000000001" customHeight="1">
      <c r="A4" s="383" t="s">
        <v>234</v>
      </c>
      <c r="B4" s="2901" t="s">
        <v>235</v>
      </c>
      <c r="C4" s="2901"/>
      <c r="D4" s="2901" t="s">
        <v>204</v>
      </c>
      <c r="E4" s="2901"/>
      <c r="F4" s="2901" t="s">
        <v>236</v>
      </c>
      <c r="G4" s="2901"/>
      <c r="H4" s="2901" t="s">
        <v>237</v>
      </c>
      <c r="I4" s="2901"/>
      <c r="J4" s="2901" t="s">
        <v>13</v>
      </c>
      <c r="K4" s="2901"/>
      <c r="L4" s="384" t="s">
        <v>234</v>
      </c>
      <c r="M4" s="2901" t="s">
        <v>235</v>
      </c>
      <c r="N4" s="2901"/>
      <c r="O4" s="2901" t="s">
        <v>238</v>
      </c>
      <c r="P4" s="2901"/>
      <c r="Q4" s="2902" t="s">
        <v>239</v>
      </c>
      <c r="R4" s="2903"/>
      <c r="S4" s="2903"/>
      <c r="T4" s="2903"/>
      <c r="U4" s="2902" t="s">
        <v>132</v>
      </c>
      <c r="V4" s="2904"/>
    </row>
    <row r="5" spans="1:24" s="390" customFormat="1" ht="20.100000000000001" customHeight="1">
      <c r="A5" s="385" t="s">
        <v>240</v>
      </c>
      <c r="B5" s="386" t="s">
        <v>241</v>
      </c>
      <c r="C5" s="386" t="s">
        <v>242</v>
      </c>
      <c r="D5" s="386" t="s">
        <v>241</v>
      </c>
      <c r="E5" s="386" t="s">
        <v>242</v>
      </c>
      <c r="F5" s="386" t="s">
        <v>243</v>
      </c>
      <c r="G5" s="386" t="s">
        <v>242</v>
      </c>
      <c r="H5" s="386" t="s">
        <v>241</v>
      </c>
      <c r="I5" s="386" t="s">
        <v>242</v>
      </c>
      <c r="J5" s="386" t="s">
        <v>243</v>
      </c>
      <c r="K5" s="386" t="s">
        <v>242</v>
      </c>
      <c r="L5" s="387" t="s">
        <v>240</v>
      </c>
      <c r="M5" s="386" t="s">
        <v>243</v>
      </c>
      <c r="N5" s="386" t="s">
        <v>242</v>
      </c>
      <c r="O5" s="386" t="s">
        <v>243</v>
      </c>
      <c r="P5" s="386" t="s">
        <v>242</v>
      </c>
      <c r="Q5" s="388" t="s">
        <v>243</v>
      </c>
      <c r="R5" s="386" t="s">
        <v>242</v>
      </c>
      <c r="S5" s="388" t="s">
        <v>243</v>
      </c>
      <c r="T5" s="386" t="s">
        <v>242</v>
      </c>
      <c r="U5" s="386" t="s">
        <v>241</v>
      </c>
      <c r="V5" s="389" t="s">
        <v>242</v>
      </c>
    </row>
    <row r="6" spans="1:24" s="406" customFormat="1" ht="20.100000000000001" customHeight="1">
      <c r="A6" s="391"/>
      <c r="B6" s="392" t="s">
        <v>244</v>
      </c>
      <c r="C6" s="393"/>
      <c r="D6" s="394" t="s">
        <v>245</v>
      </c>
      <c r="E6" s="395"/>
      <c r="F6" s="396" t="s">
        <v>246</v>
      </c>
      <c r="G6" s="397"/>
      <c r="H6" s="392" t="s">
        <v>247</v>
      </c>
      <c r="I6" s="395"/>
      <c r="J6" s="394" t="s">
        <v>248</v>
      </c>
      <c r="K6" s="398"/>
      <c r="L6" s="399"/>
      <c r="M6" s="400" t="s">
        <v>249</v>
      </c>
      <c r="N6" s="394"/>
      <c r="O6" s="394" t="s">
        <v>250</v>
      </c>
      <c r="P6" s="394"/>
      <c r="Q6" s="401" t="s">
        <v>251</v>
      </c>
      <c r="R6" s="394"/>
      <c r="S6" s="402" t="s">
        <v>252</v>
      </c>
      <c r="T6" s="403"/>
      <c r="U6" s="404" t="s">
        <v>253</v>
      </c>
      <c r="V6" s="405"/>
    </row>
    <row r="7" spans="1:24" s="406" customFormat="1" ht="20.100000000000001" customHeight="1">
      <c r="A7" s="391"/>
      <c r="B7" s="394" t="s">
        <v>254</v>
      </c>
      <c r="C7" s="393">
        <v>82000</v>
      </c>
      <c r="D7" s="394" t="s">
        <v>255</v>
      </c>
      <c r="E7" s="407">
        <v>400000</v>
      </c>
      <c r="F7" s="394" t="s">
        <v>256</v>
      </c>
      <c r="G7" s="395">
        <v>1400000</v>
      </c>
      <c r="H7" s="394" t="s">
        <v>257</v>
      </c>
      <c r="I7" s="395">
        <v>718400</v>
      </c>
      <c r="J7" s="394" t="s">
        <v>258</v>
      </c>
      <c r="K7" s="395">
        <v>650000</v>
      </c>
      <c r="L7" s="408"/>
      <c r="M7" s="409" t="s">
        <v>259</v>
      </c>
      <c r="N7" s="394"/>
      <c r="O7" s="410" t="s">
        <v>260</v>
      </c>
      <c r="P7" s="394">
        <v>1040000</v>
      </c>
      <c r="Q7" s="153" t="s">
        <v>261</v>
      </c>
      <c r="R7" s="394">
        <v>144788</v>
      </c>
      <c r="S7" s="153" t="s">
        <v>262</v>
      </c>
      <c r="T7" s="394">
        <v>97100</v>
      </c>
      <c r="U7" s="402" t="s">
        <v>263</v>
      </c>
      <c r="V7" s="411">
        <v>30300</v>
      </c>
      <c r="X7" s="412"/>
    </row>
    <row r="8" spans="1:24" s="406" customFormat="1" ht="20.100000000000001" customHeight="1">
      <c r="A8" s="391"/>
      <c r="B8" s="394" t="s">
        <v>264</v>
      </c>
      <c r="C8" s="393">
        <v>48000</v>
      </c>
      <c r="D8" s="394"/>
      <c r="E8" s="407"/>
      <c r="F8" s="394"/>
      <c r="G8" s="395"/>
      <c r="H8" s="394" t="s">
        <v>265</v>
      </c>
      <c r="I8" s="395">
        <v>1350000</v>
      </c>
      <c r="J8" s="394" t="s">
        <v>266</v>
      </c>
      <c r="K8" s="395">
        <v>950000</v>
      </c>
      <c r="L8" s="408"/>
      <c r="M8" s="400" t="s">
        <v>267</v>
      </c>
      <c r="N8" s="394">
        <v>90000</v>
      </c>
      <c r="O8" s="394" t="s">
        <v>268</v>
      </c>
      <c r="P8" s="394">
        <v>2080000</v>
      </c>
      <c r="Q8" s="153" t="s">
        <v>269</v>
      </c>
      <c r="R8" s="394">
        <v>37000</v>
      </c>
      <c r="S8" s="413" t="s">
        <v>270</v>
      </c>
      <c r="T8" s="394">
        <v>264100</v>
      </c>
      <c r="U8" s="414"/>
      <c r="V8" s="415"/>
      <c r="X8" s="412"/>
    </row>
    <row r="9" spans="1:24" s="406" customFormat="1" ht="20.100000000000001" customHeight="1">
      <c r="A9" s="391"/>
      <c r="B9" s="394" t="s">
        <v>271</v>
      </c>
      <c r="C9" s="393">
        <v>140100</v>
      </c>
      <c r="D9" s="416"/>
      <c r="E9" s="417"/>
      <c r="F9" s="394"/>
      <c r="G9" s="395"/>
      <c r="H9" s="394" t="s">
        <v>272</v>
      </c>
      <c r="I9" s="395">
        <v>1800000</v>
      </c>
      <c r="J9" s="394" t="s">
        <v>273</v>
      </c>
      <c r="K9" s="395">
        <v>950000</v>
      </c>
      <c r="L9" s="408"/>
      <c r="M9" s="400" t="s">
        <v>274</v>
      </c>
      <c r="N9" s="394">
        <v>200000</v>
      </c>
      <c r="O9" s="394" t="s">
        <v>275</v>
      </c>
      <c r="P9" s="394">
        <v>1190000</v>
      </c>
      <c r="Q9" s="153" t="s">
        <v>276</v>
      </c>
      <c r="R9" s="394">
        <v>24000</v>
      </c>
      <c r="S9" s="153" t="s">
        <v>277</v>
      </c>
      <c r="T9" s="394">
        <v>59000</v>
      </c>
      <c r="U9" s="404" t="s">
        <v>278</v>
      </c>
      <c r="V9" s="411"/>
      <c r="X9" s="412"/>
    </row>
    <row r="10" spans="1:24" s="406" customFormat="1" ht="20.100000000000001" customHeight="1">
      <c r="A10" s="391"/>
      <c r="B10" s="394" t="s">
        <v>279</v>
      </c>
      <c r="C10" s="393">
        <v>62280</v>
      </c>
      <c r="D10" s="418" t="s">
        <v>280</v>
      </c>
      <c r="E10" s="419">
        <f>SUM(E6:E8)</f>
        <v>400000</v>
      </c>
      <c r="F10" s="418" t="s">
        <v>281</v>
      </c>
      <c r="G10" s="420">
        <f>SUM(G7:G9)</f>
        <v>1400000</v>
      </c>
      <c r="H10" s="394" t="s">
        <v>282</v>
      </c>
      <c r="I10" s="395">
        <v>922064</v>
      </c>
      <c r="J10" s="394" t="s">
        <v>283</v>
      </c>
      <c r="K10" s="395">
        <v>1400000</v>
      </c>
      <c r="L10" s="408"/>
      <c r="M10" s="400" t="s">
        <v>284</v>
      </c>
      <c r="N10" s="394">
        <v>90000</v>
      </c>
      <c r="O10" s="418" t="s">
        <v>285</v>
      </c>
      <c r="P10" s="418">
        <f>SUM(P7:P9)</f>
        <v>4310000</v>
      </c>
      <c r="Q10" s="153" t="s">
        <v>286</v>
      </c>
      <c r="R10" s="394">
        <v>370700</v>
      </c>
      <c r="S10" s="421" t="s">
        <v>287</v>
      </c>
      <c r="T10" s="394">
        <v>72900</v>
      </c>
      <c r="U10" s="404" t="s">
        <v>288</v>
      </c>
      <c r="V10" s="411">
        <v>309992.59999999998</v>
      </c>
    </row>
    <row r="11" spans="1:24" s="406" customFormat="1" ht="20.100000000000001" customHeight="1">
      <c r="A11" s="391"/>
      <c r="B11" s="394" t="s">
        <v>289</v>
      </c>
      <c r="C11" s="393">
        <v>35000</v>
      </c>
      <c r="D11" s="394" t="s">
        <v>290</v>
      </c>
      <c r="E11" s="407"/>
      <c r="F11" s="392" t="s">
        <v>291</v>
      </c>
      <c r="G11" s="395"/>
      <c r="H11" s="394" t="s">
        <v>292</v>
      </c>
      <c r="I11" s="395">
        <v>738346</v>
      </c>
      <c r="J11" s="394" t="s">
        <v>293</v>
      </c>
      <c r="K11" s="395">
        <v>1400000</v>
      </c>
      <c r="L11" s="408"/>
      <c r="M11" s="422" t="s">
        <v>294</v>
      </c>
      <c r="N11" s="394">
        <v>22100</v>
      </c>
      <c r="O11" s="392" t="s">
        <v>247</v>
      </c>
      <c r="P11" s="423"/>
      <c r="Q11" s="424" t="s">
        <v>295</v>
      </c>
      <c r="R11" s="394">
        <v>48300</v>
      </c>
      <c r="S11" s="153" t="s">
        <v>296</v>
      </c>
      <c r="T11" s="394">
        <v>48400</v>
      </c>
      <c r="U11" s="153"/>
      <c r="V11" s="411"/>
    </row>
    <row r="12" spans="1:24" s="406" customFormat="1" ht="20.100000000000001" customHeight="1">
      <c r="A12" s="391"/>
      <c r="B12" s="394" t="s">
        <v>297</v>
      </c>
      <c r="C12" s="393">
        <v>120000</v>
      </c>
      <c r="D12" s="394" t="s">
        <v>298</v>
      </c>
      <c r="E12" s="407">
        <v>6040000</v>
      </c>
      <c r="F12" s="394" t="s">
        <v>299</v>
      </c>
      <c r="G12" s="395">
        <v>96810</v>
      </c>
      <c r="H12" s="394" t="s">
        <v>300</v>
      </c>
      <c r="I12" s="395">
        <v>1800000</v>
      </c>
      <c r="J12" s="394" t="s">
        <v>301</v>
      </c>
      <c r="K12" s="395">
        <v>1000000</v>
      </c>
      <c r="L12" s="408"/>
      <c r="M12" s="400" t="s">
        <v>302</v>
      </c>
      <c r="N12" s="394">
        <v>50000</v>
      </c>
      <c r="O12" s="410" t="s">
        <v>303</v>
      </c>
      <c r="P12" s="394">
        <v>989200</v>
      </c>
      <c r="Q12" s="153" t="s">
        <v>304</v>
      </c>
      <c r="R12" s="394">
        <v>756760</v>
      </c>
      <c r="S12" s="153" t="s">
        <v>305</v>
      </c>
      <c r="T12" s="394">
        <v>83455</v>
      </c>
      <c r="U12" s="414" t="s">
        <v>306</v>
      </c>
      <c r="V12" s="411"/>
    </row>
    <row r="13" spans="1:24" s="406" customFormat="1" ht="20.100000000000001" customHeight="1">
      <c r="A13" s="425"/>
      <c r="B13" s="394" t="s">
        <v>307</v>
      </c>
      <c r="C13" s="393">
        <v>108000</v>
      </c>
      <c r="D13" s="394" t="s">
        <v>308</v>
      </c>
      <c r="E13" s="407">
        <v>3050000</v>
      </c>
      <c r="F13" s="392" t="s">
        <v>309</v>
      </c>
      <c r="G13" s="395">
        <v>40000</v>
      </c>
      <c r="H13" s="394" t="s">
        <v>310</v>
      </c>
      <c r="I13" s="395">
        <v>1800000</v>
      </c>
      <c r="J13" s="394" t="s">
        <v>311</v>
      </c>
      <c r="K13" s="395">
        <v>1000000</v>
      </c>
      <c r="L13" s="408"/>
      <c r="M13" s="400" t="s">
        <v>312</v>
      </c>
      <c r="N13" s="394">
        <v>22500</v>
      </c>
      <c r="O13" s="394" t="s">
        <v>313</v>
      </c>
      <c r="P13" s="426">
        <v>2261750</v>
      </c>
      <c r="Q13" s="413" t="s">
        <v>314</v>
      </c>
      <c r="R13" s="394">
        <v>436100</v>
      </c>
      <c r="S13" s="153" t="s">
        <v>315</v>
      </c>
      <c r="T13" s="394">
        <v>19000</v>
      </c>
      <c r="U13" s="153" t="s">
        <v>316</v>
      </c>
      <c r="V13" s="411">
        <v>1900</v>
      </c>
    </row>
    <row r="14" spans="1:24" s="406" customFormat="1" ht="20.100000000000001" customHeight="1">
      <c r="A14" s="425"/>
      <c r="B14" s="427" t="s">
        <v>317</v>
      </c>
      <c r="C14" s="428">
        <f>SUM(C7:C13)</f>
        <v>595380</v>
      </c>
      <c r="D14" s="394" t="s">
        <v>318</v>
      </c>
      <c r="E14" s="407">
        <v>2044000</v>
      </c>
      <c r="F14" s="392"/>
      <c r="G14" s="395"/>
      <c r="H14" s="394" t="s">
        <v>319</v>
      </c>
      <c r="I14" s="395">
        <v>361600</v>
      </c>
      <c r="J14" s="394" t="s">
        <v>320</v>
      </c>
      <c r="K14" s="395">
        <v>1000000</v>
      </c>
      <c r="L14" s="429"/>
      <c r="M14" s="400" t="s">
        <v>321</v>
      </c>
      <c r="N14" s="394">
        <v>412000</v>
      </c>
      <c r="O14" s="394" t="s">
        <v>322</v>
      </c>
      <c r="P14" s="426">
        <v>1716800</v>
      </c>
      <c r="Q14" s="153" t="s">
        <v>323</v>
      </c>
      <c r="R14" s="394">
        <v>21000</v>
      </c>
      <c r="S14" s="153" t="s">
        <v>324</v>
      </c>
      <c r="T14" s="394">
        <v>9800</v>
      </c>
      <c r="U14" s="153" t="s">
        <v>325</v>
      </c>
      <c r="V14" s="411">
        <v>16400</v>
      </c>
    </row>
    <row r="15" spans="1:24" s="406" customFormat="1" ht="20.100000000000001" customHeight="1">
      <c r="A15" s="430" t="s">
        <v>326</v>
      </c>
      <c r="B15" s="394" t="s">
        <v>327</v>
      </c>
      <c r="C15" s="393"/>
      <c r="D15" s="394" t="s">
        <v>328</v>
      </c>
      <c r="E15" s="407">
        <v>2120000</v>
      </c>
      <c r="F15" s="394"/>
      <c r="G15" s="395"/>
      <c r="H15" s="394" t="s">
        <v>329</v>
      </c>
      <c r="I15" s="395">
        <v>848000</v>
      </c>
      <c r="J15" s="394" t="s">
        <v>330</v>
      </c>
      <c r="K15" s="395">
        <v>1000000</v>
      </c>
      <c r="L15" s="431" t="s">
        <v>331</v>
      </c>
      <c r="M15" s="400" t="s">
        <v>332</v>
      </c>
      <c r="N15" s="394">
        <v>100000</v>
      </c>
      <c r="O15" s="392" t="s">
        <v>333</v>
      </c>
      <c r="P15" s="426">
        <v>45836</v>
      </c>
      <c r="Q15" s="394" t="s">
        <v>334</v>
      </c>
      <c r="R15" s="394">
        <v>115410</v>
      </c>
      <c r="S15" s="153" t="s">
        <v>335</v>
      </c>
      <c r="T15" s="394">
        <v>303000</v>
      </c>
      <c r="U15" s="413" t="s">
        <v>336</v>
      </c>
      <c r="V15" s="411">
        <v>300</v>
      </c>
    </row>
    <row r="16" spans="1:24" s="406" customFormat="1" ht="20.100000000000001" customHeight="1">
      <c r="A16" s="430" t="s">
        <v>337</v>
      </c>
      <c r="B16" s="394" t="s">
        <v>338</v>
      </c>
      <c r="C16" s="393">
        <v>600000</v>
      </c>
      <c r="D16" s="394" t="s">
        <v>339</v>
      </c>
      <c r="E16" s="407">
        <v>2038058</v>
      </c>
      <c r="F16" s="392"/>
      <c r="G16" s="395"/>
      <c r="H16" s="394" t="s">
        <v>340</v>
      </c>
      <c r="I16" s="395">
        <v>2071900</v>
      </c>
      <c r="J16" s="394" t="s">
        <v>341</v>
      </c>
      <c r="K16" s="395">
        <v>1400000</v>
      </c>
      <c r="L16" s="431"/>
      <c r="M16" s="400"/>
      <c r="N16" s="394"/>
      <c r="O16" s="394" t="s">
        <v>342</v>
      </c>
      <c r="P16" s="394">
        <v>863300</v>
      </c>
      <c r="Q16" s="421" t="s">
        <v>343</v>
      </c>
      <c r="R16" s="394">
        <v>450000</v>
      </c>
      <c r="S16" s="413" t="s">
        <v>344</v>
      </c>
      <c r="T16" s="394">
        <v>19000</v>
      </c>
      <c r="U16" s="153"/>
      <c r="V16" s="411"/>
    </row>
    <row r="17" spans="1:22" s="406" customFormat="1" ht="20.100000000000001" customHeight="1">
      <c r="A17" s="430"/>
      <c r="B17" s="394" t="s">
        <v>345</v>
      </c>
      <c r="C17" s="393">
        <v>700000</v>
      </c>
      <c r="D17" s="394" t="s">
        <v>346</v>
      </c>
      <c r="E17" s="407">
        <v>1018000</v>
      </c>
      <c r="F17" s="392"/>
      <c r="G17" s="395"/>
      <c r="H17" s="394" t="s">
        <v>347</v>
      </c>
      <c r="I17" s="395">
        <v>1462447</v>
      </c>
      <c r="J17" s="394" t="s">
        <v>348</v>
      </c>
      <c r="K17" s="395">
        <v>700000</v>
      </c>
      <c r="L17" s="431"/>
      <c r="M17" s="427" t="s">
        <v>317</v>
      </c>
      <c r="N17" s="418">
        <f>SUM(N8:N16)</f>
        <v>986600</v>
      </c>
      <c r="O17" s="394" t="s">
        <v>349</v>
      </c>
      <c r="P17" s="394">
        <v>751200</v>
      </c>
      <c r="Q17" s="153" t="s">
        <v>350</v>
      </c>
      <c r="R17" s="394">
        <v>187300</v>
      </c>
      <c r="S17" s="153" t="s">
        <v>351</v>
      </c>
      <c r="T17" s="394">
        <v>169900</v>
      </c>
      <c r="U17" s="414"/>
      <c r="V17" s="411"/>
    </row>
    <row r="18" spans="1:22" s="406" customFormat="1" ht="20.100000000000001" customHeight="1">
      <c r="A18" s="430"/>
      <c r="B18" s="394" t="s">
        <v>352</v>
      </c>
      <c r="C18" s="393">
        <v>600000</v>
      </c>
      <c r="D18" s="394" t="s">
        <v>353</v>
      </c>
      <c r="E18" s="407">
        <v>668600</v>
      </c>
      <c r="F18" s="394"/>
      <c r="G18" s="395"/>
      <c r="H18" s="394" t="s">
        <v>354</v>
      </c>
      <c r="I18" s="395">
        <v>900000</v>
      </c>
      <c r="J18" s="394" t="s">
        <v>355</v>
      </c>
      <c r="K18" s="395">
        <v>700000</v>
      </c>
      <c r="L18" s="431"/>
      <c r="M18" s="432"/>
      <c r="N18" s="423"/>
      <c r="O18" s="410" t="s">
        <v>356</v>
      </c>
      <c r="P18" s="394">
        <v>442800</v>
      </c>
      <c r="Q18" s="153" t="s">
        <v>357</v>
      </c>
      <c r="R18" s="394">
        <v>115246</v>
      </c>
      <c r="S18" s="402" t="s">
        <v>358</v>
      </c>
      <c r="T18" s="394">
        <v>113569</v>
      </c>
      <c r="U18" s="414"/>
      <c r="V18" s="411"/>
    </row>
    <row r="19" spans="1:22" s="406" customFormat="1" ht="20.100000000000001" customHeight="1">
      <c r="A19" s="430" t="s">
        <v>359</v>
      </c>
      <c r="B19" s="394" t="s">
        <v>360</v>
      </c>
      <c r="C19" s="393">
        <v>1000000</v>
      </c>
      <c r="D19" s="394" t="s">
        <v>361</v>
      </c>
      <c r="E19" s="407">
        <v>5080000</v>
      </c>
      <c r="F19" s="392"/>
      <c r="G19" s="395"/>
      <c r="H19" s="394" t="s">
        <v>362</v>
      </c>
      <c r="I19" s="395">
        <v>228734</v>
      </c>
      <c r="J19" s="394" t="s">
        <v>363</v>
      </c>
      <c r="K19" s="395">
        <v>700000</v>
      </c>
      <c r="L19" s="431"/>
      <c r="M19" s="433" t="s">
        <v>364</v>
      </c>
      <c r="N19" s="418">
        <v>175428.4</v>
      </c>
      <c r="O19" s="392" t="s">
        <v>365</v>
      </c>
      <c r="P19" s="426">
        <v>769830</v>
      </c>
      <c r="Q19" s="153" t="s">
        <v>366</v>
      </c>
      <c r="R19" s="394">
        <v>6000</v>
      </c>
      <c r="S19" s="153"/>
      <c r="T19" s="394"/>
      <c r="U19" s="414"/>
      <c r="V19" s="411"/>
    </row>
    <row r="20" spans="1:22" s="406" customFormat="1" ht="20.100000000000001" customHeight="1">
      <c r="A20" s="430"/>
      <c r="B20" s="394" t="s">
        <v>367</v>
      </c>
      <c r="C20" s="393">
        <v>800000</v>
      </c>
      <c r="D20" s="394" t="s">
        <v>368</v>
      </c>
      <c r="E20" s="407">
        <v>6100000</v>
      </c>
      <c r="F20" s="392"/>
      <c r="G20" s="395"/>
      <c r="H20" s="394" t="s">
        <v>369</v>
      </c>
      <c r="I20" s="395">
        <v>868500</v>
      </c>
      <c r="J20" s="394" t="s">
        <v>370</v>
      </c>
      <c r="K20" s="395">
        <v>950000</v>
      </c>
      <c r="L20" s="431"/>
      <c r="M20" s="432"/>
      <c r="N20" s="423"/>
      <c r="O20" s="392" t="s">
        <v>371</v>
      </c>
      <c r="P20" s="426">
        <v>1389700</v>
      </c>
      <c r="Q20" s="413" t="s">
        <v>372</v>
      </c>
      <c r="R20" s="394">
        <v>101700</v>
      </c>
      <c r="S20" s="402" t="s">
        <v>373</v>
      </c>
      <c r="T20" s="394"/>
      <c r="U20" s="414"/>
      <c r="V20" s="411"/>
    </row>
    <row r="21" spans="1:22" s="406" customFormat="1" ht="20.100000000000001" customHeight="1">
      <c r="A21" s="430" t="s">
        <v>374</v>
      </c>
      <c r="B21" s="394" t="s">
        <v>375</v>
      </c>
      <c r="C21" s="393">
        <v>600000</v>
      </c>
      <c r="D21" s="394" t="s">
        <v>376</v>
      </c>
      <c r="E21" s="407">
        <v>4000000</v>
      </c>
      <c r="F21" s="392"/>
      <c r="G21" s="395"/>
      <c r="H21" s="394" t="s">
        <v>377</v>
      </c>
      <c r="I21" s="395">
        <v>105000</v>
      </c>
      <c r="J21" s="394" t="s">
        <v>378</v>
      </c>
      <c r="K21" s="395">
        <v>950000</v>
      </c>
      <c r="L21" s="434"/>
      <c r="M21" s="435" t="s">
        <v>379</v>
      </c>
      <c r="N21" s="418">
        <f>N19+N17</f>
        <v>1162028.3999999999</v>
      </c>
      <c r="O21" s="392" t="s">
        <v>380</v>
      </c>
      <c r="P21" s="426">
        <v>1695200</v>
      </c>
      <c r="Q21" s="153" t="s">
        <v>381</v>
      </c>
      <c r="R21" s="394">
        <v>60000</v>
      </c>
      <c r="S21" s="153" t="s">
        <v>382</v>
      </c>
      <c r="T21" s="394">
        <v>43500</v>
      </c>
      <c r="U21" s="414"/>
      <c r="V21" s="411"/>
    </row>
    <row r="22" spans="1:22" s="406" customFormat="1" ht="20.100000000000001" customHeight="1">
      <c r="A22" s="430" t="s">
        <v>337</v>
      </c>
      <c r="B22" s="394" t="s">
        <v>271</v>
      </c>
      <c r="C22" s="436">
        <v>400000</v>
      </c>
      <c r="D22" s="423"/>
      <c r="E22" s="437"/>
      <c r="F22" s="394"/>
      <c r="G22" s="395"/>
      <c r="H22" s="394"/>
      <c r="I22" s="395"/>
      <c r="J22" s="394" t="s">
        <v>383</v>
      </c>
      <c r="K22" s="395">
        <v>1000000</v>
      </c>
      <c r="L22" s="431"/>
      <c r="M22" s="402" t="s">
        <v>384</v>
      </c>
      <c r="N22" s="394"/>
      <c r="O22" s="392" t="s">
        <v>385</v>
      </c>
      <c r="P22" s="426">
        <v>3176000</v>
      </c>
      <c r="Q22" s="153" t="s">
        <v>386</v>
      </c>
      <c r="R22" s="394">
        <v>963380</v>
      </c>
      <c r="S22" s="153" t="s">
        <v>387</v>
      </c>
      <c r="T22" s="394">
        <v>26300</v>
      </c>
      <c r="U22" s="414"/>
      <c r="V22" s="411"/>
    </row>
    <row r="23" spans="1:22" s="406" customFormat="1" ht="20.100000000000001" customHeight="1">
      <c r="A23" s="430" t="s">
        <v>388</v>
      </c>
      <c r="B23" s="418" t="s">
        <v>389</v>
      </c>
      <c r="C23" s="419">
        <f>SUM(C16:C22)</f>
        <v>4700000</v>
      </c>
      <c r="D23" s="423"/>
      <c r="E23" s="437"/>
      <c r="F23" s="423"/>
      <c r="G23" s="438"/>
      <c r="H23" s="394"/>
      <c r="I23" s="395"/>
      <c r="J23" s="394" t="s">
        <v>390</v>
      </c>
      <c r="K23" s="395">
        <v>1000000</v>
      </c>
      <c r="L23" s="431"/>
      <c r="M23" s="400" t="s">
        <v>391</v>
      </c>
      <c r="N23" s="439">
        <v>20690568.379999999</v>
      </c>
      <c r="O23" s="392" t="s">
        <v>392</v>
      </c>
      <c r="P23" s="426">
        <v>1450000</v>
      </c>
      <c r="Q23" s="153" t="s">
        <v>393</v>
      </c>
      <c r="R23" s="394">
        <v>524300</v>
      </c>
      <c r="S23" s="153" t="s">
        <v>394</v>
      </c>
      <c r="T23" s="394">
        <v>43200</v>
      </c>
      <c r="U23" s="414"/>
      <c r="V23" s="411"/>
    </row>
    <row r="24" spans="1:22" s="406" customFormat="1" ht="20.100000000000001" customHeight="1">
      <c r="A24" s="430" t="s">
        <v>395</v>
      </c>
      <c r="B24" s="394" t="s">
        <v>396</v>
      </c>
      <c r="C24" s="393">
        <v>55015</v>
      </c>
      <c r="D24" s="416"/>
      <c r="E24" s="417"/>
      <c r="F24" s="416"/>
      <c r="G24" s="440"/>
      <c r="H24" s="392" t="s">
        <v>397</v>
      </c>
      <c r="I24" s="395"/>
      <c r="J24" s="394" t="s">
        <v>398</v>
      </c>
      <c r="K24" s="395">
        <v>1000000</v>
      </c>
      <c r="L24" s="431"/>
      <c r="M24" s="400" t="s">
        <v>399</v>
      </c>
      <c r="N24" s="439">
        <v>1724152.4</v>
      </c>
      <c r="O24" s="392" t="s">
        <v>400</v>
      </c>
      <c r="P24" s="426">
        <v>874200</v>
      </c>
      <c r="Q24" s="153" t="s">
        <v>401</v>
      </c>
      <c r="R24" s="394">
        <v>412600</v>
      </c>
      <c r="S24" s="421" t="s">
        <v>402</v>
      </c>
      <c r="T24" s="394">
        <v>58300</v>
      </c>
      <c r="U24" s="441"/>
      <c r="V24" s="411"/>
    </row>
    <row r="25" spans="1:22" s="406" customFormat="1" ht="20.100000000000001" customHeight="1">
      <c r="A25" s="430" t="s">
        <v>403</v>
      </c>
      <c r="B25" s="442"/>
      <c r="C25" s="393"/>
      <c r="D25" s="443"/>
      <c r="E25" s="444"/>
      <c r="F25" s="443"/>
      <c r="G25" s="444"/>
      <c r="H25" s="394" t="s">
        <v>404</v>
      </c>
      <c r="I25" s="395">
        <v>146245</v>
      </c>
      <c r="J25" s="394" t="s">
        <v>405</v>
      </c>
      <c r="K25" s="395">
        <v>1000000</v>
      </c>
      <c r="L25" s="431"/>
      <c r="M25" s="402" t="s">
        <v>406</v>
      </c>
      <c r="N25" s="394">
        <v>1056199.1200000001</v>
      </c>
      <c r="O25" s="392"/>
      <c r="P25" s="426"/>
      <c r="Q25" s="153" t="s">
        <v>407</v>
      </c>
      <c r="R25" s="394">
        <v>127000</v>
      </c>
      <c r="S25" s="421"/>
      <c r="T25" s="394"/>
      <c r="U25" s="441"/>
      <c r="V25" s="411"/>
    </row>
    <row r="26" spans="1:22" s="406" customFormat="1" ht="20.100000000000001" customHeight="1">
      <c r="A26" s="430"/>
      <c r="B26" s="445" t="s">
        <v>364</v>
      </c>
      <c r="C26" s="419">
        <f>C24</f>
        <v>55015</v>
      </c>
      <c r="D26" s="418" t="s">
        <v>408</v>
      </c>
      <c r="E26" s="419">
        <f>SUM(E12:E25)</f>
        <v>32158658</v>
      </c>
      <c r="F26" s="418" t="s">
        <v>409</v>
      </c>
      <c r="G26" s="420">
        <f>SUM(G12:G16)</f>
        <v>136810</v>
      </c>
      <c r="H26" s="418" t="s">
        <v>410</v>
      </c>
      <c r="I26" s="420">
        <f>SUM(I7:I25)</f>
        <v>16121236</v>
      </c>
      <c r="J26" s="394" t="s">
        <v>411</v>
      </c>
      <c r="K26" s="395">
        <v>950000</v>
      </c>
      <c r="L26" s="431" t="s">
        <v>403</v>
      </c>
      <c r="M26" s="400" t="s">
        <v>412</v>
      </c>
      <c r="N26" s="394">
        <v>458344</v>
      </c>
      <c r="O26" s="392" t="s">
        <v>397</v>
      </c>
      <c r="P26" s="426"/>
      <c r="Q26" s="153" t="s">
        <v>413</v>
      </c>
      <c r="R26" s="394">
        <v>431200</v>
      </c>
      <c r="S26" s="421"/>
      <c r="T26" s="394"/>
      <c r="U26" s="446"/>
      <c r="V26" s="447"/>
    </row>
    <row r="27" spans="1:22" s="406" customFormat="1" ht="20.100000000000001" customHeight="1">
      <c r="A27" s="391"/>
      <c r="B27" s="416"/>
      <c r="C27" s="440"/>
      <c r="D27" s="416"/>
      <c r="E27" s="448"/>
      <c r="F27" s="416"/>
      <c r="G27" s="416"/>
      <c r="H27" s="392" t="s">
        <v>251</v>
      </c>
      <c r="I27" s="440"/>
      <c r="J27" s="394" t="s">
        <v>414</v>
      </c>
      <c r="K27" s="395">
        <v>950000</v>
      </c>
      <c r="L27" s="429"/>
      <c r="M27" s="400" t="s">
        <v>415</v>
      </c>
      <c r="N27" s="394">
        <v>255580</v>
      </c>
      <c r="O27" s="392" t="s">
        <v>416</v>
      </c>
      <c r="P27" s="426">
        <v>465800</v>
      </c>
      <c r="Q27" s="153" t="s">
        <v>417</v>
      </c>
      <c r="R27" s="394">
        <v>515500</v>
      </c>
      <c r="S27" s="402" t="s">
        <v>418</v>
      </c>
      <c r="T27" s="394"/>
      <c r="U27" s="449"/>
      <c r="V27" s="411"/>
    </row>
    <row r="28" spans="1:22" s="406" customFormat="1" ht="20.100000000000001" customHeight="1">
      <c r="A28" s="391"/>
      <c r="B28" s="418" t="s">
        <v>379</v>
      </c>
      <c r="C28" s="419">
        <f>C23+C26+C14</f>
        <v>5350395</v>
      </c>
      <c r="D28" s="418" t="s">
        <v>419</v>
      </c>
      <c r="E28" s="419">
        <f>E26+E10</f>
        <v>32558658</v>
      </c>
      <c r="F28" s="450"/>
      <c r="G28" s="451"/>
      <c r="H28" s="392" t="s">
        <v>420</v>
      </c>
      <c r="I28" s="395">
        <v>530441</v>
      </c>
      <c r="J28" s="394" t="s">
        <v>421</v>
      </c>
      <c r="K28" s="395">
        <v>1000000</v>
      </c>
      <c r="L28" s="429"/>
      <c r="M28" s="400"/>
      <c r="N28" s="394"/>
      <c r="O28" s="392"/>
      <c r="P28" s="426"/>
      <c r="Q28" s="153" t="s">
        <v>422</v>
      </c>
      <c r="R28" s="394">
        <v>146314</v>
      </c>
      <c r="S28" s="402" t="s">
        <v>423</v>
      </c>
      <c r="T28" s="394">
        <v>88000</v>
      </c>
      <c r="U28" s="153"/>
      <c r="V28" s="411"/>
    </row>
    <row r="29" spans="1:22" s="406" customFormat="1" ht="20.100000000000001" customHeight="1">
      <c r="A29" s="391"/>
      <c r="B29" s="402"/>
      <c r="C29" s="395"/>
      <c r="D29" s="416"/>
      <c r="E29" s="440"/>
      <c r="F29" s="452"/>
      <c r="G29" s="451"/>
      <c r="H29" s="418" t="s">
        <v>424</v>
      </c>
      <c r="I29" s="420">
        <f>I28</f>
        <v>530441</v>
      </c>
      <c r="J29" s="394" t="s">
        <v>425</v>
      </c>
      <c r="K29" s="395">
        <v>1000000</v>
      </c>
      <c r="L29" s="408"/>
      <c r="M29" s="400"/>
      <c r="N29" s="394"/>
      <c r="O29" s="392"/>
      <c r="P29" s="426"/>
      <c r="Q29" s="153" t="s">
        <v>426</v>
      </c>
      <c r="R29" s="394">
        <v>363811</v>
      </c>
      <c r="S29" s="402"/>
      <c r="T29" s="394"/>
      <c r="U29" s="153"/>
      <c r="V29" s="411"/>
    </row>
    <row r="30" spans="1:22" s="406" customFormat="1" ht="20.100000000000001" customHeight="1">
      <c r="A30" s="391"/>
      <c r="B30" s="392" t="s">
        <v>384</v>
      </c>
      <c r="C30" s="395"/>
      <c r="D30" s="394"/>
      <c r="E30" s="395"/>
      <c r="F30" s="394"/>
      <c r="G30" s="394"/>
      <c r="H30" s="394"/>
      <c r="I30" s="395"/>
      <c r="J30" s="394" t="s">
        <v>427</v>
      </c>
      <c r="K30" s="395">
        <v>1000000</v>
      </c>
      <c r="L30" s="408"/>
      <c r="M30" s="432"/>
      <c r="N30" s="423"/>
      <c r="O30" s="423"/>
      <c r="P30" s="423"/>
      <c r="Q30" s="153" t="s">
        <v>428</v>
      </c>
      <c r="R30" s="394">
        <v>511800</v>
      </c>
      <c r="S30" s="153"/>
      <c r="T30" s="394"/>
      <c r="U30" s="153"/>
      <c r="V30" s="411"/>
    </row>
    <row r="31" spans="1:22" s="406" customFormat="1" ht="20.100000000000001" customHeight="1">
      <c r="A31" s="391"/>
      <c r="B31" s="394" t="s">
        <v>391</v>
      </c>
      <c r="C31" s="395">
        <v>282817.82</v>
      </c>
      <c r="D31" s="394" t="s">
        <v>406</v>
      </c>
      <c r="E31" s="395">
        <v>355000</v>
      </c>
      <c r="F31" s="394" t="s">
        <v>412</v>
      </c>
      <c r="G31" s="394">
        <v>421450</v>
      </c>
      <c r="H31" s="394" t="s">
        <v>429</v>
      </c>
      <c r="I31" s="440"/>
      <c r="J31" s="416" t="s">
        <v>430</v>
      </c>
      <c r="K31" s="395">
        <v>1000000</v>
      </c>
      <c r="L31" s="408"/>
      <c r="M31" s="453"/>
      <c r="N31" s="423"/>
      <c r="O31" s="423"/>
      <c r="P31" s="423"/>
      <c r="Q31" s="153"/>
      <c r="R31" s="400"/>
      <c r="S31" s="400"/>
      <c r="T31" s="400"/>
      <c r="U31" s="454"/>
      <c r="V31" s="455"/>
    </row>
    <row r="32" spans="1:22" s="406" customFormat="1" ht="20.100000000000001" customHeight="1">
      <c r="A32" s="391"/>
      <c r="B32" s="394" t="s">
        <v>194</v>
      </c>
      <c r="C32" s="395">
        <v>168350</v>
      </c>
      <c r="D32" s="394" t="s">
        <v>431</v>
      </c>
      <c r="E32" s="395">
        <v>390000</v>
      </c>
      <c r="F32" s="394" t="s">
        <v>198</v>
      </c>
      <c r="G32" s="394">
        <v>346330</v>
      </c>
      <c r="H32" s="392" t="s">
        <v>432</v>
      </c>
      <c r="I32" s="395">
        <v>10000</v>
      </c>
      <c r="J32" s="416"/>
      <c r="K32" s="440"/>
      <c r="L32" s="408"/>
      <c r="M32" s="453"/>
      <c r="N32" s="423"/>
      <c r="O32" s="423"/>
      <c r="P32" s="423"/>
      <c r="Q32" s="153"/>
      <c r="R32" s="400"/>
      <c r="S32" s="400"/>
      <c r="T32" s="400"/>
      <c r="U32" s="454"/>
      <c r="V32" s="455"/>
    </row>
    <row r="33" spans="1:22" s="406" customFormat="1" ht="20.100000000000001" customHeight="1">
      <c r="A33" s="456"/>
      <c r="B33" s="457" t="s">
        <v>433</v>
      </c>
      <c r="C33" s="458">
        <f>SUM(C30:C32)+SUM(E30:E32)+SUM(G31:G32)</f>
        <v>1963947.82</v>
      </c>
      <c r="D33" s="459"/>
      <c r="E33" s="460"/>
      <c r="F33" s="459"/>
      <c r="G33" s="459"/>
      <c r="H33" s="457" t="s">
        <v>434</v>
      </c>
      <c r="I33" s="458">
        <f>I32</f>
        <v>10000</v>
      </c>
      <c r="J33" s="457" t="s">
        <v>435</v>
      </c>
      <c r="K33" s="461">
        <f>SUM(K7:K32)</f>
        <v>24650000</v>
      </c>
      <c r="L33" s="462"/>
      <c r="M33" s="463" t="s">
        <v>433</v>
      </c>
      <c r="N33" s="457">
        <f>SUM(N23:N29)</f>
        <v>24184843.899999999</v>
      </c>
      <c r="O33" s="457" t="s">
        <v>410</v>
      </c>
      <c r="P33" s="457">
        <f>SUM(P12:P30)</f>
        <v>16891616</v>
      </c>
      <c r="Q33" s="464"/>
      <c r="R33" s="464"/>
      <c r="S33" s="457" t="s">
        <v>424</v>
      </c>
      <c r="T33" s="457">
        <f>SUM(R6:R32)+SUM(T6:T32)</f>
        <v>8388733</v>
      </c>
      <c r="U33" s="463" t="s">
        <v>434</v>
      </c>
      <c r="V33" s="465">
        <f>SUM(V7:V16)</f>
        <v>358892.6</v>
      </c>
    </row>
    <row r="34" spans="1:22" s="406" customFormat="1" ht="9.9499999999999993" customHeight="1">
      <c r="A34" s="466"/>
      <c r="B34" s="466"/>
      <c r="C34" s="466"/>
      <c r="D34" s="466"/>
      <c r="E34" s="466"/>
      <c r="F34" s="466"/>
      <c r="G34" s="466"/>
      <c r="H34" s="466"/>
      <c r="I34" s="466"/>
      <c r="J34" s="467"/>
      <c r="K34" s="468"/>
      <c r="L34" s="469"/>
      <c r="M34" s="466"/>
      <c r="N34" s="466"/>
      <c r="O34" s="466"/>
      <c r="P34" s="466"/>
      <c r="Q34" s="470"/>
      <c r="R34" s="470"/>
      <c r="S34" s="471"/>
      <c r="T34" s="470"/>
      <c r="U34" s="472"/>
      <c r="V34" s="472"/>
    </row>
    <row r="35" spans="1:22" s="406" customFormat="1" ht="18" customHeight="1">
      <c r="A35" s="466"/>
      <c r="B35" s="2905" t="s">
        <v>436</v>
      </c>
      <c r="C35" s="2905"/>
      <c r="D35" s="473"/>
      <c r="E35" s="473"/>
      <c r="F35" s="474"/>
      <c r="G35" s="473"/>
      <c r="H35" s="474"/>
      <c r="I35" s="473"/>
      <c r="J35" s="475"/>
      <c r="K35" s="476" t="s">
        <v>437</v>
      </c>
      <c r="L35" s="477"/>
      <c r="M35" s="466"/>
      <c r="N35" s="466"/>
      <c r="O35" s="466"/>
      <c r="P35" s="466"/>
      <c r="Q35" s="478"/>
      <c r="R35" s="478"/>
      <c r="S35" s="478"/>
      <c r="T35" s="478"/>
      <c r="V35" s="478" t="s">
        <v>437</v>
      </c>
    </row>
    <row r="36" spans="1:22" s="406" customFormat="1" ht="20.100000000000001" customHeight="1">
      <c r="A36" s="466"/>
      <c r="B36" s="2906" t="s">
        <v>438</v>
      </c>
      <c r="C36" s="2907"/>
      <c r="D36" s="2908"/>
      <c r="E36" s="2909" t="s">
        <v>439</v>
      </c>
      <c r="F36" s="2910"/>
      <c r="G36" s="2910"/>
      <c r="H36" s="2910"/>
      <c r="I36" s="2910"/>
      <c r="J36" s="2910"/>
      <c r="K36" s="2910"/>
      <c r="L36" s="479"/>
      <c r="M36" s="2911" t="s">
        <v>439</v>
      </c>
      <c r="N36" s="2912"/>
      <c r="O36" s="480" t="s">
        <v>440</v>
      </c>
      <c r="P36" s="2913" t="s">
        <v>441</v>
      </c>
      <c r="Q36" s="2914"/>
      <c r="R36" s="2914"/>
      <c r="S36" s="2914"/>
      <c r="T36" s="2914"/>
      <c r="U36" s="2915"/>
      <c r="V36" s="481" t="s">
        <v>184</v>
      </c>
    </row>
    <row r="37" spans="1:22" s="406" customFormat="1" ht="20.100000000000001" customHeight="1">
      <c r="A37" s="466"/>
      <c r="B37" s="482" t="s">
        <v>442</v>
      </c>
      <c r="C37" s="483" t="s">
        <v>443</v>
      </c>
      <c r="D37" s="483" t="s">
        <v>444</v>
      </c>
      <c r="E37" s="483" t="s">
        <v>445</v>
      </c>
      <c r="F37" s="483" t="s">
        <v>446</v>
      </c>
      <c r="G37" s="483" t="s">
        <v>447</v>
      </c>
      <c r="H37" s="483" t="s">
        <v>448</v>
      </c>
      <c r="I37" s="483" t="s">
        <v>449</v>
      </c>
      <c r="J37" s="483" t="s">
        <v>117</v>
      </c>
      <c r="K37" s="483" t="s">
        <v>443</v>
      </c>
      <c r="M37" s="483" t="s">
        <v>132</v>
      </c>
      <c r="N37" s="484" t="s">
        <v>444</v>
      </c>
      <c r="O37" s="485" t="s">
        <v>450</v>
      </c>
      <c r="P37" s="482" t="s">
        <v>446</v>
      </c>
      <c r="Q37" s="483" t="s">
        <v>451</v>
      </c>
      <c r="R37" s="483" t="s">
        <v>449</v>
      </c>
      <c r="S37" s="483" t="s">
        <v>443</v>
      </c>
      <c r="T37" s="484" t="s">
        <v>452</v>
      </c>
      <c r="U37" s="486" t="s">
        <v>450</v>
      </c>
      <c r="V37" s="487"/>
    </row>
    <row r="38" spans="1:22" s="406" customFormat="1" ht="20.100000000000001" customHeight="1">
      <c r="A38" s="466"/>
      <c r="B38" s="488">
        <f>G12</f>
        <v>96810</v>
      </c>
      <c r="C38" s="489">
        <v>0</v>
      </c>
      <c r="D38" s="490">
        <f>C38+B38</f>
        <v>96810</v>
      </c>
      <c r="E38" s="489">
        <f>C23</f>
        <v>4700000</v>
      </c>
      <c r="F38" s="489">
        <f>E28</f>
        <v>32558658</v>
      </c>
      <c r="G38" s="489">
        <f>G13</f>
        <v>40000</v>
      </c>
      <c r="H38" s="489">
        <f>I26+G10</f>
        <v>17521236</v>
      </c>
      <c r="I38" s="491">
        <f>I29</f>
        <v>530441</v>
      </c>
      <c r="J38" s="489">
        <f>K33</f>
        <v>24650000</v>
      </c>
      <c r="K38" s="492">
        <f>C14+C24+SUM(C30:C32)+SUM(E30:E32)+SUM(G30:G32)</f>
        <v>2614342.8200000003</v>
      </c>
      <c r="M38" s="493">
        <f>I33</f>
        <v>10000</v>
      </c>
      <c r="N38" s="494">
        <f>SUM(E38:M38)</f>
        <v>82624677.819999993</v>
      </c>
      <c r="O38" s="495">
        <f>N38+D38</f>
        <v>82721487.819999993</v>
      </c>
      <c r="P38" s="488">
        <f>P10</f>
        <v>4310000</v>
      </c>
      <c r="Q38" s="489">
        <f>P33</f>
        <v>16891616</v>
      </c>
      <c r="R38" s="496">
        <f>T33</f>
        <v>8388733</v>
      </c>
      <c r="S38" s="489">
        <f>N21+N33</f>
        <v>25346872.299999997</v>
      </c>
      <c r="T38" s="491">
        <f>V33</f>
        <v>358892.6</v>
      </c>
      <c r="U38" s="497">
        <f>SUM(P38:T38)</f>
        <v>55296113.899999999</v>
      </c>
      <c r="V38" s="498">
        <f>O38+U38</f>
        <v>138017601.72</v>
      </c>
    </row>
    <row r="39" spans="1:22" s="502" customFormat="1" ht="20.100000000000001" customHeight="1">
      <c r="A39" s="499"/>
      <c r="B39" s="500">
        <f t="shared" ref="B39:K39" si="0">B38/$V$38*100</f>
        <v>7.0143227235900704E-2</v>
      </c>
      <c r="C39" s="501">
        <f t="shared" si="0"/>
        <v>0</v>
      </c>
      <c r="D39" s="501">
        <f t="shared" si="0"/>
        <v>7.0143227235900704E-2</v>
      </c>
      <c r="E39" s="501">
        <f t="shared" si="0"/>
        <v>3.4053627518720515</v>
      </c>
      <c r="F39" s="501">
        <f t="shared" si="0"/>
        <v>23.590221532795955</v>
      </c>
      <c r="G39" s="501">
        <f t="shared" si="0"/>
        <v>2.8981810654230229E-2</v>
      </c>
      <c r="H39" s="501">
        <f t="shared" si="0"/>
        <v>12.694928604502053</v>
      </c>
      <c r="I39" s="501">
        <f t="shared" si="0"/>
        <v>0.38432851563101339</v>
      </c>
      <c r="J39" s="501">
        <f t="shared" si="0"/>
        <v>17.860040815669375</v>
      </c>
      <c r="K39" s="501">
        <f t="shared" si="0"/>
        <v>1.8942097148621575</v>
      </c>
      <c r="M39" s="501">
        <f t="shared" ref="M39:V39" si="1">M38/$V$38*100</f>
        <v>7.2454526635575573E-3</v>
      </c>
      <c r="N39" s="503">
        <f t="shared" si="1"/>
        <v>59.86531919865039</v>
      </c>
      <c r="O39" s="504">
        <f t="shared" si="1"/>
        <v>59.935462425886286</v>
      </c>
      <c r="P39" s="500">
        <f t="shared" si="1"/>
        <v>3.122790097993307</v>
      </c>
      <c r="Q39" s="501">
        <f t="shared" si="1"/>
        <v>12.238740413899144</v>
      </c>
      <c r="R39" s="501">
        <f t="shared" si="1"/>
        <v>6.0780167858723173</v>
      </c>
      <c r="S39" s="501">
        <f t="shared" si="1"/>
        <v>18.364956341888821</v>
      </c>
      <c r="T39" s="501">
        <f t="shared" si="1"/>
        <v>0.26003393446010964</v>
      </c>
      <c r="U39" s="505">
        <f t="shared" si="1"/>
        <v>40.0645375741137</v>
      </c>
      <c r="V39" s="506">
        <f t="shared" si="1"/>
        <v>100</v>
      </c>
    </row>
    <row r="40" spans="1:22" s="472" customFormat="1" ht="15" customHeight="1">
      <c r="A40" s="507"/>
      <c r="B40" s="508" t="s">
        <v>453</v>
      </c>
      <c r="C40" s="466"/>
      <c r="D40" s="509"/>
      <c r="E40" s="509"/>
      <c r="F40" s="509"/>
      <c r="G40" s="508"/>
      <c r="H40" s="509"/>
      <c r="I40" s="509"/>
      <c r="J40" s="509"/>
      <c r="K40" s="509"/>
      <c r="M40" s="508"/>
      <c r="N40" s="466"/>
      <c r="O40" s="466"/>
      <c r="P40" s="466"/>
      <c r="Q40" s="510"/>
      <c r="R40" s="466"/>
      <c r="S40" s="511"/>
      <c r="T40" s="511"/>
    </row>
    <row r="41" spans="1:22" s="406" customFormat="1" ht="12" customHeight="1">
      <c r="A41" s="512"/>
      <c r="B41" s="513"/>
      <c r="C41" s="512"/>
      <c r="D41" s="512"/>
      <c r="E41" s="512"/>
      <c r="F41" s="512"/>
      <c r="G41" s="512"/>
      <c r="H41" s="512"/>
      <c r="I41" s="512"/>
      <c r="J41" s="512"/>
      <c r="K41" s="512"/>
      <c r="L41" s="514"/>
      <c r="M41" s="515"/>
      <c r="N41" s="515"/>
      <c r="O41" s="515"/>
      <c r="P41" s="515"/>
      <c r="Q41" s="516"/>
      <c r="R41" s="517"/>
      <c r="S41" s="516"/>
      <c r="T41" s="516"/>
    </row>
    <row r="42" spans="1:22" s="406" customFormat="1" ht="8.1" customHeight="1">
      <c r="A42" s="518"/>
      <c r="B42" s="519"/>
      <c r="C42" s="512"/>
      <c r="D42" s="512"/>
      <c r="E42" s="512"/>
      <c r="F42" s="512"/>
      <c r="G42" s="512"/>
      <c r="H42" s="512"/>
      <c r="I42" s="512"/>
      <c r="J42" s="512"/>
      <c r="K42" s="512"/>
      <c r="L42" s="514"/>
      <c r="M42" s="515"/>
      <c r="N42" s="515"/>
      <c r="O42" s="515"/>
      <c r="P42" s="515"/>
      <c r="Q42" s="516"/>
      <c r="R42" s="517"/>
      <c r="S42" s="520"/>
      <c r="T42" s="520"/>
    </row>
    <row r="43" spans="1:22" s="472" customFormat="1" ht="12" customHeight="1">
      <c r="A43" s="521"/>
      <c r="B43" s="519"/>
      <c r="C43" s="512"/>
      <c r="D43" s="512"/>
      <c r="E43" s="512"/>
      <c r="F43" s="512"/>
      <c r="G43" s="512"/>
      <c r="H43" s="512"/>
      <c r="I43" s="512"/>
      <c r="J43" s="512"/>
      <c r="K43" s="512"/>
      <c r="L43" s="514"/>
      <c r="M43" s="515"/>
      <c r="N43" s="515"/>
      <c r="O43" s="515"/>
      <c r="P43" s="515"/>
      <c r="Q43" s="516"/>
      <c r="R43" s="517"/>
      <c r="S43" s="520"/>
      <c r="T43" s="520"/>
    </row>
    <row r="44" spans="1:22" s="522" customFormat="1" ht="9.6" customHeight="1">
      <c r="C44" s="523"/>
      <c r="E44" s="523"/>
      <c r="G44" s="523"/>
      <c r="H44" s="524"/>
      <c r="I44" s="523"/>
      <c r="K44" s="525"/>
      <c r="L44" s="526"/>
      <c r="M44" s="406"/>
      <c r="N44" s="406"/>
      <c r="O44" s="406"/>
      <c r="P44" s="406"/>
      <c r="Q44" s="527"/>
      <c r="R44" s="528"/>
      <c r="S44" s="512"/>
      <c r="T44" s="529"/>
    </row>
    <row r="45" spans="1:22" s="522" customFormat="1" ht="15.75" customHeight="1">
      <c r="B45" s="530"/>
      <c r="C45" s="531"/>
      <c r="E45" s="523"/>
      <c r="G45" s="523"/>
      <c r="H45" s="524"/>
      <c r="I45" s="523"/>
      <c r="K45" s="525"/>
      <c r="L45" s="526"/>
      <c r="M45" s="406"/>
      <c r="N45" s="406"/>
      <c r="O45" s="406"/>
      <c r="P45" s="406"/>
      <c r="Q45" s="528"/>
      <c r="R45" s="532"/>
      <c r="S45" s="533"/>
      <c r="T45" s="534"/>
    </row>
    <row r="46" spans="1:22" ht="9.75" customHeight="1">
      <c r="B46" s="530"/>
      <c r="D46" s="531"/>
      <c r="K46" s="525"/>
      <c r="L46" s="526"/>
      <c r="M46" s="522"/>
      <c r="N46" s="522"/>
      <c r="O46" s="522"/>
      <c r="P46" s="522"/>
      <c r="Q46" s="528"/>
      <c r="R46" s="532"/>
      <c r="S46" s="536"/>
      <c r="T46" s="537"/>
    </row>
    <row r="47" spans="1:22" ht="17.25">
      <c r="B47" s="538"/>
      <c r="H47" s="539"/>
      <c r="L47" s="526"/>
      <c r="M47" s="522"/>
      <c r="N47" s="522"/>
      <c r="O47" s="522"/>
      <c r="P47" s="522"/>
      <c r="Q47" s="406"/>
      <c r="R47" s="406"/>
      <c r="S47" s="540"/>
      <c r="T47" s="537"/>
    </row>
    <row r="48" spans="1:22">
      <c r="B48" s="541"/>
      <c r="D48" s="531"/>
      <c r="Q48" s="406"/>
      <c r="R48" s="406"/>
      <c r="T48" s="537"/>
    </row>
    <row r="49" spans="2:20">
      <c r="B49" s="538"/>
      <c r="Q49" s="406"/>
      <c r="R49" s="406"/>
      <c r="T49" s="537"/>
    </row>
    <row r="50" spans="2:20">
      <c r="Q50" s="472"/>
      <c r="R50" s="472"/>
      <c r="T50" s="537"/>
    </row>
    <row r="51" spans="2:20">
      <c r="L51" s="472"/>
      <c r="T51" s="537"/>
    </row>
    <row r="52" spans="2:20">
      <c r="T52" s="537"/>
    </row>
    <row r="53" spans="2:20">
      <c r="T53" s="537"/>
    </row>
    <row r="54" spans="2:20">
      <c r="T54" s="537"/>
    </row>
    <row r="55" spans="2:20">
      <c r="T55" s="537"/>
    </row>
    <row r="56" spans="2:20">
      <c r="T56" s="537"/>
    </row>
    <row r="57" spans="2:20">
      <c r="T57" s="537"/>
    </row>
    <row r="58" spans="2:20">
      <c r="I58" s="542"/>
      <c r="T58" s="537"/>
    </row>
    <row r="59" spans="2:20">
      <c r="M59" s="406"/>
      <c r="N59" s="479"/>
      <c r="O59" s="479"/>
      <c r="P59" s="479"/>
      <c r="T59" s="537"/>
    </row>
    <row r="60" spans="2:20">
      <c r="M60" s="406"/>
      <c r="N60" s="406"/>
      <c r="O60" s="406"/>
      <c r="P60" s="406"/>
      <c r="T60" s="537"/>
    </row>
    <row r="61" spans="2:20">
      <c r="M61" s="543"/>
      <c r="N61" s="543"/>
      <c r="O61" s="543"/>
      <c r="P61" s="543"/>
      <c r="T61" s="537"/>
    </row>
    <row r="62" spans="2:20">
      <c r="M62" s="544"/>
      <c r="N62" s="543"/>
      <c r="O62" s="543"/>
      <c r="P62" s="543"/>
      <c r="T62" s="537"/>
    </row>
    <row r="63" spans="2:20">
      <c r="M63" s="543"/>
      <c r="N63" s="543"/>
      <c r="O63" s="543"/>
      <c r="P63" s="543"/>
      <c r="T63" s="537"/>
    </row>
    <row r="64" spans="2:20">
      <c r="M64" s="544"/>
      <c r="N64" s="537"/>
      <c r="O64" s="537"/>
      <c r="P64" s="537"/>
      <c r="T64" s="537"/>
    </row>
    <row r="65" spans="13:20">
      <c r="M65" s="537"/>
      <c r="N65" s="537"/>
      <c r="O65" s="537"/>
      <c r="P65" s="537"/>
      <c r="T65" s="537"/>
    </row>
    <row r="66" spans="13:20">
      <c r="M66" s="537"/>
      <c r="N66" s="537"/>
      <c r="O66" s="537"/>
      <c r="P66" s="537"/>
      <c r="T66" s="537"/>
    </row>
    <row r="67" spans="13:20">
      <c r="M67" s="537"/>
      <c r="N67" s="537"/>
      <c r="O67" s="537"/>
      <c r="P67" s="537"/>
      <c r="T67" s="537"/>
    </row>
    <row r="68" spans="13:20">
      <c r="M68" s="537"/>
      <c r="N68" s="537"/>
      <c r="O68" s="537"/>
      <c r="P68" s="537"/>
    </row>
    <row r="69" spans="13:20">
      <c r="M69" s="545"/>
      <c r="N69" s="537"/>
      <c r="O69" s="537"/>
      <c r="P69" s="537"/>
    </row>
    <row r="70" spans="13:20">
      <c r="M70" s="546"/>
    </row>
    <row r="71" spans="13:20">
      <c r="M71" s="546"/>
    </row>
    <row r="72" spans="13:20">
      <c r="M72" s="546"/>
    </row>
    <row r="73" spans="13:20">
      <c r="M73" s="546"/>
    </row>
    <row r="74" spans="13:20">
      <c r="M74" s="547"/>
    </row>
  </sheetData>
  <mergeCells count="14">
    <mergeCell ref="O4:P4"/>
    <mergeCell ref="Q4:T4"/>
    <mergeCell ref="U4:V4"/>
    <mergeCell ref="B35:C35"/>
    <mergeCell ref="B36:D36"/>
    <mergeCell ref="E36:K36"/>
    <mergeCell ref="M36:N36"/>
    <mergeCell ref="P36:U36"/>
    <mergeCell ref="B4:C4"/>
    <mergeCell ref="D4:E4"/>
    <mergeCell ref="F4:G4"/>
    <mergeCell ref="H4:I4"/>
    <mergeCell ref="J4:K4"/>
    <mergeCell ref="M4:N4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/>
  <colBreaks count="1" manualBreakCount="1">
    <brk id="11" max="3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W40"/>
  <sheetViews>
    <sheetView view="pageBreakPreview" zoomScale="64" zoomScaleNormal="100" zoomScaleSheetLayoutView="64" workbookViewId="0">
      <pane xSplit="1" ySplit="5" topLeftCell="F6" activePane="bottomRight" state="frozen"/>
      <selection activeCell="F26" sqref="F26"/>
      <selection pane="topRight" activeCell="F26" sqref="F26"/>
      <selection pane="bottomLeft" activeCell="F26" sqref="F26"/>
      <selection pane="bottomRight" activeCell="F26" sqref="F26"/>
    </sheetView>
  </sheetViews>
  <sheetFormatPr defaultColWidth="6.5" defaultRowHeight="16.5"/>
  <cols>
    <col min="1" max="1" width="9.125" style="12" customWidth="1"/>
    <col min="2" max="7" width="7.625" style="12" customWidth="1"/>
    <col min="8" max="8" width="8.125" style="12" customWidth="1"/>
    <col min="9" max="12" width="7.625" style="12" customWidth="1"/>
    <col min="13" max="13" width="7.125" style="12" customWidth="1"/>
    <col min="14" max="14" width="7.625" style="12" customWidth="1"/>
    <col min="15" max="17" width="7.125" style="12" customWidth="1"/>
    <col min="18" max="18" width="7.625" style="12" customWidth="1"/>
    <col min="19" max="19" width="7.125" style="12" customWidth="1"/>
    <col min="20" max="23" width="7.625" style="12" customWidth="1"/>
    <col min="24" max="24" width="7.125" style="12" customWidth="1"/>
    <col min="25" max="25" width="7.625" style="12" customWidth="1"/>
    <col min="26" max="26" width="8.75" style="639" customWidth="1"/>
    <col min="27" max="32" width="7.625" style="12" customWidth="1"/>
    <col min="33" max="33" width="8.5" style="12" customWidth="1"/>
    <col min="34" max="37" width="7.625" style="12" customWidth="1"/>
    <col min="38" max="48" width="8.5" style="12" customWidth="1"/>
    <col min="49" max="49" width="18.25" style="12" bestFit="1" customWidth="1"/>
    <col min="50" max="50" width="9.625" style="12" bestFit="1" customWidth="1"/>
    <col min="51" max="16384" width="6.5" style="12"/>
  </cols>
  <sheetData>
    <row r="1" spans="1:48" s="249" customFormat="1" ht="26.25">
      <c r="A1" s="548" t="s">
        <v>454</v>
      </c>
      <c r="Z1" s="548" t="s">
        <v>455</v>
      </c>
      <c r="AB1" s="549"/>
      <c r="AD1" s="250"/>
      <c r="AE1" s="250"/>
      <c r="AF1" s="250"/>
    </row>
    <row r="2" spans="1:48" s="252" customFormat="1" ht="17.25">
      <c r="A2" s="252" t="s">
        <v>456</v>
      </c>
      <c r="Z2" s="550" t="s">
        <v>457</v>
      </c>
      <c r="AD2" s="250"/>
      <c r="AE2" s="250"/>
      <c r="AF2" s="250"/>
    </row>
    <row r="3" spans="1:48" s="249" customFormat="1" ht="16.5" customHeight="1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X3" s="2918" t="s">
        <v>458</v>
      </c>
      <c r="Y3" s="2918"/>
      <c r="Z3" s="551"/>
      <c r="AA3" s="552"/>
      <c r="AD3" s="258"/>
      <c r="AE3" s="258"/>
      <c r="AF3" s="258"/>
      <c r="AG3" s="250"/>
      <c r="AH3" s="250"/>
      <c r="AI3" s="250"/>
      <c r="AV3" s="366" t="s">
        <v>458</v>
      </c>
    </row>
    <row r="4" spans="1:48" s="557" customFormat="1" ht="24" customHeight="1">
      <c r="A4" s="2881" t="s">
        <v>65</v>
      </c>
      <c r="B4" s="2886" t="s">
        <v>459</v>
      </c>
      <c r="C4" s="2884"/>
      <c r="D4" s="2884"/>
      <c r="E4" s="2884"/>
      <c r="F4" s="2884"/>
      <c r="G4" s="2884"/>
      <c r="H4" s="2885"/>
      <c r="I4" s="2886" t="s">
        <v>460</v>
      </c>
      <c r="J4" s="2884"/>
      <c r="K4" s="2884"/>
      <c r="L4" s="2884"/>
      <c r="M4" s="2884" t="s">
        <v>461</v>
      </c>
      <c r="N4" s="2884"/>
      <c r="O4" s="2884"/>
      <c r="P4" s="2884"/>
      <c r="Q4" s="2884"/>
      <c r="R4" s="2885"/>
      <c r="S4" s="2886" t="s">
        <v>462</v>
      </c>
      <c r="T4" s="2884"/>
      <c r="U4" s="2884"/>
      <c r="V4" s="2884"/>
      <c r="W4" s="2884"/>
      <c r="X4" s="2884"/>
      <c r="Y4" s="2885"/>
      <c r="Z4" s="2916" t="s">
        <v>65</v>
      </c>
      <c r="AA4" s="2884" t="s">
        <v>463</v>
      </c>
      <c r="AB4" s="2884"/>
      <c r="AC4" s="2884"/>
      <c r="AD4" s="2884"/>
      <c r="AE4" s="2884"/>
      <c r="AF4" s="2884"/>
      <c r="AG4" s="2884"/>
      <c r="AH4" s="553"/>
      <c r="AI4" s="554" t="s">
        <v>464</v>
      </c>
      <c r="AJ4" s="554" t="s">
        <v>465</v>
      </c>
      <c r="AK4" s="555"/>
      <c r="AL4" s="555"/>
      <c r="AM4" s="554" t="s">
        <v>466</v>
      </c>
      <c r="AN4" s="556"/>
      <c r="AO4" s="2884" t="s">
        <v>467</v>
      </c>
      <c r="AP4" s="2884"/>
      <c r="AQ4" s="2884"/>
      <c r="AR4" s="2884"/>
      <c r="AS4" s="2886" t="s">
        <v>468</v>
      </c>
      <c r="AT4" s="2884"/>
      <c r="AU4" s="2885"/>
      <c r="AV4" s="556" t="s">
        <v>469</v>
      </c>
    </row>
    <row r="5" spans="1:48" s="565" customFormat="1" ht="24" customHeight="1">
      <c r="A5" s="2883"/>
      <c r="B5" s="558" t="s">
        <v>162</v>
      </c>
      <c r="C5" s="261" t="s">
        <v>128</v>
      </c>
      <c r="D5" s="261" t="s">
        <v>127</v>
      </c>
      <c r="E5" s="261" t="s">
        <v>120</v>
      </c>
      <c r="F5" s="261" t="s">
        <v>470</v>
      </c>
      <c r="G5" s="261" t="s">
        <v>471</v>
      </c>
      <c r="H5" s="559" t="s">
        <v>161</v>
      </c>
      <c r="I5" s="558" t="s">
        <v>162</v>
      </c>
      <c r="J5" s="560" t="s">
        <v>128</v>
      </c>
      <c r="K5" s="261" t="s">
        <v>127</v>
      </c>
      <c r="L5" s="261" t="s">
        <v>120</v>
      </c>
      <c r="M5" s="261" t="s">
        <v>472</v>
      </c>
      <c r="N5" s="560" t="s">
        <v>470</v>
      </c>
      <c r="O5" s="261" t="s">
        <v>473</v>
      </c>
      <c r="P5" s="261" t="s">
        <v>471</v>
      </c>
      <c r="Q5" s="561" t="s">
        <v>474</v>
      </c>
      <c r="R5" s="561" t="s">
        <v>161</v>
      </c>
      <c r="S5" s="562" t="s">
        <v>162</v>
      </c>
      <c r="T5" s="261" t="s">
        <v>127</v>
      </c>
      <c r="U5" s="561" t="s">
        <v>120</v>
      </c>
      <c r="V5" s="261" t="s">
        <v>475</v>
      </c>
      <c r="W5" s="261" t="s">
        <v>476</v>
      </c>
      <c r="X5" s="261" t="s">
        <v>471</v>
      </c>
      <c r="Y5" s="559" t="s">
        <v>161</v>
      </c>
      <c r="Z5" s="2917"/>
      <c r="AA5" s="562" t="s">
        <v>162</v>
      </c>
      <c r="AB5" s="261" t="s">
        <v>127</v>
      </c>
      <c r="AC5" s="261" t="s">
        <v>120</v>
      </c>
      <c r="AD5" s="560" t="s">
        <v>470</v>
      </c>
      <c r="AE5" s="563" t="s">
        <v>477</v>
      </c>
      <c r="AF5" s="261" t="s">
        <v>471</v>
      </c>
      <c r="AG5" s="561" t="s">
        <v>161</v>
      </c>
      <c r="AH5" s="562" t="s">
        <v>162</v>
      </c>
      <c r="AI5" s="560" t="s">
        <v>128</v>
      </c>
      <c r="AJ5" s="261" t="s">
        <v>127</v>
      </c>
      <c r="AK5" s="561" t="s">
        <v>120</v>
      </c>
      <c r="AL5" s="261" t="s">
        <v>470</v>
      </c>
      <c r="AM5" s="261" t="s">
        <v>471</v>
      </c>
      <c r="AN5" s="559" t="s">
        <v>161</v>
      </c>
      <c r="AO5" s="558" t="s">
        <v>162</v>
      </c>
      <c r="AP5" s="261" t="s">
        <v>13</v>
      </c>
      <c r="AQ5" s="261" t="s">
        <v>471</v>
      </c>
      <c r="AR5" s="559" t="s">
        <v>161</v>
      </c>
      <c r="AS5" s="562" t="s">
        <v>162</v>
      </c>
      <c r="AT5" s="558" t="s">
        <v>478</v>
      </c>
      <c r="AU5" s="559" t="s">
        <v>471</v>
      </c>
      <c r="AV5" s="564" t="s">
        <v>161</v>
      </c>
    </row>
    <row r="6" spans="1:48" s="576" customFormat="1" ht="26.1" customHeight="1">
      <c r="A6" s="275">
        <v>2011</v>
      </c>
      <c r="B6" s="566">
        <v>12.339</v>
      </c>
      <c r="C6" s="567">
        <v>325</v>
      </c>
      <c r="D6" s="567">
        <v>6580</v>
      </c>
      <c r="E6" s="567">
        <v>556.25400000000002</v>
      </c>
      <c r="F6" s="567">
        <v>922</v>
      </c>
      <c r="G6" s="568">
        <v>0</v>
      </c>
      <c r="H6" s="569">
        <v>8395.5930000000008</v>
      </c>
      <c r="I6" s="568">
        <v>7.5</v>
      </c>
      <c r="J6" s="567">
        <v>400</v>
      </c>
      <c r="K6" s="567">
        <v>4000</v>
      </c>
      <c r="L6" s="567">
        <v>156.452</v>
      </c>
      <c r="M6" s="567">
        <v>887.5</v>
      </c>
      <c r="N6" s="567">
        <v>2362.4470000000001</v>
      </c>
      <c r="O6" s="567">
        <v>135</v>
      </c>
      <c r="P6" s="568">
        <v>0</v>
      </c>
      <c r="Q6" s="568" t="s">
        <v>171</v>
      </c>
      <c r="R6" s="570">
        <v>7948.8990000000003</v>
      </c>
      <c r="S6" s="566">
        <v>2.2000000000000002</v>
      </c>
      <c r="T6" s="567">
        <v>4000</v>
      </c>
      <c r="U6" s="567">
        <v>1403.12</v>
      </c>
      <c r="V6" s="567" t="s">
        <v>171</v>
      </c>
      <c r="W6" s="567">
        <v>2998.4</v>
      </c>
      <c r="X6" s="568">
        <v>0</v>
      </c>
      <c r="Y6" s="569">
        <v>8403.7199999999993</v>
      </c>
      <c r="Z6" s="571">
        <v>2011</v>
      </c>
      <c r="AA6" s="572">
        <v>0.06</v>
      </c>
      <c r="AB6" s="567">
        <v>4000</v>
      </c>
      <c r="AC6" s="567">
        <v>686.11500000000001</v>
      </c>
      <c r="AD6" s="567">
        <v>4553</v>
      </c>
      <c r="AE6" s="568">
        <v>0</v>
      </c>
      <c r="AF6" s="568">
        <v>0</v>
      </c>
      <c r="AG6" s="570">
        <v>9239.1749999999993</v>
      </c>
      <c r="AH6" s="566">
        <v>4.9980000000000002</v>
      </c>
      <c r="AI6" s="567">
        <v>400</v>
      </c>
      <c r="AJ6" s="567">
        <v>4500</v>
      </c>
      <c r="AK6" s="567">
        <v>1810.1020000000001</v>
      </c>
      <c r="AL6" s="567">
        <v>2100</v>
      </c>
      <c r="AM6" s="568">
        <v>0</v>
      </c>
      <c r="AN6" s="569">
        <v>8815.1</v>
      </c>
      <c r="AO6" s="572">
        <v>5305.8050000000003</v>
      </c>
      <c r="AP6" s="567">
        <v>18715.683000000001</v>
      </c>
      <c r="AQ6" s="568">
        <v>0</v>
      </c>
      <c r="AR6" s="570">
        <v>24021.488000000001</v>
      </c>
      <c r="AS6" s="566" t="s">
        <v>171</v>
      </c>
      <c r="AT6" s="573">
        <v>181.595</v>
      </c>
      <c r="AU6" s="574">
        <v>0</v>
      </c>
      <c r="AV6" s="575">
        <v>12339.145</v>
      </c>
    </row>
    <row r="7" spans="1:48" s="576" customFormat="1" ht="26.1" customHeight="1">
      <c r="A7" s="275">
        <v>2012</v>
      </c>
      <c r="B7" s="566">
        <v>12.339</v>
      </c>
      <c r="C7" s="567">
        <v>325</v>
      </c>
      <c r="D7" s="567">
        <v>6908.6</v>
      </c>
      <c r="E7" s="567">
        <v>0</v>
      </c>
      <c r="F7" s="567">
        <v>922.06399999999996</v>
      </c>
      <c r="G7" s="568">
        <v>30.855</v>
      </c>
      <c r="H7" s="569">
        <v>8198.8580000000002</v>
      </c>
      <c r="I7" s="572">
        <v>7.5</v>
      </c>
      <c r="J7" s="567">
        <v>400</v>
      </c>
      <c r="K7" s="567">
        <v>4000</v>
      </c>
      <c r="L7" s="567">
        <v>150</v>
      </c>
      <c r="M7" s="567">
        <v>887.5</v>
      </c>
      <c r="N7" s="567">
        <v>2362.4470000000001</v>
      </c>
      <c r="O7" s="567">
        <v>135</v>
      </c>
      <c r="P7" s="568">
        <v>9.7629999999999999</v>
      </c>
      <c r="Q7" s="568" t="s">
        <v>171</v>
      </c>
      <c r="R7" s="570">
        <v>7952.21</v>
      </c>
      <c r="S7" s="566">
        <v>2.2000000000000002</v>
      </c>
      <c r="T7" s="567">
        <v>4000</v>
      </c>
      <c r="U7" s="567">
        <v>1400</v>
      </c>
      <c r="V7" s="567" t="s">
        <v>171</v>
      </c>
      <c r="W7" s="567">
        <v>2998.4</v>
      </c>
      <c r="X7" s="568">
        <v>8.6029999999999998</v>
      </c>
      <c r="Y7" s="569">
        <v>8409.2029999999995</v>
      </c>
      <c r="Z7" s="571">
        <v>2012</v>
      </c>
      <c r="AA7" s="572">
        <v>0.06</v>
      </c>
      <c r="AB7" s="567">
        <v>4000</v>
      </c>
      <c r="AC7" s="567">
        <v>600</v>
      </c>
      <c r="AD7" s="567">
        <v>4553</v>
      </c>
      <c r="AE7" s="568">
        <v>40</v>
      </c>
      <c r="AF7" s="568">
        <v>47.055999999999997</v>
      </c>
      <c r="AG7" s="570">
        <v>9240.116</v>
      </c>
      <c r="AH7" s="566">
        <v>4.9980000000000002</v>
      </c>
      <c r="AI7" s="567">
        <v>400</v>
      </c>
      <c r="AJ7" s="567">
        <v>4500</v>
      </c>
      <c r="AK7" s="567">
        <v>1800</v>
      </c>
      <c r="AL7" s="567">
        <v>2100</v>
      </c>
      <c r="AM7" s="568">
        <v>14.413</v>
      </c>
      <c r="AN7" s="569">
        <v>8819.4110000000001</v>
      </c>
      <c r="AO7" s="572">
        <v>5303</v>
      </c>
      <c r="AP7" s="567">
        <v>20715.683000000001</v>
      </c>
      <c r="AQ7" s="568">
        <v>16.082000000000001</v>
      </c>
      <c r="AR7" s="570">
        <v>26034.764999999999</v>
      </c>
      <c r="AS7" s="566" t="s">
        <v>171</v>
      </c>
      <c r="AT7" s="568">
        <v>193.04</v>
      </c>
      <c r="AU7" s="574">
        <v>0.505</v>
      </c>
      <c r="AV7" s="569">
        <v>12957.468000000001</v>
      </c>
    </row>
    <row r="8" spans="1:48" s="576" customFormat="1" ht="26.1" customHeight="1">
      <c r="A8" s="275">
        <v>2013</v>
      </c>
      <c r="B8" s="566">
        <v>12.339</v>
      </c>
      <c r="C8" s="567">
        <v>325</v>
      </c>
      <c r="D8" s="567">
        <v>6908.6</v>
      </c>
      <c r="E8" s="567">
        <v>0</v>
      </c>
      <c r="F8" s="567">
        <v>922.06399999999996</v>
      </c>
      <c r="G8" s="568">
        <v>57.935000000000002</v>
      </c>
      <c r="H8" s="569">
        <v>8225.9380000000001</v>
      </c>
      <c r="I8" s="572">
        <v>7.5</v>
      </c>
      <c r="J8" s="567">
        <v>400</v>
      </c>
      <c r="K8" s="567">
        <v>4000</v>
      </c>
      <c r="L8" s="567">
        <v>150</v>
      </c>
      <c r="M8" s="567">
        <v>887.5</v>
      </c>
      <c r="N8" s="567">
        <v>3342.8879999999999</v>
      </c>
      <c r="O8" s="567">
        <v>135</v>
      </c>
      <c r="P8" s="568">
        <v>9.7629999999999999</v>
      </c>
      <c r="Q8" s="568" t="s">
        <v>171</v>
      </c>
      <c r="R8" s="570">
        <v>8932.6509999999998</v>
      </c>
      <c r="S8" s="566">
        <v>2.2000000000000002</v>
      </c>
      <c r="T8" s="567">
        <v>4000</v>
      </c>
      <c r="U8" s="567">
        <v>1400</v>
      </c>
      <c r="V8" s="567" t="s">
        <v>171</v>
      </c>
      <c r="W8" s="567">
        <v>3482.4</v>
      </c>
      <c r="X8" s="568">
        <v>24.318999999999999</v>
      </c>
      <c r="Y8" s="569">
        <v>8908.9189999999999</v>
      </c>
      <c r="Z8" s="571">
        <v>2013</v>
      </c>
      <c r="AA8" s="572">
        <v>0.06</v>
      </c>
      <c r="AB8" s="567">
        <v>4000</v>
      </c>
      <c r="AC8" s="567">
        <v>600</v>
      </c>
      <c r="AD8" s="567">
        <v>4553</v>
      </c>
      <c r="AE8" s="568">
        <v>0</v>
      </c>
      <c r="AF8" s="568">
        <v>47.256</v>
      </c>
      <c r="AG8" s="570">
        <v>9200.3160000000007</v>
      </c>
      <c r="AH8" s="566">
        <v>4.9980000000000002</v>
      </c>
      <c r="AI8" s="567">
        <v>400</v>
      </c>
      <c r="AJ8" s="567">
        <v>4500</v>
      </c>
      <c r="AK8" s="567">
        <v>1800</v>
      </c>
      <c r="AL8" s="567">
        <v>2586</v>
      </c>
      <c r="AM8" s="568">
        <v>51.683</v>
      </c>
      <c r="AN8" s="569">
        <v>9342.6810000000005</v>
      </c>
      <c r="AO8" s="572">
        <v>5306.5</v>
      </c>
      <c r="AP8" s="567">
        <v>20715.683000000001</v>
      </c>
      <c r="AQ8" s="568">
        <v>16.710999999999999</v>
      </c>
      <c r="AR8" s="570">
        <v>26038.894</v>
      </c>
      <c r="AS8" s="566" t="s">
        <v>171</v>
      </c>
      <c r="AT8" s="568">
        <v>195.39</v>
      </c>
      <c r="AU8" s="574">
        <v>0.505</v>
      </c>
      <c r="AV8" s="569">
        <v>16123.643</v>
      </c>
    </row>
    <row r="9" spans="1:48" s="576" customFormat="1" ht="26.1" customHeight="1">
      <c r="A9" s="275">
        <v>2014</v>
      </c>
      <c r="B9" s="566">
        <v>18.338999999999999</v>
      </c>
      <c r="C9" s="567">
        <v>325</v>
      </c>
      <c r="D9" s="567">
        <v>8648.6</v>
      </c>
      <c r="E9" s="567">
        <v>0</v>
      </c>
      <c r="F9" s="567">
        <v>922.06399999999996</v>
      </c>
      <c r="G9" s="568">
        <v>62.473999999999997</v>
      </c>
      <c r="H9" s="569">
        <v>9976.4770000000008</v>
      </c>
      <c r="I9" s="572">
        <v>7.5</v>
      </c>
      <c r="J9" s="567">
        <v>400</v>
      </c>
      <c r="K9" s="567">
        <v>4000</v>
      </c>
      <c r="L9" s="567">
        <v>150</v>
      </c>
      <c r="M9" s="567">
        <v>387.5</v>
      </c>
      <c r="N9" s="567">
        <v>3342.8879999999999</v>
      </c>
      <c r="O9" s="567">
        <v>135</v>
      </c>
      <c r="P9" s="568">
        <v>10.97</v>
      </c>
      <c r="Q9" s="568" t="s">
        <v>171</v>
      </c>
      <c r="R9" s="570">
        <v>8433.8580000000002</v>
      </c>
      <c r="S9" s="566">
        <v>2.2000000000000002</v>
      </c>
      <c r="T9" s="567">
        <v>4000</v>
      </c>
      <c r="U9" s="567">
        <v>1400</v>
      </c>
      <c r="V9" s="567" t="s">
        <v>171</v>
      </c>
      <c r="W9" s="567">
        <v>3866.9</v>
      </c>
      <c r="X9" s="568">
        <v>35.783999999999999</v>
      </c>
      <c r="Y9" s="569">
        <v>9304.884</v>
      </c>
      <c r="Z9" s="571">
        <v>2014</v>
      </c>
      <c r="AA9" s="572">
        <v>0.06</v>
      </c>
      <c r="AB9" s="567">
        <v>4000</v>
      </c>
      <c r="AC9" s="567">
        <v>200</v>
      </c>
      <c r="AD9" s="567">
        <v>4970</v>
      </c>
      <c r="AE9" s="568">
        <v>0</v>
      </c>
      <c r="AF9" s="568">
        <v>47.256</v>
      </c>
      <c r="AG9" s="570">
        <v>9217.3160000000007</v>
      </c>
      <c r="AH9" s="566">
        <v>8.1980000000000004</v>
      </c>
      <c r="AI9" s="567">
        <v>400</v>
      </c>
      <c r="AJ9" s="567">
        <v>4500</v>
      </c>
      <c r="AK9" s="567">
        <v>1200</v>
      </c>
      <c r="AL9" s="567">
        <v>2971.9</v>
      </c>
      <c r="AM9" s="568">
        <v>57.783000000000001</v>
      </c>
      <c r="AN9" s="569">
        <v>9137.8809999999994</v>
      </c>
      <c r="AO9" s="572">
        <v>5306.5</v>
      </c>
      <c r="AP9" s="567">
        <v>20715.683000000001</v>
      </c>
      <c r="AQ9" s="568">
        <v>16.710999999999999</v>
      </c>
      <c r="AR9" s="570">
        <v>26038.894</v>
      </c>
      <c r="AS9" s="566" t="s">
        <v>171</v>
      </c>
      <c r="AT9" s="568">
        <v>195.39</v>
      </c>
      <c r="AU9" s="574">
        <v>0.505</v>
      </c>
      <c r="AV9" s="569">
        <v>20910.55</v>
      </c>
    </row>
    <row r="10" spans="1:48" s="576" customFormat="1" ht="26.1" customHeight="1">
      <c r="A10" s="275">
        <v>2015</v>
      </c>
      <c r="B10" s="566">
        <v>19.599</v>
      </c>
      <c r="C10" s="567">
        <v>325</v>
      </c>
      <c r="D10" s="567">
        <v>8648.6</v>
      </c>
      <c r="E10" s="567">
        <v>0</v>
      </c>
      <c r="F10" s="567">
        <v>922.06399999999996</v>
      </c>
      <c r="G10" s="568">
        <v>65.591999999999999</v>
      </c>
      <c r="H10" s="569">
        <v>9980.8549999999996</v>
      </c>
      <c r="I10" s="572">
        <v>7.5</v>
      </c>
      <c r="J10" s="567">
        <v>400</v>
      </c>
      <c r="K10" s="567">
        <v>4000</v>
      </c>
      <c r="L10" s="567">
        <v>150</v>
      </c>
      <c r="M10" s="567">
        <v>387.5</v>
      </c>
      <c r="N10" s="567">
        <v>3342.8879999999999</v>
      </c>
      <c r="O10" s="567">
        <v>135</v>
      </c>
      <c r="P10" s="568">
        <v>20.97</v>
      </c>
      <c r="Q10" s="568" t="s">
        <v>171</v>
      </c>
      <c r="R10" s="570">
        <v>8443.8580000000002</v>
      </c>
      <c r="S10" s="566">
        <v>2.2000000000000002</v>
      </c>
      <c r="T10" s="567">
        <v>4000</v>
      </c>
      <c r="U10" s="567">
        <v>1400</v>
      </c>
      <c r="V10" s="567" t="s">
        <v>171</v>
      </c>
      <c r="W10" s="567">
        <v>3866.9</v>
      </c>
      <c r="X10" s="568">
        <v>52.238999999999997</v>
      </c>
      <c r="Y10" s="569">
        <v>9321.3389999999999</v>
      </c>
      <c r="Z10" s="571">
        <v>2015</v>
      </c>
      <c r="AA10" s="572">
        <v>0.06</v>
      </c>
      <c r="AB10" s="567">
        <v>4000</v>
      </c>
      <c r="AC10" s="567">
        <v>200</v>
      </c>
      <c r="AD10" s="567">
        <v>4914.6000000000004</v>
      </c>
      <c r="AE10" s="568">
        <v>0</v>
      </c>
      <c r="AF10" s="568">
        <v>47.26</v>
      </c>
      <c r="AG10" s="570">
        <v>9161.92</v>
      </c>
      <c r="AH10" s="566">
        <v>8.1980000000000004</v>
      </c>
      <c r="AI10" s="567">
        <v>400</v>
      </c>
      <c r="AJ10" s="567">
        <v>4500</v>
      </c>
      <c r="AK10" s="567">
        <v>1200</v>
      </c>
      <c r="AL10" s="567">
        <v>2971.9</v>
      </c>
      <c r="AM10" s="568">
        <v>59.283000000000001</v>
      </c>
      <c r="AN10" s="569">
        <v>9139.3809999999994</v>
      </c>
      <c r="AO10" s="572">
        <v>5306.47</v>
      </c>
      <c r="AP10" s="567">
        <v>21715.683000000001</v>
      </c>
      <c r="AQ10" s="568">
        <v>16.710999999999999</v>
      </c>
      <c r="AR10" s="570">
        <v>27038.864000000001</v>
      </c>
      <c r="AS10" s="566" t="s">
        <v>171</v>
      </c>
      <c r="AT10" s="568">
        <v>195.39</v>
      </c>
      <c r="AU10" s="574">
        <v>0.505</v>
      </c>
      <c r="AV10" s="569">
        <v>24366.649000000001</v>
      </c>
    </row>
    <row r="11" spans="1:48" s="576" customFormat="1" ht="26.1" customHeight="1">
      <c r="A11" s="275">
        <v>2016</v>
      </c>
      <c r="B11" s="566">
        <v>19.599</v>
      </c>
      <c r="C11" s="567">
        <v>325</v>
      </c>
      <c r="D11" s="567">
        <v>8988.6</v>
      </c>
      <c r="E11" s="567" t="s">
        <v>171</v>
      </c>
      <c r="F11" s="567">
        <v>922.06399999999996</v>
      </c>
      <c r="G11" s="568">
        <v>76.405000000000001</v>
      </c>
      <c r="H11" s="569">
        <v>10331.668</v>
      </c>
      <c r="I11" s="572">
        <v>12.5</v>
      </c>
      <c r="J11" s="567">
        <v>400</v>
      </c>
      <c r="K11" s="567">
        <v>4000</v>
      </c>
      <c r="L11" s="567">
        <v>150</v>
      </c>
      <c r="M11" s="567">
        <v>250</v>
      </c>
      <c r="N11" s="567">
        <v>3342.8879999999999</v>
      </c>
      <c r="O11" s="567">
        <v>135</v>
      </c>
      <c r="P11" s="568">
        <v>51.972999999999999</v>
      </c>
      <c r="Q11" s="568" t="s">
        <v>171</v>
      </c>
      <c r="R11" s="570">
        <v>8342.3610000000008</v>
      </c>
      <c r="S11" s="566">
        <v>2.2000000000000002</v>
      </c>
      <c r="T11" s="567">
        <v>5050</v>
      </c>
      <c r="U11" s="567">
        <v>1400</v>
      </c>
      <c r="V11" s="567" t="s">
        <v>171</v>
      </c>
      <c r="W11" s="567">
        <v>3866.9</v>
      </c>
      <c r="X11" s="568">
        <v>405.40499999999997</v>
      </c>
      <c r="Y11" s="569">
        <v>10724.504999999999</v>
      </c>
      <c r="Z11" s="571">
        <v>2016</v>
      </c>
      <c r="AA11" s="572">
        <v>0.06</v>
      </c>
      <c r="AB11" s="567">
        <v>5022</v>
      </c>
      <c r="AC11" s="567">
        <v>200</v>
      </c>
      <c r="AD11" s="567">
        <v>4914.6000000000004</v>
      </c>
      <c r="AE11" s="568" t="s">
        <v>171</v>
      </c>
      <c r="AF11" s="568">
        <v>47.26</v>
      </c>
      <c r="AG11" s="570">
        <v>10183.92</v>
      </c>
      <c r="AH11" s="566">
        <v>8.1980000000000004</v>
      </c>
      <c r="AI11" s="567">
        <v>400</v>
      </c>
      <c r="AJ11" s="567">
        <v>6360.2</v>
      </c>
      <c r="AK11" s="567">
        <v>1200</v>
      </c>
      <c r="AL11" s="567">
        <v>2971.9</v>
      </c>
      <c r="AM11" s="568">
        <v>59.283000000000001</v>
      </c>
      <c r="AN11" s="569">
        <v>10999.581</v>
      </c>
      <c r="AO11" s="572">
        <v>5306.47</v>
      </c>
      <c r="AP11" s="567">
        <v>23115.683000000001</v>
      </c>
      <c r="AQ11" s="568">
        <v>16.710999999999999</v>
      </c>
      <c r="AR11" s="570">
        <v>28438.864000000001</v>
      </c>
      <c r="AS11" s="566">
        <v>0.7</v>
      </c>
      <c r="AT11" s="568">
        <v>194.44</v>
      </c>
      <c r="AU11" s="574">
        <v>0.505</v>
      </c>
      <c r="AV11" s="569">
        <v>26649.012999999999</v>
      </c>
    </row>
    <row r="12" spans="1:48" s="577" customFormat="1" ht="26.1" customHeight="1">
      <c r="A12" s="275">
        <v>2017</v>
      </c>
      <c r="B12" s="566">
        <v>18.599</v>
      </c>
      <c r="C12" s="567">
        <v>200</v>
      </c>
      <c r="D12" s="567">
        <v>8988.6</v>
      </c>
      <c r="E12" s="568" t="s">
        <v>171</v>
      </c>
      <c r="F12" s="567">
        <v>922.06399999999996</v>
      </c>
      <c r="G12" s="567">
        <v>215.167</v>
      </c>
      <c r="H12" s="569">
        <v>10344.43</v>
      </c>
      <c r="I12" s="572">
        <v>12.5</v>
      </c>
      <c r="J12" s="567" t="s">
        <v>171</v>
      </c>
      <c r="K12" s="567">
        <v>5851.9780000000001</v>
      </c>
      <c r="L12" s="567">
        <v>150</v>
      </c>
      <c r="M12" s="567" t="s">
        <v>171</v>
      </c>
      <c r="N12" s="567">
        <v>3342.8879999999999</v>
      </c>
      <c r="O12" s="567">
        <v>135</v>
      </c>
      <c r="P12" s="567">
        <v>60.625</v>
      </c>
      <c r="Q12" s="568" t="s">
        <v>171</v>
      </c>
      <c r="R12" s="570">
        <v>9552.991</v>
      </c>
      <c r="S12" s="566">
        <v>2.2000000000000002</v>
      </c>
      <c r="T12" s="567">
        <v>6100</v>
      </c>
      <c r="U12" s="567">
        <v>1400</v>
      </c>
      <c r="V12" s="567" t="s">
        <v>171</v>
      </c>
      <c r="W12" s="567">
        <v>3866.9</v>
      </c>
      <c r="X12" s="567">
        <v>411.79199999999997</v>
      </c>
      <c r="Y12" s="569">
        <v>11780.892</v>
      </c>
      <c r="Z12" s="571">
        <v>2017</v>
      </c>
      <c r="AA12" s="572">
        <v>2.81</v>
      </c>
      <c r="AB12" s="567">
        <v>6044</v>
      </c>
      <c r="AC12" s="567">
        <v>200</v>
      </c>
      <c r="AD12" s="567">
        <v>4914.6000000000004</v>
      </c>
      <c r="AE12" s="568" t="s">
        <v>171</v>
      </c>
      <c r="AF12" s="568">
        <v>47.26</v>
      </c>
      <c r="AG12" s="570">
        <v>11208.67</v>
      </c>
      <c r="AH12" s="566">
        <v>8.1980000000000004</v>
      </c>
      <c r="AI12" s="567">
        <v>400</v>
      </c>
      <c r="AJ12" s="567">
        <v>6540</v>
      </c>
      <c r="AK12" s="567">
        <v>1200</v>
      </c>
      <c r="AL12" s="567">
        <v>2971.9</v>
      </c>
      <c r="AM12" s="567">
        <v>62.685000000000002</v>
      </c>
      <c r="AN12" s="569">
        <v>11182.782999999999</v>
      </c>
      <c r="AO12" s="572">
        <v>5306.47</v>
      </c>
      <c r="AP12" s="567">
        <v>22528.683000000001</v>
      </c>
      <c r="AQ12" s="567">
        <v>21.856999999999999</v>
      </c>
      <c r="AR12" s="570">
        <v>27857.01</v>
      </c>
      <c r="AS12" s="566">
        <v>0.7</v>
      </c>
      <c r="AT12" s="567">
        <v>204.47</v>
      </c>
      <c r="AU12" s="574">
        <v>0.54500000000000004</v>
      </c>
      <c r="AV12" s="569">
        <v>34775.15</v>
      </c>
    </row>
    <row r="13" spans="1:48" s="577" customFormat="1" ht="26.1" customHeight="1">
      <c r="A13" s="275">
        <v>2018</v>
      </c>
      <c r="B13" s="566">
        <v>18.599</v>
      </c>
      <c r="C13" s="578">
        <v>200</v>
      </c>
      <c r="D13" s="578">
        <v>8988.6</v>
      </c>
      <c r="E13" s="568" t="s">
        <v>171</v>
      </c>
      <c r="F13" s="567">
        <v>922.06399999999996</v>
      </c>
      <c r="G13" s="567">
        <v>247.27600000000001</v>
      </c>
      <c r="H13" s="569">
        <v>10376.539000000001</v>
      </c>
      <c r="I13" s="572">
        <v>12.5</v>
      </c>
      <c r="J13" s="567" t="s">
        <v>171</v>
      </c>
      <c r="K13" s="567">
        <v>5945.0129999999999</v>
      </c>
      <c r="L13" s="567">
        <v>150</v>
      </c>
      <c r="M13" s="567" t="s">
        <v>171</v>
      </c>
      <c r="N13" s="567">
        <v>3530.3339999999998</v>
      </c>
      <c r="O13" s="567">
        <v>135</v>
      </c>
      <c r="P13" s="567">
        <v>62.951999999999998</v>
      </c>
      <c r="Q13" s="568">
        <v>0</v>
      </c>
      <c r="R13" s="570">
        <v>9835.7990000000009</v>
      </c>
      <c r="S13" s="566">
        <v>2.2000000000000002</v>
      </c>
      <c r="T13" s="567">
        <v>6100</v>
      </c>
      <c r="U13" s="578">
        <v>1400</v>
      </c>
      <c r="V13" s="578" t="s">
        <v>171</v>
      </c>
      <c r="W13" s="578">
        <v>3386.9</v>
      </c>
      <c r="X13" s="578">
        <v>442.63</v>
      </c>
      <c r="Y13" s="579">
        <v>11331.73</v>
      </c>
      <c r="Z13" s="571">
        <v>2018</v>
      </c>
      <c r="AA13" s="580">
        <v>2.81</v>
      </c>
      <c r="AB13" s="578">
        <v>6044</v>
      </c>
      <c r="AC13" s="578">
        <v>200</v>
      </c>
      <c r="AD13" s="578">
        <v>4914.6000000000004</v>
      </c>
      <c r="AE13" s="578" t="s">
        <v>171</v>
      </c>
      <c r="AF13" s="567">
        <v>78.08</v>
      </c>
      <c r="AG13" s="569">
        <v>11239.49</v>
      </c>
      <c r="AH13" s="572">
        <v>8.1980000000000004</v>
      </c>
      <c r="AI13" s="567">
        <v>400</v>
      </c>
      <c r="AJ13" s="567">
        <v>6540</v>
      </c>
      <c r="AK13" s="567">
        <v>1200</v>
      </c>
      <c r="AL13" s="567">
        <v>2971.9</v>
      </c>
      <c r="AM13" s="567">
        <v>74.287000000000006</v>
      </c>
      <c r="AN13" s="570">
        <v>11194.385</v>
      </c>
      <c r="AO13" s="566">
        <v>5306.625</v>
      </c>
      <c r="AP13" s="567">
        <v>21850</v>
      </c>
      <c r="AQ13" s="567">
        <v>22.116</v>
      </c>
      <c r="AR13" s="569">
        <v>27178.741000000002</v>
      </c>
      <c r="AS13" s="566">
        <v>0.7</v>
      </c>
      <c r="AT13" s="567">
        <v>204.47</v>
      </c>
      <c r="AU13" s="574">
        <v>0.57299999999999995</v>
      </c>
      <c r="AV13" s="569">
        <v>37729.233999999997</v>
      </c>
    </row>
    <row r="14" spans="1:48" s="577" customFormat="1" ht="26.1" customHeight="1">
      <c r="A14" s="275">
        <v>2019</v>
      </c>
      <c r="B14" s="566">
        <v>18.599</v>
      </c>
      <c r="C14" s="578">
        <v>200</v>
      </c>
      <c r="D14" s="578">
        <v>8988.6</v>
      </c>
      <c r="E14" s="568" t="s">
        <v>171</v>
      </c>
      <c r="F14" s="567">
        <v>922.06399999999996</v>
      </c>
      <c r="G14" s="567">
        <v>247.32499999999999</v>
      </c>
      <c r="H14" s="569">
        <v>10376.588</v>
      </c>
      <c r="I14" s="572">
        <v>12.5</v>
      </c>
      <c r="J14" s="567" t="s">
        <v>171</v>
      </c>
      <c r="K14" s="567">
        <v>6038.058</v>
      </c>
      <c r="L14" s="567" t="s">
        <v>171</v>
      </c>
      <c r="M14" s="567" t="s">
        <v>171</v>
      </c>
      <c r="N14" s="567">
        <v>4289.3239999999996</v>
      </c>
      <c r="O14" s="567">
        <v>135</v>
      </c>
      <c r="P14" s="567">
        <v>215.58799999999999</v>
      </c>
      <c r="Q14" s="568">
        <v>0</v>
      </c>
      <c r="R14" s="570">
        <v>10690.47</v>
      </c>
      <c r="S14" s="566">
        <v>2.2000000000000002</v>
      </c>
      <c r="T14" s="567">
        <v>6100</v>
      </c>
      <c r="U14" s="578">
        <v>1400</v>
      </c>
      <c r="V14" s="578" t="s">
        <v>171</v>
      </c>
      <c r="W14" s="578">
        <v>3386.9</v>
      </c>
      <c r="X14" s="578">
        <v>448.95499999999998</v>
      </c>
      <c r="Y14" s="579">
        <v>11338.055</v>
      </c>
      <c r="Z14" s="571">
        <v>2019</v>
      </c>
      <c r="AA14" s="580">
        <v>2.81</v>
      </c>
      <c r="AB14" s="578">
        <v>6044</v>
      </c>
      <c r="AC14" s="578" t="s">
        <v>171</v>
      </c>
      <c r="AD14" s="578">
        <v>4914.6000000000004</v>
      </c>
      <c r="AE14" s="578" t="s">
        <v>171</v>
      </c>
      <c r="AF14" s="567">
        <v>321.58499999999998</v>
      </c>
      <c r="AG14" s="569">
        <v>11282.995000000001</v>
      </c>
      <c r="AH14" s="572">
        <v>8.1980000000000004</v>
      </c>
      <c r="AI14" s="567">
        <v>400</v>
      </c>
      <c r="AJ14" s="567">
        <v>6540</v>
      </c>
      <c r="AK14" s="567">
        <v>1200</v>
      </c>
      <c r="AL14" s="567">
        <v>2971.9</v>
      </c>
      <c r="AM14" s="567">
        <v>73.275999999999996</v>
      </c>
      <c r="AN14" s="570">
        <v>11193.374</v>
      </c>
      <c r="AO14" s="566">
        <v>5306.65</v>
      </c>
      <c r="AP14" s="567">
        <v>23250</v>
      </c>
      <c r="AQ14" s="567">
        <v>27.17</v>
      </c>
      <c r="AR14" s="569">
        <v>28583.82</v>
      </c>
      <c r="AS14" s="566">
        <v>0.7</v>
      </c>
      <c r="AT14" s="567">
        <v>205.61699999999999</v>
      </c>
      <c r="AU14" s="574">
        <v>0.72299999999999998</v>
      </c>
      <c r="AV14" s="569">
        <v>41665.326999999997</v>
      </c>
    </row>
    <row r="15" spans="1:48" s="577" customFormat="1" ht="26.1" customHeight="1">
      <c r="A15" s="275">
        <v>2020</v>
      </c>
      <c r="B15" s="566">
        <v>18.599</v>
      </c>
      <c r="C15" s="578" t="s">
        <v>171</v>
      </c>
      <c r="D15" s="578">
        <v>8988.6</v>
      </c>
      <c r="E15" s="568" t="s">
        <v>171</v>
      </c>
      <c r="F15" s="567">
        <v>922.06399999999996</v>
      </c>
      <c r="G15" s="567">
        <v>469.13200000000001</v>
      </c>
      <c r="H15" s="569">
        <v>10398.395</v>
      </c>
      <c r="I15" s="572">
        <v>12.5</v>
      </c>
      <c r="J15" s="567" t="s">
        <v>171</v>
      </c>
      <c r="K15" s="567">
        <v>6088.058</v>
      </c>
      <c r="L15" s="567" t="s">
        <v>171</v>
      </c>
      <c r="M15" s="567" t="s">
        <v>171</v>
      </c>
      <c r="N15" s="567">
        <v>4309.9679999999998</v>
      </c>
      <c r="O15" s="567">
        <v>80</v>
      </c>
      <c r="P15" s="567">
        <v>225.608</v>
      </c>
      <c r="Q15" s="568">
        <v>10</v>
      </c>
      <c r="R15" s="570">
        <v>10726.134</v>
      </c>
      <c r="S15" s="566">
        <v>2.2000000000000002</v>
      </c>
      <c r="T15" s="567">
        <v>6100</v>
      </c>
      <c r="U15" s="578" t="s">
        <v>171</v>
      </c>
      <c r="V15" s="578">
        <v>1400</v>
      </c>
      <c r="W15" s="578">
        <v>3386.9</v>
      </c>
      <c r="X15" s="578">
        <v>472.38900000000001</v>
      </c>
      <c r="Y15" s="579">
        <v>11361.489</v>
      </c>
      <c r="Z15" s="581">
        <v>2020</v>
      </c>
      <c r="AA15" s="580">
        <v>2.81</v>
      </c>
      <c r="AB15" s="578">
        <v>6044</v>
      </c>
      <c r="AC15" s="578" t="s">
        <v>171</v>
      </c>
      <c r="AD15" s="578">
        <v>5060.8450000000003</v>
      </c>
      <c r="AE15" s="578" t="s">
        <v>171</v>
      </c>
      <c r="AF15" s="567">
        <v>324.33600000000001</v>
      </c>
      <c r="AG15" s="569">
        <v>11431.991</v>
      </c>
      <c r="AH15" s="572">
        <v>8.1980000000000004</v>
      </c>
      <c r="AI15" s="567">
        <v>400</v>
      </c>
      <c r="AJ15" s="567">
        <v>6540</v>
      </c>
      <c r="AK15" s="567">
        <v>1200</v>
      </c>
      <c r="AL15" s="567">
        <v>2971.9</v>
      </c>
      <c r="AM15" s="567">
        <v>118.09099999999999</v>
      </c>
      <c r="AN15" s="570">
        <v>11238.189</v>
      </c>
      <c r="AO15" s="566">
        <v>5306.8</v>
      </c>
      <c r="AP15" s="567">
        <v>23250</v>
      </c>
      <c r="AQ15" s="567">
        <v>43.594000000000001</v>
      </c>
      <c r="AR15" s="569">
        <v>28600.394</v>
      </c>
      <c r="AS15" s="566">
        <v>0.7</v>
      </c>
      <c r="AT15" s="567">
        <v>95.68</v>
      </c>
      <c r="AU15" s="574">
        <v>0.72299999999999998</v>
      </c>
      <c r="AV15" s="569">
        <v>45337.578000000001</v>
      </c>
    </row>
    <row r="16" spans="1:48" s="577" customFormat="1" ht="26.1" customHeight="1">
      <c r="A16" s="282">
        <v>2021</v>
      </c>
      <c r="B16" s="582">
        <v>17.599</v>
      </c>
      <c r="C16" s="583" t="s">
        <v>171</v>
      </c>
      <c r="D16" s="583">
        <v>7868.6</v>
      </c>
      <c r="E16" s="584" t="s">
        <v>171</v>
      </c>
      <c r="F16" s="585">
        <v>922.06399999999996</v>
      </c>
      <c r="G16" s="585">
        <v>484.95499999999998</v>
      </c>
      <c r="H16" s="586">
        <v>9293.2180000000008</v>
      </c>
      <c r="I16" s="587">
        <v>15.086</v>
      </c>
      <c r="J16" s="585" t="s">
        <v>171</v>
      </c>
      <c r="K16" s="585">
        <v>6106.058</v>
      </c>
      <c r="L16" s="585" t="s">
        <v>171</v>
      </c>
      <c r="M16" s="585" t="s">
        <v>171</v>
      </c>
      <c r="N16" s="585">
        <v>4309.9679999999998</v>
      </c>
      <c r="O16" s="585">
        <v>80</v>
      </c>
      <c r="P16" s="585">
        <v>234.327</v>
      </c>
      <c r="Q16" s="588">
        <v>10</v>
      </c>
      <c r="R16" s="588">
        <v>10755.439</v>
      </c>
      <c r="S16" s="582">
        <v>7.2</v>
      </c>
      <c r="T16" s="585">
        <v>6100</v>
      </c>
      <c r="U16" s="583" t="s">
        <v>171</v>
      </c>
      <c r="V16" s="583">
        <v>1400</v>
      </c>
      <c r="W16" s="583">
        <v>3386.9</v>
      </c>
      <c r="X16" s="583">
        <v>546.48900000000003</v>
      </c>
      <c r="Y16" s="589">
        <v>11440.589</v>
      </c>
      <c r="Z16" s="590">
        <f t="shared" ref="Z16:Z27" si="0">A16</f>
        <v>2021</v>
      </c>
      <c r="AA16" s="591">
        <v>2.81</v>
      </c>
      <c r="AB16" s="583">
        <v>6044</v>
      </c>
      <c r="AC16" s="583" t="s">
        <v>171</v>
      </c>
      <c r="AD16" s="583">
        <v>5060.8450000000003</v>
      </c>
      <c r="AE16" s="583" t="s">
        <v>171</v>
      </c>
      <c r="AF16" s="585">
        <v>367.81200000000001</v>
      </c>
      <c r="AG16" s="586">
        <v>11475.467000000001</v>
      </c>
      <c r="AH16" s="587">
        <v>8.1980000000000004</v>
      </c>
      <c r="AI16" s="585">
        <v>400</v>
      </c>
      <c r="AJ16" s="585">
        <v>6040</v>
      </c>
      <c r="AK16" s="585">
        <v>1200</v>
      </c>
      <c r="AL16" s="585">
        <v>2971.9</v>
      </c>
      <c r="AM16" s="585">
        <v>155.898</v>
      </c>
      <c r="AN16" s="588">
        <v>10775.995999999999</v>
      </c>
      <c r="AO16" s="582">
        <v>5307.7</v>
      </c>
      <c r="AP16" s="585">
        <v>23250</v>
      </c>
      <c r="AQ16" s="585">
        <v>62.686999999999998</v>
      </c>
      <c r="AR16" s="586">
        <v>28620.386999999999</v>
      </c>
      <c r="AS16" s="582" t="s">
        <v>171</v>
      </c>
      <c r="AT16" s="585">
        <v>96.81</v>
      </c>
      <c r="AU16" s="592">
        <v>1.371</v>
      </c>
      <c r="AV16" s="586">
        <v>51560.498</v>
      </c>
    </row>
    <row r="17" spans="1:49" s="577" customFormat="1" ht="26.1" customHeight="1">
      <c r="A17" s="593">
        <v>2021.12</v>
      </c>
      <c r="B17" s="594">
        <v>17.599</v>
      </c>
      <c r="C17" s="595" t="s">
        <v>171</v>
      </c>
      <c r="D17" s="595">
        <v>7868.6</v>
      </c>
      <c r="E17" s="596" t="s">
        <v>171</v>
      </c>
      <c r="F17" s="597">
        <v>922.06399999999996</v>
      </c>
      <c r="G17" s="597">
        <v>484.95499999999998</v>
      </c>
      <c r="H17" s="598">
        <v>9293.2180000000008</v>
      </c>
      <c r="I17" s="599">
        <v>15.086</v>
      </c>
      <c r="J17" s="597" t="s">
        <v>171</v>
      </c>
      <c r="K17" s="597">
        <v>6106.058</v>
      </c>
      <c r="L17" s="597" t="s">
        <v>171</v>
      </c>
      <c r="M17" s="597" t="s">
        <v>171</v>
      </c>
      <c r="N17" s="597">
        <v>4309.9679999999998</v>
      </c>
      <c r="O17" s="597">
        <v>80</v>
      </c>
      <c r="P17" s="597">
        <v>234.327</v>
      </c>
      <c r="Q17" s="600">
        <v>10</v>
      </c>
      <c r="R17" s="600">
        <v>10755.439</v>
      </c>
      <c r="S17" s="594">
        <v>7.2</v>
      </c>
      <c r="T17" s="597">
        <v>6100</v>
      </c>
      <c r="U17" s="595" t="s">
        <v>171</v>
      </c>
      <c r="V17" s="595">
        <v>1400</v>
      </c>
      <c r="W17" s="595">
        <v>3386.9</v>
      </c>
      <c r="X17" s="595">
        <v>546.48900000000003</v>
      </c>
      <c r="Y17" s="601">
        <v>11440.589</v>
      </c>
      <c r="Z17" s="602">
        <f t="shared" si="0"/>
        <v>2021.12</v>
      </c>
      <c r="AA17" s="603">
        <v>2.81</v>
      </c>
      <c r="AB17" s="595">
        <v>6044</v>
      </c>
      <c r="AC17" s="595" t="s">
        <v>171</v>
      </c>
      <c r="AD17" s="595">
        <v>5060.8450000000003</v>
      </c>
      <c r="AE17" s="595" t="s">
        <v>171</v>
      </c>
      <c r="AF17" s="597">
        <v>367.81200000000001</v>
      </c>
      <c r="AG17" s="598">
        <v>11475.467000000001</v>
      </c>
      <c r="AH17" s="599">
        <v>8.1980000000000004</v>
      </c>
      <c r="AI17" s="597">
        <v>400</v>
      </c>
      <c r="AJ17" s="597">
        <v>6040</v>
      </c>
      <c r="AK17" s="597">
        <v>1200</v>
      </c>
      <c r="AL17" s="597">
        <v>2971.9</v>
      </c>
      <c r="AM17" s="597">
        <v>155.898</v>
      </c>
      <c r="AN17" s="600">
        <v>10775.995999999999</v>
      </c>
      <c r="AO17" s="594">
        <v>5307.7</v>
      </c>
      <c r="AP17" s="597">
        <v>23250</v>
      </c>
      <c r="AQ17" s="597">
        <v>62.686999999999998</v>
      </c>
      <c r="AR17" s="598">
        <v>28620.386999999999</v>
      </c>
      <c r="AS17" s="594" t="s">
        <v>171</v>
      </c>
      <c r="AT17" s="597">
        <v>96.81</v>
      </c>
      <c r="AU17" s="604">
        <v>1.371</v>
      </c>
      <c r="AV17" s="598">
        <v>51560.498</v>
      </c>
    </row>
    <row r="18" spans="1:49" s="577" customFormat="1" ht="26.1" customHeight="1">
      <c r="A18" s="605">
        <v>2022.01</v>
      </c>
      <c r="B18" s="566">
        <v>17.599</v>
      </c>
      <c r="C18" s="578" t="s">
        <v>171</v>
      </c>
      <c r="D18" s="578">
        <v>7868.6</v>
      </c>
      <c r="E18" s="568" t="s">
        <v>171</v>
      </c>
      <c r="F18" s="567">
        <v>922.06399999999996</v>
      </c>
      <c r="G18" s="567">
        <v>484.39100000000002</v>
      </c>
      <c r="H18" s="569">
        <v>9292.6540000000005</v>
      </c>
      <c r="I18" s="572">
        <v>15.086</v>
      </c>
      <c r="J18" s="567" t="s">
        <v>171</v>
      </c>
      <c r="K18" s="567">
        <v>6106.058</v>
      </c>
      <c r="L18" s="567" t="s">
        <v>171</v>
      </c>
      <c r="M18" s="567" t="s">
        <v>171</v>
      </c>
      <c r="N18" s="567">
        <v>4309.9679999999998</v>
      </c>
      <c r="O18" s="567">
        <v>80</v>
      </c>
      <c r="P18" s="567">
        <v>234.327</v>
      </c>
      <c r="Q18" s="570">
        <v>10</v>
      </c>
      <c r="R18" s="570">
        <v>10755.439</v>
      </c>
      <c r="S18" s="566">
        <v>7.2</v>
      </c>
      <c r="T18" s="567">
        <v>6100</v>
      </c>
      <c r="U18" s="578" t="s">
        <v>171</v>
      </c>
      <c r="V18" s="578">
        <v>1400</v>
      </c>
      <c r="W18" s="578">
        <v>3386.9</v>
      </c>
      <c r="X18" s="578">
        <v>546.48900000000003</v>
      </c>
      <c r="Y18" s="579">
        <v>11440.589</v>
      </c>
      <c r="Z18" s="606">
        <f t="shared" si="0"/>
        <v>2022.01</v>
      </c>
      <c r="AA18" s="580">
        <v>2.81</v>
      </c>
      <c r="AB18" s="578">
        <v>6044</v>
      </c>
      <c r="AC18" s="578" t="s">
        <v>171</v>
      </c>
      <c r="AD18" s="578">
        <v>5060.8450000000003</v>
      </c>
      <c r="AE18" s="578" t="s">
        <v>171</v>
      </c>
      <c r="AF18" s="567">
        <v>368.02</v>
      </c>
      <c r="AG18" s="569">
        <v>11475.674999999999</v>
      </c>
      <c r="AH18" s="572">
        <v>8.1980000000000004</v>
      </c>
      <c r="AI18" s="567">
        <v>400</v>
      </c>
      <c r="AJ18" s="567">
        <v>6040</v>
      </c>
      <c r="AK18" s="567">
        <v>0</v>
      </c>
      <c r="AL18" s="567">
        <v>2971.9</v>
      </c>
      <c r="AM18" s="567">
        <v>155.898</v>
      </c>
      <c r="AN18" s="570">
        <v>9575.9959999999992</v>
      </c>
      <c r="AO18" s="566">
        <v>5306.8</v>
      </c>
      <c r="AP18" s="567">
        <v>23250</v>
      </c>
      <c r="AQ18" s="567">
        <v>62.784999999999997</v>
      </c>
      <c r="AR18" s="569">
        <v>28619.584999999999</v>
      </c>
      <c r="AS18" s="566" t="s">
        <v>171</v>
      </c>
      <c r="AT18" s="567">
        <v>96.81</v>
      </c>
      <c r="AU18" s="574" t="s">
        <v>171</v>
      </c>
      <c r="AV18" s="569">
        <v>51812.707999999999</v>
      </c>
    </row>
    <row r="19" spans="1:49" s="577" customFormat="1" ht="26.1" customHeight="1">
      <c r="A19" s="605">
        <v>2022.02</v>
      </c>
      <c r="B19" s="566">
        <v>17.599</v>
      </c>
      <c r="C19" s="578" t="s">
        <v>171</v>
      </c>
      <c r="D19" s="578">
        <v>7868.6</v>
      </c>
      <c r="E19" s="568" t="s">
        <v>171</v>
      </c>
      <c r="F19" s="567">
        <v>922.06399999999996</v>
      </c>
      <c r="G19" s="567">
        <v>484.95499999999998</v>
      </c>
      <c r="H19" s="569">
        <v>9293.2180000000008</v>
      </c>
      <c r="I19" s="572">
        <v>15.086</v>
      </c>
      <c r="J19" s="567" t="s">
        <v>171</v>
      </c>
      <c r="K19" s="567">
        <v>6106.058</v>
      </c>
      <c r="L19" s="567" t="s">
        <v>171</v>
      </c>
      <c r="M19" s="567" t="s">
        <v>171</v>
      </c>
      <c r="N19" s="567">
        <v>4309.9679999999998</v>
      </c>
      <c r="O19" s="567">
        <v>80</v>
      </c>
      <c r="P19" s="567">
        <v>234.327</v>
      </c>
      <c r="Q19" s="570">
        <v>10</v>
      </c>
      <c r="R19" s="570">
        <v>10755.439</v>
      </c>
      <c r="S19" s="566">
        <v>7.2</v>
      </c>
      <c r="T19" s="567">
        <v>6100</v>
      </c>
      <c r="U19" s="578" t="s">
        <v>171</v>
      </c>
      <c r="V19" s="578">
        <v>1400</v>
      </c>
      <c r="W19" s="578">
        <v>3386.9</v>
      </c>
      <c r="X19" s="578">
        <v>561.48900000000003</v>
      </c>
      <c r="Y19" s="579">
        <v>11455.589</v>
      </c>
      <c r="Z19" s="606">
        <f t="shared" si="0"/>
        <v>2022.02</v>
      </c>
      <c r="AA19" s="580">
        <v>2.81</v>
      </c>
      <c r="AB19" s="578">
        <v>6044</v>
      </c>
      <c r="AC19" s="578" t="s">
        <v>171</v>
      </c>
      <c r="AD19" s="578">
        <v>5060.8450000000003</v>
      </c>
      <c r="AE19" s="578" t="s">
        <v>171</v>
      </c>
      <c r="AF19" s="567">
        <v>368.02</v>
      </c>
      <c r="AG19" s="569">
        <v>11475.674999999999</v>
      </c>
      <c r="AH19" s="572">
        <v>8.1980000000000004</v>
      </c>
      <c r="AI19" s="567">
        <v>400</v>
      </c>
      <c r="AJ19" s="567">
        <v>6040</v>
      </c>
      <c r="AK19" s="567" t="s">
        <v>171</v>
      </c>
      <c r="AL19" s="567">
        <v>2971.9</v>
      </c>
      <c r="AM19" s="567">
        <v>147.898</v>
      </c>
      <c r="AN19" s="570">
        <v>9567.9959999999992</v>
      </c>
      <c r="AO19" s="566">
        <v>5307.7</v>
      </c>
      <c r="AP19" s="567">
        <v>23250</v>
      </c>
      <c r="AQ19" s="567">
        <v>62.784999999999997</v>
      </c>
      <c r="AR19" s="569">
        <v>28620.485000000001</v>
      </c>
      <c r="AS19" s="566" t="s">
        <v>171</v>
      </c>
      <c r="AT19" s="567">
        <v>96.81</v>
      </c>
      <c r="AU19" s="574" t="s">
        <v>171</v>
      </c>
      <c r="AV19" s="569">
        <v>52295.74</v>
      </c>
    </row>
    <row r="20" spans="1:49" s="577" customFormat="1" ht="26.1" customHeight="1">
      <c r="A20" s="605">
        <v>2022.03</v>
      </c>
      <c r="B20" s="566">
        <v>17.599</v>
      </c>
      <c r="C20" s="578" t="s">
        <v>171</v>
      </c>
      <c r="D20" s="578">
        <v>7868.6</v>
      </c>
      <c r="E20" s="568" t="s">
        <v>171</v>
      </c>
      <c r="F20" s="567">
        <v>922.06399999999996</v>
      </c>
      <c r="G20" s="567">
        <v>484.95499999999998</v>
      </c>
      <c r="H20" s="569">
        <v>9293.2180000000008</v>
      </c>
      <c r="I20" s="572">
        <v>15.086</v>
      </c>
      <c r="J20" s="567" t="s">
        <v>171</v>
      </c>
      <c r="K20" s="567">
        <v>6106.058</v>
      </c>
      <c r="L20" s="567" t="s">
        <v>171</v>
      </c>
      <c r="M20" s="567" t="s">
        <v>171</v>
      </c>
      <c r="N20" s="567">
        <v>4309.9679999999998</v>
      </c>
      <c r="O20" s="567">
        <v>80</v>
      </c>
      <c r="P20" s="567">
        <v>234.327</v>
      </c>
      <c r="Q20" s="570">
        <v>10</v>
      </c>
      <c r="R20" s="570">
        <v>10755.439</v>
      </c>
      <c r="S20" s="566">
        <v>7.2</v>
      </c>
      <c r="T20" s="567">
        <v>6100</v>
      </c>
      <c r="U20" s="578" t="s">
        <v>171</v>
      </c>
      <c r="V20" s="578">
        <v>1400</v>
      </c>
      <c r="W20" s="578">
        <v>3386.9</v>
      </c>
      <c r="X20" s="578">
        <v>561.48900000000003</v>
      </c>
      <c r="Y20" s="579">
        <v>11455.589</v>
      </c>
      <c r="Z20" s="606">
        <f t="shared" si="0"/>
        <v>2022.03</v>
      </c>
      <c r="AA20" s="580">
        <v>2.81</v>
      </c>
      <c r="AB20" s="578">
        <v>6044</v>
      </c>
      <c r="AC20" s="578" t="s">
        <v>171</v>
      </c>
      <c r="AD20" s="578">
        <v>5060.8450000000003</v>
      </c>
      <c r="AE20" s="578" t="s">
        <v>171</v>
      </c>
      <c r="AF20" s="567">
        <v>368.02</v>
      </c>
      <c r="AG20" s="569">
        <v>11475.674999999999</v>
      </c>
      <c r="AH20" s="572">
        <v>8.1980000000000004</v>
      </c>
      <c r="AI20" s="567">
        <v>400</v>
      </c>
      <c r="AJ20" s="567">
        <v>6040</v>
      </c>
      <c r="AK20" s="578" t="s">
        <v>171</v>
      </c>
      <c r="AL20" s="567">
        <v>2971.9</v>
      </c>
      <c r="AM20" s="567">
        <v>152.09800000000001</v>
      </c>
      <c r="AN20" s="570">
        <v>9572.1959999999999</v>
      </c>
      <c r="AO20" s="566">
        <v>5307.7</v>
      </c>
      <c r="AP20" s="567">
        <v>23250</v>
      </c>
      <c r="AQ20" s="567">
        <v>62.784999999999997</v>
      </c>
      <c r="AR20" s="569">
        <v>28620.485000000001</v>
      </c>
      <c r="AS20" s="566" t="s">
        <v>171</v>
      </c>
      <c r="AT20" s="567">
        <v>96.81</v>
      </c>
      <c r="AU20" s="574" t="s">
        <v>171</v>
      </c>
      <c r="AV20" s="569">
        <v>52410.546000000002</v>
      </c>
    </row>
    <row r="21" spans="1:49" s="577" customFormat="1" ht="26.1" customHeight="1">
      <c r="A21" s="605">
        <v>2022.04</v>
      </c>
      <c r="B21" s="566">
        <v>17.599</v>
      </c>
      <c r="C21" s="578" t="s">
        <v>171</v>
      </c>
      <c r="D21" s="578">
        <v>7868.6</v>
      </c>
      <c r="E21" s="568" t="s">
        <v>171</v>
      </c>
      <c r="F21" s="567">
        <v>922.06399999999996</v>
      </c>
      <c r="G21" s="567">
        <v>483.94400000000002</v>
      </c>
      <c r="H21" s="569">
        <v>9292.2070000000003</v>
      </c>
      <c r="I21" s="572">
        <v>15.086</v>
      </c>
      <c r="J21" s="567" t="s">
        <v>171</v>
      </c>
      <c r="K21" s="567">
        <v>6106.058</v>
      </c>
      <c r="L21" s="567" t="s">
        <v>171</v>
      </c>
      <c r="M21" s="567" t="s">
        <v>171</v>
      </c>
      <c r="N21" s="567">
        <v>4309.9679999999998</v>
      </c>
      <c r="O21" s="567">
        <v>80</v>
      </c>
      <c r="P21" s="567">
        <v>234.327</v>
      </c>
      <c r="Q21" s="570">
        <v>10</v>
      </c>
      <c r="R21" s="570">
        <v>10755.439</v>
      </c>
      <c r="S21" s="566">
        <v>7.2</v>
      </c>
      <c r="T21" s="567">
        <v>6100</v>
      </c>
      <c r="U21" s="578" t="s">
        <v>171</v>
      </c>
      <c r="V21" s="578">
        <v>1400</v>
      </c>
      <c r="W21" s="578">
        <v>3386.9</v>
      </c>
      <c r="X21" s="578">
        <v>561.48900000000003</v>
      </c>
      <c r="Y21" s="579">
        <v>11455.589</v>
      </c>
      <c r="Z21" s="606">
        <f t="shared" si="0"/>
        <v>2022.04</v>
      </c>
      <c r="AA21" s="580">
        <v>2.81</v>
      </c>
      <c r="AB21" s="578">
        <v>6044</v>
      </c>
      <c r="AC21" s="578" t="s">
        <v>171</v>
      </c>
      <c r="AD21" s="578">
        <v>5060.8450000000003</v>
      </c>
      <c r="AE21" s="578" t="s">
        <v>171</v>
      </c>
      <c r="AF21" s="567">
        <v>368.02</v>
      </c>
      <c r="AG21" s="569">
        <v>11475.674999999999</v>
      </c>
      <c r="AH21" s="572">
        <v>8.1980000000000004</v>
      </c>
      <c r="AI21" s="567">
        <v>400</v>
      </c>
      <c r="AJ21" s="567">
        <v>6040</v>
      </c>
      <c r="AK21" s="578" t="s">
        <v>171</v>
      </c>
      <c r="AL21" s="567">
        <v>2971.9</v>
      </c>
      <c r="AM21" s="567">
        <v>152.09800000000001</v>
      </c>
      <c r="AN21" s="570">
        <v>9572.1959999999999</v>
      </c>
      <c r="AO21" s="566">
        <v>5307.7</v>
      </c>
      <c r="AP21" s="567">
        <v>23250</v>
      </c>
      <c r="AQ21" s="567">
        <v>62.784999999999997</v>
      </c>
      <c r="AR21" s="569">
        <v>28620.485000000001</v>
      </c>
      <c r="AS21" s="566" t="s">
        <v>171</v>
      </c>
      <c r="AT21" s="567">
        <v>96.81</v>
      </c>
      <c r="AU21" s="574" t="s">
        <v>171</v>
      </c>
      <c r="AV21" s="569">
        <v>52648.51</v>
      </c>
    </row>
    <row r="22" spans="1:49" s="577" customFormat="1" ht="26.1" customHeight="1">
      <c r="A22" s="605">
        <v>2022.05</v>
      </c>
      <c r="B22" s="566">
        <v>17.599</v>
      </c>
      <c r="C22" s="578" t="s">
        <v>171</v>
      </c>
      <c r="D22" s="578">
        <v>7868.6</v>
      </c>
      <c r="E22" s="568" t="s">
        <v>171</v>
      </c>
      <c r="F22" s="567">
        <v>922.06399999999996</v>
      </c>
      <c r="G22" s="567">
        <v>483.94400000000002</v>
      </c>
      <c r="H22" s="569">
        <v>9292.2070000000003</v>
      </c>
      <c r="I22" s="572">
        <v>15.086</v>
      </c>
      <c r="J22" s="567" t="s">
        <v>171</v>
      </c>
      <c r="K22" s="567">
        <v>6106.058</v>
      </c>
      <c r="L22" s="567" t="s">
        <v>171</v>
      </c>
      <c r="M22" s="567" t="s">
        <v>171</v>
      </c>
      <c r="N22" s="567">
        <v>4309.9679999999998</v>
      </c>
      <c r="O22" s="567">
        <v>80</v>
      </c>
      <c r="P22" s="567">
        <v>235.46199999999999</v>
      </c>
      <c r="Q22" s="570">
        <v>10</v>
      </c>
      <c r="R22" s="570">
        <v>10756.574000000001</v>
      </c>
      <c r="S22" s="566">
        <v>7.2</v>
      </c>
      <c r="T22" s="567">
        <v>6100</v>
      </c>
      <c r="U22" s="578" t="s">
        <v>171</v>
      </c>
      <c r="V22" s="578">
        <v>1400</v>
      </c>
      <c r="W22" s="578">
        <v>3386.9</v>
      </c>
      <c r="X22" s="578">
        <v>561.48900000000003</v>
      </c>
      <c r="Y22" s="579">
        <v>11455.589</v>
      </c>
      <c r="Z22" s="605">
        <f t="shared" si="0"/>
        <v>2022.05</v>
      </c>
      <c r="AA22" s="580">
        <v>2.81</v>
      </c>
      <c r="AB22" s="578">
        <v>6044</v>
      </c>
      <c r="AC22" s="578" t="s">
        <v>171</v>
      </c>
      <c r="AD22" s="578">
        <v>5060.8450000000003</v>
      </c>
      <c r="AE22" s="578" t="s">
        <v>171</v>
      </c>
      <c r="AF22" s="567">
        <v>368.02</v>
      </c>
      <c r="AG22" s="569">
        <v>11475.674999999999</v>
      </c>
      <c r="AH22" s="572" t="s">
        <v>171</v>
      </c>
      <c r="AI22" s="567">
        <v>400</v>
      </c>
      <c r="AJ22" s="567">
        <v>6040</v>
      </c>
      <c r="AK22" s="578" t="s">
        <v>171</v>
      </c>
      <c r="AL22" s="567">
        <v>2971.9</v>
      </c>
      <c r="AM22" s="567">
        <v>152.09800000000001</v>
      </c>
      <c r="AN22" s="570">
        <v>9563.9979999999996</v>
      </c>
      <c r="AO22" s="566">
        <v>5307.7</v>
      </c>
      <c r="AP22" s="567">
        <v>23250</v>
      </c>
      <c r="AQ22" s="567">
        <v>62.784999999999997</v>
      </c>
      <c r="AR22" s="569">
        <v>28620.485000000001</v>
      </c>
      <c r="AS22" s="566" t="s">
        <v>171</v>
      </c>
      <c r="AT22" s="567">
        <v>96.81</v>
      </c>
      <c r="AU22" s="574" t="s">
        <v>171</v>
      </c>
      <c r="AV22" s="569">
        <v>52798.696000000004</v>
      </c>
    </row>
    <row r="23" spans="1:49" s="577" customFormat="1" ht="26.1" customHeight="1">
      <c r="A23" s="605">
        <v>2022.06</v>
      </c>
      <c r="B23" s="566">
        <v>17.599</v>
      </c>
      <c r="C23" s="578" t="s">
        <v>171</v>
      </c>
      <c r="D23" s="578">
        <v>7868.6</v>
      </c>
      <c r="E23" s="568" t="s">
        <v>171</v>
      </c>
      <c r="F23" s="567">
        <v>922.06399999999996</v>
      </c>
      <c r="G23" s="567">
        <v>470.53</v>
      </c>
      <c r="H23" s="569">
        <v>9278.7929999999997</v>
      </c>
      <c r="I23" s="572">
        <v>15.086</v>
      </c>
      <c r="J23" s="567" t="s">
        <v>171</v>
      </c>
      <c r="K23" s="567">
        <v>6106.058</v>
      </c>
      <c r="L23" s="567" t="s">
        <v>171</v>
      </c>
      <c r="M23" s="567" t="s">
        <v>171</v>
      </c>
      <c r="N23" s="567">
        <v>4309.9679999999998</v>
      </c>
      <c r="O23" s="567">
        <v>80</v>
      </c>
      <c r="P23" s="567">
        <v>235.46199999999999</v>
      </c>
      <c r="Q23" s="570">
        <v>10</v>
      </c>
      <c r="R23" s="570">
        <v>10756.574000000001</v>
      </c>
      <c r="S23" s="566">
        <v>7.2</v>
      </c>
      <c r="T23" s="567">
        <v>6100</v>
      </c>
      <c r="U23" s="578" t="s">
        <v>171</v>
      </c>
      <c r="V23" s="578">
        <v>1400</v>
      </c>
      <c r="W23" s="578">
        <v>3386.9</v>
      </c>
      <c r="X23" s="578">
        <v>561.48900000000003</v>
      </c>
      <c r="Y23" s="579">
        <v>11455.589</v>
      </c>
      <c r="Z23" s="605">
        <f t="shared" si="0"/>
        <v>2022.06</v>
      </c>
      <c r="AA23" s="580">
        <v>2.81</v>
      </c>
      <c r="AB23" s="578">
        <v>6044</v>
      </c>
      <c r="AC23" s="578" t="s">
        <v>171</v>
      </c>
      <c r="AD23" s="578">
        <v>5060.8450000000003</v>
      </c>
      <c r="AE23" s="578" t="s">
        <v>171</v>
      </c>
      <c r="AF23" s="567">
        <v>368.02</v>
      </c>
      <c r="AG23" s="569">
        <v>11475.674999999999</v>
      </c>
      <c r="AH23" s="572" t="s">
        <v>171</v>
      </c>
      <c r="AI23" s="567">
        <v>400</v>
      </c>
      <c r="AJ23" s="567">
        <v>6040</v>
      </c>
      <c r="AK23" s="578" t="s">
        <v>171</v>
      </c>
      <c r="AL23" s="567">
        <v>2971.9</v>
      </c>
      <c r="AM23" s="567">
        <v>152.09800000000001</v>
      </c>
      <c r="AN23" s="570">
        <v>9563.9979999999996</v>
      </c>
      <c r="AO23" s="566">
        <v>5307.7</v>
      </c>
      <c r="AP23" s="567">
        <v>23250</v>
      </c>
      <c r="AQ23" s="567">
        <v>63.529000000000003</v>
      </c>
      <c r="AR23" s="569">
        <v>28621.228999999999</v>
      </c>
      <c r="AS23" s="566" t="s">
        <v>171</v>
      </c>
      <c r="AT23" s="567">
        <v>96.81</v>
      </c>
      <c r="AU23" s="574" t="s">
        <v>171</v>
      </c>
      <c r="AV23" s="569">
        <v>52988.09</v>
      </c>
    </row>
    <row r="24" spans="1:49" s="577" customFormat="1" ht="26.1" customHeight="1">
      <c r="A24" s="605">
        <v>2022.07</v>
      </c>
      <c r="B24" s="566">
        <v>17.599</v>
      </c>
      <c r="C24" s="578" t="s">
        <v>171</v>
      </c>
      <c r="D24" s="578">
        <v>7868.6</v>
      </c>
      <c r="E24" s="568" t="s">
        <v>171</v>
      </c>
      <c r="F24" s="567">
        <v>922.06399999999996</v>
      </c>
      <c r="G24" s="567">
        <v>470.53</v>
      </c>
      <c r="H24" s="569">
        <v>9278.7929999999997</v>
      </c>
      <c r="I24" s="572">
        <v>15.086</v>
      </c>
      <c r="J24" s="567" t="s">
        <v>171</v>
      </c>
      <c r="K24" s="567">
        <v>6106.058</v>
      </c>
      <c r="L24" s="567" t="s">
        <v>171</v>
      </c>
      <c r="M24" s="567" t="s">
        <v>171</v>
      </c>
      <c r="N24" s="567">
        <v>4309.9679999999998</v>
      </c>
      <c r="O24" s="567">
        <v>80</v>
      </c>
      <c r="P24" s="567">
        <v>235.46199999999999</v>
      </c>
      <c r="Q24" s="570">
        <v>10</v>
      </c>
      <c r="R24" s="570">
        <v>10756.574000000001</v>
      </c>
      <c r="S24" s="566">
        <v>7.2</v>
      </c>
      <c r="T24" s="567">
        <v>6100</v>
      </c>
      <c r="U24" s="578" t="s">
        <v>171</v>
      </c>
      <c r="V24" s="578">
        <v>1400</v>
      </c>
      <c r="W24" s="578">
        <v>3386.9</v>
      </c>
      <c r="X24" s="578">
        <v>561.48900000000003</v>
      </c>
      <c r="Y24" s="579">
        <v>11455.589</v>
      </c>
      <c r="Z24" s="606">
        <f t="shared" si="0"/>
        <v>2022.07</v>
      </c>
      <c r="AA24" s="580">
        <v>2.81</v>
      </c>
      <c r="AB24" s="578">
        <v>6044</v>
      </c>
      <c r="AC24" s="578" t="s">
        <v>171</v>
      </c>
      <c r="AD24" s="578">
        <v>5060.8450000000003</v>
      </c>
      <c r="AE24" s="578" t="s">
        <v>171</v>
      </c>
      <c r="AF24" s="567">
        <v>368.02</v>
      </c>
      <c r="AG24" s="569">
        <v>11475.674999999999</v>
      </c>
      <c r="AH24" s="572" t="s">
        <v>171</v>
      </c>
      <c r="AI24" s="567">
        <v>400</v>
      </c>
      <c r="AJ24" s="567">
        <v>6040</v>
      </c>
      <c r="AK24" s="578" t="s">
        <v>171</v>
      </c>
      <c r="AL24" s="567">
        <v>2971.9</v>
      </c>
      <c r="AM24" s="567">
        <v>152.09800000000001</v>
      </c>
      <c r="AN24" s="570">
        <v>9563.9979999999996</v>
      </c>
      <c r="AO24" s="566">
        <v>5307.7</v>
      </c>
      <c r="AP24" s="567">
        <v>23250</v>
      </c>
      <c r="AQ24" s="567">
        <v>65.510000000000005</v>
      </c>
      <c r="AR24" s="569">
        <v>28623.21</v>
      </c>
      <c r="AS24" s="566" t="s">
        <v>171</v>
      </c>
      <c r="AT24" s="567">
        <v>96.81</v>
      </c>
      <c r="AU24" s="574" t="s">
        <v>171</v>
      </c>
      <c r="AV24" s="569">
        <v>53040.160000000003</v>
      </c>
    </row>
    <row r="25" spans="1:49" s="577" customFormat="1" ht="26.1" customHeight="1">
      <c r="A25" s="605">
        <v>2022.08</v>
      </c>
      <c r="B25" s="566">
        <v>17.599</v>
      </c>
      <c r="C25" s="578" t="s">
        <v>171</v>
      </c>
      <c r="D25" s="578">
        <v>7868.6</v>
      </c>
      <c r="E25" s="568" t="s">
        <v>171</v>
      </c>
      <c r="F25" s="567">
        <v>922.06399999999996</v>
      </c>
      <c r="G25" s="567">
        <v>470.53</v>
      </c>
      <c r="H25" s="569">
        <v>9278.7929999999997</v>
      </c>
      <c r="I25" s="572">
        <v>15.086</v>
      </c>
      <c r="J25" s="567" t="s">
        <v>171</v>
      </c>
      <c r="K25" s="567">
        <v>6106.058</v>
      </c>
      <c r="L25" s="567" t="s">
        <v>171</v>
      </c>
      <c r="M25" s="567" t="s">
        <v>171</v>
      </c>
      <c r="N25" s="567">
        <v>4309.9679999999998</v>
      </c>
      <c r="O25" s="567">
        <v>40</v>
      </c>
      <c r="P25" s="567">
        <v>291.32900000000001</v>
      </c>
      <c r="Q25" s="570">
        <v>10</v>
      </c>
      <c r="R25" s="570">
        <v>10772.441000000001</v>
      </c>
      <c r="S25" s="566">
        <v>7.2</v>
      </c>
      <c r="T25" s="567">
        <v>6100</v>
      </c>
      <c r="U25" s="578" t="s">
        <v>171</v>
      </c>
      <c r="V25" s="578">
        <v>1400</v>
      </c>
      <c r="W25" s="578">
        <v>3386.9</v>
      </c>
      <c r="X25" s="578">
        <v>571.08900000000006</v>
      </c>
      <c r="Y25" s="579">
        <v>11465.189</v>
      </c>
      <c r="Z25" s="581">
        <f t="shared" si="0"/>
        <v>2022.08</v>
      </c>
      <c r="AA25" s="580">
        <v>2.81</v>
      </c>
      <c r="AB25" s="578">
        <v>6044</v>
      </c>
      <c r="AC25" s="578" t="s">
        <v>171</v>
      </c>
      <c r="AD25" s="578">
        <v>5060.8450000000003</v>
      </c>
      <c r="AE25" s="578" t="s">
        <v>171</v>
      </c>
      <c r="AF25" s="567">
        <v>368.02</v>
      </c>
      <c r="AG25" s="569">
        <v>11475.674999999999</v>
      </c>
      <c r="AH25" s="572" t="s">
        <v>171</v>
      </c>
      <c r="AI25" s="567">
        <v>400</v>
      </c>
      <c r="AJ25" s="567">
        <v>6040</v>
      </c>
      <c r="AK25" s="578" t="s">
        <v>171</v>
      </c>
      <c r="AL25" s="567">
        <v>2971.9</v>
      </c>
      <c r="AM25" s="567">
        <v>152.09800000000001</v>
      </c>
      <c r="AN25" s="570">
        <v>9563.9979999999996</v>
      </c>
      <c r="AO25" s="566">
        <v>5307.7</v>
      </c>
      <c r="AP25" s="567">
        <v>23250</v>
      </c>
      <c r="AQ25" s="567">
        <v>69.561000000000007</v>
      </c>
      <c r="AR25" s="569">
        <v>28627.260999999999</v>
      </c>
      <c r="AS25" s="566" t="s">
        <v>171</v>
      </c>
      <c r="AT25" s="567">
        <v>96.81</v>
      </c>
      <c r="AU25" s="574" t="s">
        <v>171</v>
      </c>
      <c r="AV25" s="569">
        <v>53414.432999999997</v>
      </c>
    </row>
    <row r="26" spans="1:49" s="577" customFormat="1" ht="26.1" customHeight="1">
      <c r="A26" s="605">
        <v>2022.09</v>
      </c>
      <c r="B26" s="566">
        <v>17.599</v>
      </c>
      <c r="C26" s="578" t="s">
        <v>171</v>
      </c>
      <c r="D26" s="578">
        <v>7868.6</v>
      </c>
      <c r="E26" s="568" t="s">
        <v>171</v>
      </c>
      <c r="F26" s="567">
        <v>922.06399999999996</v>
      </c>
      <c r="G26" s="567">
        <v>470.30700000000002</v>
      </c>
      <c r="H26" s="569">
        <v>9278.57</v>
      </c>
      <c r="I26" s="572">
        <v>15.086</v>
      </c>
      <c r="J26" s="567" t="s">
        <v>171</v>
      </c>
      <c r="K26" s="567">
        <v>6106.058</v>
      </c>
      <c r="L26" s="567" t="s">
        <v>171</v>
      </c>
      <c r="M26" s="567" t="s">
        <v>171</v>
      </c>
      <c r="N26" s="567">
        <v>4309.9679999999998</v>
      </c>
      <c r="O26" s="567">
        <v>40</v>
      </c>
      <c r="P26" s="567">
        <v>291.32900000000001</v>
      </c>
      <c r="Q26" s="570">
        <v>10</v>
      </c>
      <c r="R26" s="570">
        <v>10772.441000000001</v>
      </c>
      <c r="S26" s="566">
        <v>7.2</v>
      </c>
      <c r="T26" s="567">
        <v>6100</v>
      </c>
      <c r="U26" s="578" t="s">
        <v>171</v>
      </c>
      <c r="V26" s="578">
        <v>1400</v>
      </c>
      <c r="W26" s="578">
        <v>3386.9</v>
      </c>
      <c r="X26" s="578">
        <v>570.82399999999996</v>
      </c>
      <c r="Y26" s="579">
        <v>11464.924000000001</v>
      </c>
      <c r="Z26" s="605">
        <f>A26</f>
        <v>2022.09</v>
      </c>
      <c r="AA26" s="580">
        <v>2.81</v>
      </c>
      <c r="AB26" s="578">
        <v>6044</v>
      </c>
      <c r="AC26" s="578" t="s">
        <v>171</v>
      </c>
      <c r="AD26" s="578">
        <v>5060.8450000000003</v>
      </c>
      <c r="AE26" s="578" t="s">
        <v>171</v>
      </c>
      <c r="AF26" s="567">
        <v>368.02</v>
      </c>
      <c r="AG26" s="569">
        <v>11475.674999999999</v>
      </c>
      <c r="AH26" s="572" t="s">
        <v>171</v>
      </c>
      <c r="AI26" s="567">
        <v>400</v>
      </c>
      <c r="AJ26" s="567">
        <v>6040</v>
      </c>
      <c r="AK26" s="578" t="s">
        <v>171</v>
      </c>
      <c r="AL26" s="567">
        <v>2971.9</v>
      </c>
      <c r="AM26" s="567">
        <v>152.09800000000001</v>
      </c>
      <c r="AN26" s="570">
        <v>9563.9979999999996</v>
      </c>
      <c r="AO26" s="566">
        <v>5307.7</v>
      </c>
      <c r="AP26" s="567">
        <v>23250</v>
      </c>
      <c r="AQ26" s="567">
        <v>69.561000000000007</v>
      </c>
      <c r="AR26" s="569">
        <v>28627.260999999999</v>
      </c>
      <c r="AS26" s="566" t="s">
        <v>171</v>
      </c>
      <c r="AT26" s="567">
        <v>96.81</v>
      </c>
      <c r="AU26" s="574" t="s">
        <v>171</v>
      </c>
      <c r="AV26" s="569">
        <v>53488.396999999997</v>
      </c>
    </row>
    <row r="27" spans="1:49" s="577" customFormat="1" ht="26.1" customHeight="1">
      <c r="A27" s="605">
        <v>2022.1</v>
      </c>
      <c r="B27" s="566">
        <v>17.599</v>
      </c>
      <c r="C27" s="578" t="s">
        <v>171</v>
      </c>
      <c r="D27" s="578">
        <v>7868.6</v>
      </c>
      <c r="E27" s="568" t="s">
        <v>171</v>
      </c>
      <c r="F27" s="567">
        <v>922.06399999999996</v>
      </c>
      <c r="G27" s="567">
        <v>470.20400000000001</v>
      </c>
      <c r="H27" s="569">
        <v>9278.4670000000006</v>
      </c>
      <c r="I27" s="572">
        <v>15.086</v>
      </c>
      <c r="J27" s="567" t="s">
        <v>171</v>
      </c>
      <c r="K27" s="567">
        <v>6106.058</v>
      </c>
      <c r="L27" s="567" t="s">
        <v>171</v>
      </c>
      <c r="M27" s="567" t="s">
        <v>171</v>
      </c>
      <c r="N27" s="567">
        <v>4309.9679999999998</v>
      </c>
      <c r="O27" s="567">
        <v>40</v>
      </c>
      <c r="P27" s="567">
        <v>291.32900000000001</v>
      </c>
      <c r="Q27" s="570">
        <v>10</v>
      </c>
      <c r="R27" s="570">
        <v>10772.441000000001</v>
      </c>
      <c r="S27" s="566">
        <v>7.2</v>
      </c>
      <c r="T27" s="567">
        <v>6100</v>
      </c>
      <c r="U27" s="578" t="s">
        <v>171</v>
      </c>
      <c r="V27" s="578">
        <v>1400</v>
      </c>
      <c r="W27" s="578">
        <v>3386.9</v>
      </c>
      <c r="X27" s="578">
        <v>580.42399999999998</v>
      </c>
      <c r="Y27" s="579">
        <v>11474.523999999999</v>
      </c>
      <c r="Z27" s="605">
        <f t="shared" si="0"/>
        <v>2022.1</v>
      </c>
      <c r="AA27" s="580">
        <v>2.81</v>
      </c>
      <c r="AB27" s="578">
        <v>6044</v>
      </c>
      <c r="AC27" s="578" t="s">
        <v>171</v>
      </c>
      <c r="AD27" s="578">
        <v>5060.8450000000003</v>
      </c>
      <c r="AE27" s="578" t="s">
        <v>171</v>
      </c>
      <c r="AF27" s="567">
        <v>369.83100000000002</v>
      </c>
      <c r="AG27" s="569">
        <v>11477.486000000001</v>
      </c>
      <c r="AH27" s="572" t="s">
        <v>171</v>
      </c>
      <c r="AI27" s="567">
        <v>400</v>
      </c>
      <c r="AJ27" s="567">
        <v>6040</v>
      </c>
      <c r="AK27" s="578" t="s">
        <v>171</v>
      </c>
      <c r="AL27" s="567">
        <v>2971.9</v>
      </c>
      <c r="AM27" s="567">
        <v>149.298</v>
      </c>
      <c r="AN27" s="570">
        <v>9561.1980000000003</v>
      </c>
      <c r="AO27" s="566">
        <v>5307.7</v>
      </c>
      <c r="AP27" s="567">
        <v>23250</v>
      </c>
      <c r="AQ27" s="567">
        <v>69.561000000000007</v>
      </c>
      <c r="AR27" s="569">
        <v>28627.260999999999</v>
      </c>
      <c r="AS27" s="566" t="s">
        <v>171</v>
      </c>
      <c r="AT27" s="567">
        <v>96.81</v>
      </c>
      <c r="AU27" s="574" t="s">
        <v>171</v>
      </c>
      <c r="AV27" s="569">
        <v>54742.665999999997</v>
      </c>
    </row>
    <row r="28" spans="1:49" s="577" customFormat="1" ht="26.1" customHeight="1">
      <c r="A28" s="605">
        <v>2022.11</v>
      </c>
      <c r="B28" s="566">
        <v>17.599</v>
      </c>
      <c r="C28" s="578" t="s">
        <v>171</v>
      </c>
      <c r="D28" s="578">
        <v>7868.6</v>
      </c>
      <c r="E28" s="568" t="s">
        <v>171</v>
      </c>
      <c r="F28" s="567">
        <v>922.06399999999996</v>
      </c>
      <c r="G28" s="567">
        <v>470.42700000000002</v>
      </c>
      <c r="H28" s="569">
        <v>9278.69</v>
      </c>
      <c r="I28" s="572">
        <v>15.086</v>
      </c>
      <c r="J28" s="567" t="s">
        <v>171</v>
      </c>
      <c r="K28" s="567">
        <v>6106.058</v>
      </c>
      <c r="L28" s="567" t="s">
        <v>171</v>
      </c>
      <c r="M28" s="567" t="s">
        <v>171</v>
      </c>
      <c r="N28" s="567">
        <v>4309.9679999999998</v>
      </c>
      <c r="O28" s="567">
        <v>40</v>
      </c>
      <c r="P28" s="567">
        <v>291.95499999999998</v>
      </c>
      <c r="Q28" s="570">
        <v>10</v>
      </c>
      <c r="R28" s="570">
        <v>10773.066999999999</v>
      </c>
      <c r="S28" s="566">
        <v>7.2</v>
      </c>
      <c r="T28" s="567">
        <v>6100</v>
      </c>
      <c r="U28" s="578" t="s">
        <v>171</v>
      </c>
      <c r="V28" s="578">
        <v>1400</v>
      </c>
      <c r="W28" s="578">
        <v>3386.9</v>
      </c>
      <c r="X28" s="578">
        <v>608.88900000000001</v>
      </c>
      <c r="Y28" s="579">
        <v>11502.989</v>
      </c>
      <c r="Z28" s="606">
        <f>A28</f>
        <v>2022.11</v>
      </c>
      <c r="AA28" s="580">
        <v>2.81</v>
      </c>
      <c r="AB28" s="578">
        <v>6044</v>
      </c>
      <c r="AC28" s="578" t="s">
        <v>171</v>
      </c>
      <c r="AD28" s="578">
        <v>5060.8450000000003</v>
      </c>
      <c r="AE28" s="578" t="s">
        <v>171</v>
      </c>
      <c r="AF28" s="567">
        <v>369.83100000000002</v>
      </c>
      <c r="AG28" s="569">
        <v>11477.486000000001</v>
      </c>
      <c r="AH28" s="572" t="s">
        <v>171</v>
      </c>
      <c r="AI28" s="567">
        <v>400</v>
      </c>
      <c r="AJ28" s="567">
        <v>6040</v>
      </c>
      <c r="AK28" s="578" t="s">
        <v>171</v>
      </c>
      <c r="AL28" s="567">
        <v>2971.9</v>
      </c>
      <c r="AM28" s="567">
        <v>149.298</v>
      </c>
      <c r="AN28" s="570">
        <v>9561.1980000000003</v>
      </c>
      <c r="AO28" s="566">
        <v>5307.7</v>
      </c>
      <c r="AP28" s="567">
        <v>23250</v>
      </c>
      <c r="AQ28" s="567">
        <v>69.561000000000007</v>
      </c>
      <c r="AR28" s="569">
        <v>28627.260999999999</v>
      </c>
      <c r="AS28" s="566" t="s">
        <v>171</v>
      </c>
      <c r="AT28" s="567">
        <v>96.81</v>
      </c>
      <c r="AU28" s="574" t="s">
        <v>171</v>
      </c>
      <c r="AV28" s="569">
        <v>54950.624000000003</v>
      </c>
    </row>
    <row r="29" spans="1:49" s="577" customFormat="1" ht="26.1" customHeight="1">
      <c r="A29" s="607">
        <v>2022.12</v>
      </c>
      <c r="B29" s="608">
        <v>17.599</v>
      </c>
      <c r="C29" s="609" t="s">
        <v>171</v>
      </c>
      <c r="D29" s="609">
        <v>7868.6</v>
      </c>
      <c r="E29" s="610" t="s">
        <v>171</v>
      </c>
      <c r="F29" s="611">
        <v>922.06399999999996</v>
      </c>
      <c r="G29" s="611">
        <v>469.91800000000001</v>
      </c>
      <c r="H29" s="612">
        <v>9278.1810000000005</v>
      </c>
      <c r="I29" s="613">
        <v>15.086</v>
      </c>
      <c r="J29" s="611" t="s">
        <v>171</v>
      </c>
      <c r="K29" s="611">
        <v>6106.058</v>
      </c>
      <c r="L29" s="611" t="s">
        <v>171</v>
      </c>
      <c r="M29" s="611" t="s">
        <v>171</v>
      </c>
      <c r="N29" s="611">
        <v>4309.9679999999998</v>
      </c>
      <c r="O29" s="611">
        <v>40</v>
      </c>
      <c r="P29" s="611">
        <v>293.99299999999999</v>
      </c>
      <c r="Q29" s="614">
        <v>10</v>
      </c>
      <c r="R29" s="614">
        <v>10775.105</v>
      </c>
      <c r="S29" s="608">
        <v>7.2</v>
      </c>
      <c r="T29" s="611">
        <v>6100</v>
      </c>
      <c r="U29" s="609" t="s">
        <v>171</v>
      </c>
      <c r="V29" s="609">
        <v>1400</v>
      </c>
      <c r="W29" s="609">
        <v>3386.9</v>
      </c>
      <c r="X29" s="609">
        <v>608.88900000000001</v>
      </c>
      <c r="Y29" s="615">
        <v>11502.989</v>
      </c>
      <c r="Z29" s="607">
        <f>A29</f>
        <v>2022.12</v>
      </c>
      <c r="AA29" s="616">
        <v>2.81</v>
      </c>
      <c r="AB29" s="609">
        <v>6044</v>
      </c>
      <c r="AC29" s="609" t="s">
        <v>171</v>
      </c>
      <c r="AD29" s="609">
        <v>5060.8450000000003</v>
      </c>
      <c r="AE29" s="609" t="s">
        <v>171</v>
      </c>
      <c r="AF29" s="611">
        <v>369.83100000000002</v>
      </c>
      <c r="AG29" s="612">
        <v>11477.486000000001</v>
      </c>
      <c r="AH29" s="613" t="s">
        <v>171</v>
      </c>
      <c r="AI29" s="611">
        <v>400</v>
      </c>
      <c r="AJ29" s="611">
        <v>6040</v>
      </c>
      <c r="AK29" s="609" t="s">
        <v>171</v>
      </c>
      <c r="AL29" s="611">
        <v>2971.9</v>
      </c>
      <c r="AM29" s="611">
        <v>150.58699999999999</v>
      </c>
      <c r="AN29" s="614">
        <v>9562.4869999999992</v>
      </c>
      <c r="AO29" s="608">
        <v>5307.7</v>
      </c>
      <c r="AP29" s="611">
        <v>24650</v>
      </c>
      <c r="AQ29" s="611">
        <v>70.73</v>
      </c>
      <c r="AR29" s="612">
        <v>30028.43</v>
      </c>
      <c r="AS29" s="608" t="s">
        <v>171</v>
      </c>
      <c r="AT29" s="611">
        <v>96.81</v>
      </c>
      <c r="AU29" s="617" t="s">
        <v>171</v>
      </c>
      <c r="AV29" s="612">
        <v>55296.114000000001</v>
      </c>
      <c r="AW29" s="618">
        <f>AV29+AT29+AR29+AN29+AG29+Y29+R29+H29</f>
        <v>138017.60199999998</v>
      </c>
    </row>
    <row r="30" spans="1:49" s="577" customFormat="1" ht="21.95" hidden="1" customHeight="1">
      <c r="A30" s="619"/>
      <c r="B30" s="620"/>
      <c r="C30" s="621"/>
      <c r="D30" s="621"/>
      <c r="E30" s="622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1"/>
      <c r="V30" s="621"/>
      <c r="W30" s="621"/>
      <c r="X30" s="621"/>
      <c r="Y30" s="621"/>
      <c r="Z30" s="623"/>
      <c r="AA30" s="621"/>
      <c r="AB30" s="621"/>
      <c r="AC30" s="621"/>
      <c r="AD30" s="621"/>
      <c r="AE30" s="621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4"/>
    </row>
    <row r="31" spans="1:49" s="577" customFormat="1" ht="3" customHeight="1">
      <c r="A31" s="625"/>
      <c r="B31" s="625"/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625"/>
      <c r="O31" s="625"/>
      <c r="P31" s="625"/>
      <c r="Q31" s="625"/>
      <c r="R31" s="625"/>
      <c r="S31" s="625"/>
      <c r="T31" s="625"/>
      <c r="U31" s="625"/>
      <c r="V31" s="625"/>
      <c r="W31" s="625"/>
      <c r="X31" s="625"/>
      <c r="Y31" s="625"/>
      <c r="Z31" s="623"/>
      <c r="AA31" s="625"/>
      <c r="AB31" s="625"/>
      <c r="AC31" s="625"/>
      <c r="AD31" s="625"/>
      <c r="AE31" s="625"/>
      <c r="AF31" s="625"/>
      <c r="AG31" s="625"/>
      <c r="AH31" s="625"/>
      <c r="AI31" s="625"/>
      <c r="AJ31" s="625"/>
      <c r="AK31" s="625"/>
      <c r="AL31" s="625"/>
      <c r="AM31" s="625"/>
      <c r="AN31" s="625"/>
      <c r="AO31" s="625"/>
      <c r="AP31" s="625"/>
      <c r="AQ31" s="625"/>
      <c r="AR31" s="625"/>
      <c r="AS31" s="625"/>
      <c r="AT31" s="625"/>
      <c r="AU31" s="625"/>
      <c r="AV31" s="624"/>
    </row>
    <row r="32" spans="1:49" s="250" customFormat="1" ht="12.95" customHeight="1">
      <c r="A32" s="305" t="s">
        <v>479</v>
      </c>
      <c r="B32" s="626"/>
      <c r="C32" s="626"/>
      <c r="D32" s="626"/>
      <c r="E32" s="626"/>
      <c r="F32" s="626"/>
      <c r="G32" s="626"/>
      <c r="H32" s="626"/>
      <c r="I32" s="626"/>
      <c r="J32" s="626"/>
      <c r="K32" s="626"/>
      <c r="L32" s="627"/>
      <c r="M32" s="305" t="s">
        <v>480</v>
      </c>
      <c r="N32" s="628"/>
      <c r="O32" s="628"/>
      <c r="P32" s="628"/>
      <c r="Q32" s="628"/>
      <c r="R32" s="628"/>
      <c r="S32" s="12"/>
      <c r="T32" s="629"/>
      <c r="U32" s="629"/>
      <c r="V32" s="628"/>
      <c r="W32" s="628"/>
      <c r="X32" s="628"/>
      <c r="Y32" s="628"/>
      <c r="Z32" s="630"/>
      <c r="AA32" s="626"/>
      <c r="AB32" s="626"/>
      <c r="AC32" s="626"/>
      <c r="AD32" s="626"/>
      <c r="AE32" s="626"/>
      <c r="AF32" s="626"/>
      <c r="AG32" s="626"/>
      <c r="AH32" s="626"/>
      <c r="AI32" s="626"/>
      <c r="AJ32" s="305"/>
      <c r="AK32" s="305"/>
      <c r="AL32" s="626" t="s">
        <v>481</v>
      </c>
      <c r="AN32" s="305"/>
      <c r="AO32" s="305"/>
      <c r="AP32" s="305"/>
      <c r="AQ32" s="305"/>
      <c r="AR32" s="305"/>
      <c r="AS32" s="305"/>
      <c r="AT32" s="305"/>
      <c r="AU32" s="305"/>
    </row>
    <row r="33" spans="1:48" s="249" customFormat="1" ht="12.95" customHeight="1">
      <c r="A33" s="305" t="s">
        <v>482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305"/>
      <c r="M33" s="305" t="s">
        <v>483</v>
      </c>
      <c r="N33" s="631"/>
      <c r="O33" s="631"/>
      <c r="P33" s="631"/>
      <c r="Q33" s="631"/>
      <c r="R33" s="631"/>
      <c r="S33" s="631"/>
      <c r="T33" s="631"/>
      <c r="U33" s="631"/>
      <c r="V33" s="305"/>
      <c r="W33" s="305"/>
      <c r="X33" s="305"/>
      <c r="Y33" s="631"/>
      <c r="Z33" s="630"/>
      <c r="AA33" s="631"/>
      <c r="AB33" s="305"/>
      <c r="AC33" s="305"/>
      <c r="AD33" s="629"/>
      <c r="AE33" s="629"/>
      <c r="AF33" s="629"/>
      <c r="AG33" s="629"/>
      <c r="AH33" s="629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629"/>
    </row>
    <row r="34" spans="1:48" s="249" customFormat="1" ht="9.9499999999999993" hidden="1" customHeight="1">
      <c r="A34" s="626"/>
      <c r="B34" s="626"/>
      <c r="C34" s="626"/>
      <c r="D34" s="626"/>
      <c r="E34" s="626"/>
      <c r="F34" s="626"/>
      <c r="G34" s="626"/>
      <c r="H34" s="626"/>
      <c r="I34" s="626"/>
      <c r="J34" s="626"/>
      <c r="K34" s="626"/>
      <c r="L34" s="305"/>
      <c r="M34" s="632"/>
      <c r="N34" s="631"/>
      <c r="O34" s="631"/>
      <c r="P34" s="631"/>
      <c r="Q34" s="631"/>
      <c r="R34" s="631"/>
      <c r="S34" s="631"/>
      <c r="T34" s="631"/>
      <c r="U34" s="631"/>
      <c r="V34" s="305"/>
      <c r="W34" s="305"/>
      <c r="X34" s="305"/>
      <c r="Y34" s="631"/>
      <c r="Z34" s="633"/>
      <c r="AA34" s="631"/>
      <c r="AB34" s="305"/>
      <c r="AC34" s="305"/>
      <c r="AD34" s="629"/>
      <c r="AE34" s="629"/>
      <c r="AF34" s="629"/>
      <c r="AG34" s="629"/>
      <c r="AH34" s="629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</row>
    <row r="35" spans="1:48" s="638" customFormat="1" ht="12" customHeight="1">
      <c r="A35" s="634"/>
      <c r="B35" s="631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305"/>
      <c r="S35" s="631"/>
      <c r="T35" s="305"/>
      <c r="U35" s="305"/>
      <c r="V35" s="631"/>
      <c r="W35" s="631"/>
      <c r="X35" s="631"/>
      <c r="Y35" s="636"/>
      <c r="Z35" s="633"/>
      <c r="AA35" s="635"/>
      <c r="AB35" s="635"/>
      <c r="AC35" s="635"/>
      <c r="AD35" s="635"/>
      <c r="AE35" s="635"/>
      <c r="AF35" s="635"/>
      <c r="AG35" s="635"/>
      <c r="AH35" s="635"/>
      <c r="AI35" s="635"/>
      <c r="AJ35" s="635"/>
      <c r="AK35" s="635"/>
      <c r="AL35" s="631"/>
      <c r="AM35" s="631"/>
      <c r="AN35" s="631"/>
      <c r="AO35" s="631"/>
      <c r="AP35" s="305"/>
      <c r="AQ35" s="305"/>
      <c r="AR35" s="305"/>
      <c r="AS35" s="305"/>
      <c r="AT35" s="305"/>
      <c r="AU35" s="305"/>
      <c r="AV35" s="637"/>
    </row>
    <row r="36" spans="1:48" ht="4.5" hidden="1" customHeight="1"/>
    <row r="37" spans="1:48" ht="4.5" hidden="1" customHeight="1"/>
    <row r="39" spans="1:48">
      <c r="H39" s="640"/>
    </row>
    <row r="40" spans="1:48">
      <c r="AT40" s="641"/>
    </row>
  </sheetData>
  <mergeCells count="10">
    <mergeCell ref="A4:A5"/>
    <mergeCell ref="B4:H4"/>
    <mergeCell ref="I4:L4"/>
    <mergeCell ref="M4:R4"/>
    <mergeCell ref="S4:Y4"/>
    <mergeCell ref="Z4:Z5"/>
    <mergeCell ref="AA4:AG4"/>
    <mergeCell ref="AO4:AR4"/>
    <mergeCell ref="AS4:AU4"/>
    <mergeCell ref="X3:Y3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1" firstPageNumber="14" orientation="portrait" useFirstPageNumber="1" r:id="rId1"/>
  <headerFooter differentOddEven="1" scaleWithDoc="0" alignWithMargins="0">
    <firstFooter>&amp;R&amp;P</firstFooter>
  </headerFooter>
  <colBreaks count="3" manualBreakCount="3">
    <brk id="12" max="32" man="1"/>
    <brk id="25" max="32" man="1"/>
    <brk id="37" max="32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C85"/>
  <sheetViews>
    <sheetView showGridLines="0" view="pageBreakPreview" zoomScale="115" zoomScaleNormal="100" zoomScaleSheetLayoutView="115" workbookViewId="0"/>
  </sheetViews>
  <sheetFormatPr defaultColWidth="9" defaultRowHeight="17.25"/>
  <cols>
    <col min="1" max="1" width="4.125" style="921" customWidth="1"/>
    <col min="2" max="2" width="15.125" style="921" customWidth="1"/>
    <col min="3" max="3" width="2.625" style="922" customWidth="1"/>
    <col min="4" max="4" width="7.25" style="922" customWidth="1"/>
    <col min="5" max="5" width="1.875" style="923" customWidth="1"/>
    <col min="6" max="6" width="4.25" style="922" customWidth="1"/>
    <col min="7" max="7" width="11.625" style="922" customWidth="1"/>
    <col min="8" max="8" width="4.125" style="922" customWidth="1"/>
    <col min="9" max="9" width="15.125" style="922" customWidth="1"/>
    <col min="10" max="10" width="2" style="922" customWidth="1"/>
    <col min="11" max="11" width="7.625" style="922" customWidth="1"/>
    <col min="12" max="12" width="1.875" style="922" customWidth="1"/>
    <col min="13" max="13" width="4.25" style="922" customWidth="1"/>
    <col min="14" max="14" width="11.625" style="922" customWidth="1"/>
    <col min="15" max="15" width="2.125" style="922" hidden="1" customWidth="1"/>
    <col min="16" max="16" width="4.125" style="921" customWidth="1"/>
    <col min="17" max="17" width="13.25" style="921" customWidth="1"/>
    <col min="18" max="18" width="2.125" style="922" customWidth="1"/>
    <col min="19" max="19" width="9.375" style="922" customWidth="1"/>
    <col min="20" max="20" width="1.875" style="923" customWidth="1"/>
    <col min="21" max="21" width="4.25" style="922" customWidth="1"/>
    <col min="22" max="22" width="12.125" style="922" customWidth="1"/>
    <col min="23" max="23" width="4.125" style="922" customWidth="1"/>
    <col min="24" max="24" width="14.375" style="922" customWidth="1"/>
    <col min="25" max="25" width="10.125" style="922" customWidth="1"/>
    <col min="26" max="26" width="1.875" style="922" customWidth="1"/>
    <col min="27" max="27" width="4" style="922" customWidth="1"/>
    <col min="28" max="28" width="12.5" style="922" customWidth="1"/>
    <col min="29" max="29" width="9.25" style="922" bestFit="1" customWidth="1"/>
    <col min="30" max="30" width="10.75" style="922" bestFit="1" customWidth="1"/>
    <col min="31" max="31" width="10.875" style="922" bestFit="1" customWidth="1"/>
    <col min="32" max="32" width="11.75" style="922" bestFit="1" customWidth="1"/>
    <col min="33" max="33" width="8.25" style="922" bestFit="1" customWidth="1"/>
    <col min="34" max="34" width="12.25" style="922" customWidth="1"/>
    <col min="35" max="16384" width="9" style="922"/>
  </cols>
  <sheetData>
    <row r="1" spans="1:28" s="649" customFormat="1" ht="20.25" customHeight="1">
      <c r="A1" s="642" t="s">
        <v>484</v>
      </c>
      <c r="B1" s="643"/>
      <c r="C1" s="644"/>
      <c r="D1" s="645"/>
      <c r="E1" s="644"/>
      <c r="F1" s="645"/>
      <c r="G1" s="646"/>
      <c r="H1" s="644"/>
      <c r="I1" s="644"/>
      <c r="J1" s="644"/>
      <c r="K1" s="644"/>
      <c r="L1" s="644"/>
      <c r="M1" s="644"/>
      <c r="N1" s="644"/>
      <c r="O1" s="644"/>
      <c r="P1" s="643"/>
      <c r="Q1" s="647"/>
      <c r="R1" s="645"/>
      <c r="S1" s="644"/>
      <c r="T1" s="645"/>
      <c r="U1" s="645"/>
      <c r="V1" s="648"/>
    </row>
    <row r="2" spans="1:28" s="658" customFormat="1" ht="17.25" customHeight="1">
      <c r="A2" s="648" t="s">
        <v>485</v>
      </c>
      <c r="B2" s="650"/>
      <c r="C2" s="651"/>
      <c r="D2" s="652"/>
      <c r="E2" s="651"/>
      <c r="F2" s="652"/>
      <c r="G2" s="651"/>
      <c r="H2" s="653"/>
      <c r="I2" s="653"/>
      <c r="J2" s="653"/>
      <c r="K2" s="653"/>
      <c r="L2" s="653"/>
      <c r="M2" s="653"/>
      <c r="N2" s="14"/>
      <c r="O2" s="653"/>
      <c r="P2" s="654"/>
      <c r="Q2" s="655"/>
      <c r="R2" s="656"/>
      <c r="S2" s="653"/>
      <c r="T2" s="656"/>
      <c r="U2" s="656"/>
      <c r="V2" s="657"/>
    </row>
    <row r="3" spans="1:28" s="660" customFormat="1" ht="15" customHeight="1">
      <c r="A3" s="659" t="s">
        <v>231</v>
      </c>
      <c r="C3" s="661"/>
      <c r="D3" s="661"/>
      <c r="E3" s="661"/>
      <c r="F3" s="661"/>
      <c r="G3" s="662"/>
      <c r="H3" s="661"/>
      <c r="I3" s="661"/>
      <c r="J3" s="661"/>
      <c r="K3" s="661"/>
      <c r="L3" s="661"/>
      <c r="M3" s="661"/>
      <c r="N3" s="663"/>
      <c r="O3" s="661"/>
      <c r="P3" s="664"/>
      <c r="Q3" s="664"/>
      <c r="R3" s="665"/>
      <c r="S3" s="665"/>
      <c r="T3" s="661"/>
      <c r="U3" s="661"/>
      <c r="V3" s="666"/>
      <c r="W3" s="665"/>
      <c r="X3" s="665"/>
      <c r="Y3" s="665"/>
      <c r="Z3" s="665"/>
      <c r="AA3" s="665"/>
      <c r="AB3" s="667" t="s">
        <v>486</v>
      </c>
    </row>
    <row r="4" spans="1:28" s="677" customFormat="1" ht="11.1" customHeight="1">
      <c r="A4" s="2919" t="s">
        <v>487</v>
      </c>
      <c r="B4" s="2920"/>
      <c r="C4" s="2920"/>
      <c r="D4" s="2920"/>
      <c r="E4" s="2920"/>
      <c r="F4" s="2920"/>
      <c r="G4" s="668">
        <v>6.7224618563472352E-2</v>
      </c>
      <c r="H4" s="2921" t="s">
        <v>488</v>
      </c>
      <c r="I4" s="2920"/>
      <c r="J4" s="2920"/>
      <c r="K4" s="2920"/>
      <c r="L4" s="2920"/>
      <c r="M4" s="2920"/>
      <c r="N4" s="669">
        <v>8.3159579631852151E-2</v>
      </c>
      <c r="O4" s="670"/>
      <c r="P4" s="2919" t="s">
        <v>489</v>
      </c>
      <c r="Q4" s="2920"/>
      <c r="R4" s="2920"/>
      <c r="S4" s="2920"/>
      <c r="T4" s="2920"/>
      <c r="U4" s="2920"/>
      <c r="V4" s="668">
        <v>0.21756956785189743</v>
      </c>
      <c r="W4" s="671"/>
      <c r="X4" s="672" t="s">
        <v>490</v>
      </c>
      <c r="Y4" s="673" t="s">
        <v>491</v>
      </c>
      <c r="Z4" s="674" t="s">
        <v>492</v>
      </c>
      <c r="AA4" s="675">
        <v>3</v>
      </c>
      <c r="AB4" s="676">
        <v>220</v>
      </c>
    </row>
    <row r="5" spans="1:28" s="690" customFormat="1" ht="11.1" customHeight="1">
      <c r="A5" s="2927" t="s">
        <v>493</v>
      </c>
      <c r="B5" s="2928"/>
      <c r="C5" s="2928" t="s">
        <v>494</v>
      </c>
      <c r="D5" s="2928"/>
      <c r="E5" s="2928"/>
      <c r="F5" s="2928"/>
      <c r="G5" s="678" t="s">
        <v>495</v>
      </c>
      <c r="H5" s="679" t="s">
        <v>493</v>
      </c>
      <c r="I5" s="680"/>
      <c r="J5" s="680" t="s">
        <v>496</v>
      </c>
      <c r="K5" s="680"/>
      <c r="L5" s="680"/>
      <c r="M5" s="680"/>
      <c r="N5" s="681" t="s">
        <v>495</v>
      </c>
      <c r="O5" s="682"/>
      <c r="P5" s="2927" t="s">
        <v>493</v>
      </c>
      <c r="Q5" s="2928"/>
      <c r="R5" s="2928" t="s">
        <v>496</v>
      </c>
      <c r="S5" s="2928"/>
      <c r="T5" s="2928"/>
      <c r="U5" s="2928"/>
      <c r="V5" s="683" t="s">
        <v>495</v>
      </c>
      <c r="W5" s="684"/>
      <c r="X5" s="685" t="s">
        <v>497</v>
      </c>
      <c r="Y5" s="686" t="s">
        <v>498</v>
      </c>
      <c r="Z5" s="687" t="s">
        <v>492</v>
      </c>
      <c r="AA5" s="688">
        <v>4</v>
      </c>
      <c r="AB5" s="689">
        <v>750</v>
      </c>
    </row>
    <row r="6" spans="1:28" s="703" customFormat="1" ht="11.1" customHeight="1">
      <c r="A6" s="691"/>
      <c r="B6" s="682" t="s">
        <v>499</v>
      </c>
      <c r="C6" s="692"/>
      <c r="D6" s="693">
        <v>560000</v>
      </c>
      <c r="E6" s="694" t="s">
        <v>492</v>
      </c>
      <c r="F6" s="695">
        <v>2</v>
      </c>
      <c r="G6" s="693">
        <v>2120000</v>
      </c>
      <c r="H6" s="696" t="s">
        <v>500</v>
      </c>
      <c r="I6" s="697" t="s">
        <v>501</v>
      </c>
      <c r="J6" s="698"/>
      <c r="K6" s="699">
        <v>500000</v>
      </c>
      <c r="L6" s="687" t="s">
        <v>492</v>
      </c>
      <c r="M6" s="688">
        <v>8</v>
      </c>
      <c r="N6" s="689">
        <v>4000000</v>
      </c>
      <c r="O6" s="699"/>
      <c r="P6" s="700"/>
      <c r="Q6" s="701" t="s">
        <v>502</v>
      </c>
      <c r="R6" s="692"/>
      <c r="S6" s="693">
        <v>27000</v>
      </c>
      <c r="T6" s="694" t="s">
        <v>492</v>
      </c>
      <c r="U6" s="695">
        <v>4</v>
      </c>
      <c r="V6" s="702">
        <v>108000</v>
      </c>
      <c r="W6" s="684" t="s">
        <v>503</v>
      </c>
      <c r="X6" s="685" t="s">
        <v>504</v>
      </c>
      <c r="Y6" s="686">
        <v>80</v>
      </c>
      <c r="Z6" s="687" t="s">
        <v>492</v>
      </c>
      <c r="AA6" s="688">
        <v>3</v>
      </c>
      <c r="AB6" s="689">
        <v>240</v>
      </c>
    </row>
    <row r="7" spans="1:28" s="703" customFormat="1" ht="11.1" customHeight="1">
      <c r="A7" s="704" t="s">
        <v>500</v>
      </c>
      <c r="B7" s="693"/>
      <c r="C7" s="692"/>
      <c r="D7" s="693">
        <v>500000</v>
      </c>
      <c r="E7" s="694" t="s">
        <v>492</v>
      </c>
      <c r="F7" s="695">
        <v>2</v>
      </c>
      <c r="G7" s="693"/>
      <c r="H7" s="696"/>
      <c r="I7" s="705" t="s">
        <v>505</v>
      </c>
      <c r="J7" s="706"/>
      <c r="K7" s="699">
        <v>1022000</v>
      </c>
      <c r="L7" s="687" t="s">
        <v>492</v>
      </c>
      <c r="M7" s="688">
        <v>2</v>
      </c>
      <c r="N7" s="689">
        <v>2044000</v>
      </c>
      <c r="O7" s="699"/>
      <c r="P7" s="707"/>
      <c r="Q7" s="708" t="s">
        <v>506</v>
      </c>
      <c r="R7" s="692"/>
      <c r="S7" s="693">
        <v>31140</v>
      </c>
      <c r="T7" s="694" t="s">
        <v>492</v>
      </c>
      <c r="U7" s="695">
        <v>2</v>
      </c>
      <c r="V7" s="702">
        <v>62280</v>
      </c>
      <c r="W7" s="684"/>
      <c r="X7" s="685" t="s">
        <v>507</v>
      </c>
      <c r="Y7" s="686" t="s">
        <v>508</v>
      </c>
      <c r="Z7" s="687" t="s">
        <v>492</v>
      </c>
      <c r="AA7" s="688">
        <v>2</v>
      </c>
      <c r="AB7" s="689">
        <v>1500</v>
      </c>
    </row>
    <row r="8" spans="1:28" s="703" customFormat="1" ht="11.1" customHeight="1">
      <c r="A8" s="704"/>
      <c r="B8" s="682" t="s">
        <v>509</v>
      </c>
      <c r="C8" s="692"/>
      <c r="D8" s="693">
        <v>800000</v>
      </c>
      <c r="E8" s="694" t="s">
        <v>492</v>
      </c>
      <c r="F8" s="695">
        <v>2</v>
      </c>
      <c r="G8" s="693">
        <v>5080000</v>
      </c>
      <c r="H8" s="696" t="s">
        <v>510</v>
      </c>
      <c r="I8" s="705"/>
      <c r="J8" s="706"/>
      <c r="K8" s="699"/>
      <c r="L8" s="687"/>
      <c r="M8" s="688"/>
      <c r="N8" s="689"/>
      <c r="O8" s="699"/>
      <c r="P8" s="707" t="s">
        <v>511</v>
      </c>
      <c r="Q8" s="708" t="s">
        <v>512</v>
      </c>
      <c r="R8" s="692"/>
      <c r="S8" s="693">
        <v>24000</v>
      </c>
      <c r="T8" s="694" t="s">
        <v>492</v>
      </c>
      <c r="U8" s="695">
        <v>2</v>
      </c>
      <c r="V8" s="702">
        <v>48000</v>
      </c>
      <c r="W8" s="684"/>
      <c r="X8" s="685"/>
      <c r="Y8" s="686">
        <v>450</v>
      </c>
      <c r="Z8" s="687" t="s">
        <v>492</v>
      </c>
      <c r="AA8" s="688">
        <v>3</v>
      </c>
      <c r="AB8" s="709">
        <v>1350</v>
      </c>
    </row>
    <row r="9" spans="1:28" s="703" customFormat="1" ht="11.1" customHeight="1">
      <c r="A9" s="704"/>
      <c r="B9" s="682"/>
      <c r="C9" s="692"/>
      <c r="D9" s="693">
        <v>870000</v>
      </c>
      <c r="E9" s="694" t="s">
        <v>513</v>
      </c>
      <c r="F9" s="695">
        <v>4</v>
      </c>
      <c r="G9" s="693"/>
      <c r="H9" s="710"/>
      <c r="I9" s="711" t="s">
        <v>514</v>
      </c>
      <c r="J9" s="712" t="s">
        <v>515</v>
      </c>
      <c r="K9" s="713">
        <v>150000</v>
      </c>
      <c r="L9" s="714" t="s">
        <v>492</v>
      </c>
      <c r="M9" s="715">
        <v>8</v>
      </c>
      <c r="N9" s="716">
        <v>1800000</v>
      </c>
      <c r="O9" s="699"/>
      <c r="P9" s="707"/>
      <c r="Q9" s="708" t="s">
        <v>516</v>
      </c>
      <c r="R9" s="692"/>
      <c r="S9" s="693">
        <v>19800</v>
      </c>
      <c r="T9" s="694" t="s">
        <v>492</v>
      </c>
      <c r="U9" s="695">
        <v>2</v>
      </c>
      <c r="V9" s="702">
        <v>39600</v>
      </c>
      <c r="W9" s="684"/>
      <c r="X9" s="685" t="s">
        <v>517</v>
      </c>
      <c r="Y9" s="686" t="s">
        <v>518</v>
      </c>
      <c r="Z9" s="687" t="s">
        <v>492</v>
      </c>
      <c r="AA9" s="688">
        <v>4</v>
      </c>
      <c r="AB9" s="709">
        <v>1650</v>
      </c>
    </row>
    <row r="10" spans="1:28" s="703" customFormat="1" ht="11.1" customHeight="1">
      <c r="A10" s="704" t="s">
        <v>510</v>
      </c>
      <c r="B10" s="693" t="s">
        <v>519</v>
      </c>
      <c r="C10" s="692"/>
      <c r="D10" s="693">
        <v>328600</v>
      </c>
      <c r="E10" s="694" t="s">
        <v>492</v>
      </c>
      <c r="F10" s="695">
        <v>1</v>
      </c>
      <c r="G10" s="693">
        <v>668600</v>
      </c>
      <c r="H10" s="717"/>
      <c r="I10" s="705"/>
      <c r="J10" s="706" t="s">
        <v>520</v>
      </c>
      <c r="K10" s="699">
        <v>150000</v>
      </c>
      <c r="L10" s="687" t="s">
        <v>492</v>
      </c>
      <c r="M10" s="688">
        <v>4</v>
      </c>
      <c r="N10" s="689"/>
      <c r="O10" s="699"/>
      <c r="P10" s="707"/>
      <c r="Q10" s="708"/>
      <c r="R10" s="692"/>
      <c r="S10" s="693">
        <v>40500</v>
      </c>
      <c r="T10" s="694" t="s">
        <v>492</v>
      </c>
      <c r="U10" s="695">
        <v>1</v>
      </c>
      <c r="V10" s="702">
        <v>40500</v>
      </c>
      <c r="W10" s="684" t="s">
        <v>331</v>
      </c>
      <c r="X10" s="685" t="s">
        <v>521</v>
      </c>
      <c r="Y10" s="686">
        <v>150</v>
      </c>
      <c r="Z10" s="687" t="s">
        <v>492</v>
      </c>
      <c r="AA10" s="688">
        <v>3</v>
      </c>
      <c r="AB10" s="709">
        <v>450</v>
      </c>
    </row>
    <row r="11" spans="1:28" s="703" customFormat="1" ht="11.1" customHeight="1">
      <c r="A11" s="704"/>
      <c r="B11" s="693"/>
      <c r="C11" s="692"/>
      <c r="D11" s="693">
        <v>340000</v>
      </c>
      <c r="E11" s="694" t="s">
        <v>492</v>
      </c>
      <c r="F11" s="695">
        <v>1</v>
      </c>
      <c r="G11" s="693"/>
      <c r="H11" s="717"/>
      <c r="I11" s="705" t="s">
        <v>522</v>
      </c>
      <c r="J11" s="706" t="s">
        <v>515</v>
      </c>
      <c r="K11" s="699">
        <v>35000</v>
      </c>
      <c r="L11" s="687" t="s">
        <v>492</v>
      </c>
      <c r="M11" s="688">
        <v>2</v>
      </c>
      <c r="N11" s="689">
        <v>105000</v>
      </c>
      <c r="O11" s="699"/>
      <c r="P11" s="707"/>
      <c r="Q11" s="708"/>
      <c r="R11" s="692"/>
      <c r="S11" s="693">
        <v>60000</v>
      </c>
      <c r="T11" s="694" t="s">
        <v>492</v>
      </c>
      <c r="U11" s="695">
        <v>1</v>
      </c>
      <c r="V11" s="702">
        <v>60000</v>
      </c>
      <c r="W11" s="684"/>
      <c r="X11" s="685" t="s">
        <v>523</v>
      </c>
      <c r="Y11" s="686" t="s">
        <v>524</v>
      </c>
      <c r="Z11" s="687" t="s">
        <v>492</v>
      </c>
      <c r="AA11" s="688">
        <v>5</v>
      </c>
      <c r="AB11" s="709">
        <v>3400</v>
      </c>
    </row>
    <row r="12" spans="1:28" s="703" customFormat="1" ht="11.1" customHeight="1">
      <c r="A12" s="704"/>
      <c r="B12" s="693"/>
      <c r="C12" s="692"/>
      <c r="D12" s="693"/>
      <c r="E12" s="694"/>
      <c r="F12" s="695"/>
      <c r="G12" s="693"/>
      <c r="H12" s="717"/>
      <c r="I12" s="705"/>
      <c r="J12" s="706" t="s">
        <v>520</v>
      </c>
      <c r="K12" s="699">
        <v>35000</v>
      </c>
      <c r="L12" s="687" t="s">
        <v>492</v>
      </c>
      <c r="M12" s="688">
        <v>1</v>
      </c>
      <c r="N12" s="689"/>
      <c r="O12" s="699"/>
      <c r="P12" s="707"/>
      <c r="Q12" s="708" t="s">
        <v>525</v>
      </c>
      <c r="R12" s="692"/>
      <c r="S12" s="693">
        <v>30000</v>
      </c>
      <c r="T12" s="694" t="s">
        <v>492</v>
      </c>
      <c r="U12" s="695">
        <v>4</v>
      </c>
      <c r="V12" s="702">
        <v>120000</v>
      </c>
      <c r="W12" s="684"/>
      <c r="X12" s="685" t="s">
        <v>526</v>
      </c>
      <c r="Y12" s="686">
        <v>250</v>
      </c>
      <c r="Z12" s="687" t="s">
        <v>492</v>
      </c>
      <c r="AA12" s="688">
        <v>3</v>
      </c>
      <c r="AB12" s="709">
        <v>750</v>
      </c>
    </row>
    <row r="13" spans="1:28" s="703" customFormat="1" ht="11.1" customHeight="1">
      <c r="A13" s="718" t="s">
        <v>528</v>
      </c>
      <c r="B13" s="719" t="s">
        <v>529</v>
      </c>
      <c r="C13" s="720" t="s">
        <v>515</v>
      </c>
      <c r="D13" s="719">
        <v>77758</v>
      </c>
      <c r="E13" s="721" t="s">
        <v>492</v>
      </c>
      <c r="F13" s="722">
        <v>8</v>
      </c>
      <c r="G13" s="723">
        <v>922064</v>
      </c>
      <c r="H13" s="717" t="s">
        <v>528</v>
      </c>
      <c r="I13" s="705" t="s">
        <v>530</v>
      </c>
      <c r="J13" s="706" t="s">
        <v>531</v>
      </c>
      <c r="K13" s="699">
        <v>150000</v>
      </c>
      <c r="L13" s="687" t="s">
        <v>492</v>
      </c>
      <c r="M13" s="688">
        <v>8</v>
      </c>
      <c r="N13" s="689">
        <v>1800000</v>
      </c>
      <c r="O13" s="699"/>
      <c r="P13" s="707" t="s">
        <v>510</v>
      </c>
      <c r="Q13" s="708" t="s">
        <v>532</v>
      </c>
      <c r="R13" s="692"/>
      <c r="S13" s="693">
        <v>6000</v>
      </c>
      <c r="T13" s="694" t="s">
        <v>492</v>
      </c>
      <c r="U13" s="695">
        <v>1</v>
      </c>
      <c r="V13" s="702">
        <v>6000</v>
      </c>
      <c r="W13" s="684"/>
      <c r="X13" s="685" t="s">
        <v>533</v>
      </c>
      <c r="Y13" s="686" t="s">
        <v>534</v>
      </c>
      <c r="Z13" s="687" t="s">
        <v>492</v>
      </c>
      <c r="AA13" s="688">
        <v>3</v>
      </c>
      <c r="AB13" s="709">
        <v>280</v>
      </c>
    </row>
    <row r="14" spans="1:28" s="703" customFormat="1" ht="11.1" customHeight="1">
      <c r="A14" s="704"/>
      <c r="B14" s="693"/>
      <c r="C14" s="692" t="s">
        <v>520</v>
      </c>
      <c r="D14" s="693">
        <v>185000</v>
      </c>
      <c r="E14" s="694" t="s">
        <v>492</v>
      </c>
      <c r="F14" s="695">
        <v>1</v>
      </c>
      <c r="G14" s="693"/>
      <c r="H14" s="717"/>
      <c r="I14" s="705"/>
      <c r="J14" s="706" t="s">
        <v>520</v>
      </c>
      <c r="K14" s="699">
        <v>150000</v>
      </c>
      <c r="L14" s="687" t="s">
        <v>492</v>
      </c>
      <c r="M14" s="688">
        <v>4</v>
      </c>
      <c r="N14" s="689"/>
      <c r="O14" s="699"/>
      <c r="P14" s="707"/>
      <c r="Q14" s="708"/>
      <c r="R14" s="692"/>
      <c r="S14" s="694" t="s">
        <v>535</v>
      </c>
      <c r="T14" s="694" t="s">
        <v>492</v>
      </c>
      <c r="U14" s="695">
        <v>2</v>
      </c>
      <c r="V14" s="702">
        <v>29000</v>
      </c>
      <c r="W14" s="684" t="s">
        <v>536</v>
      </c>
      <c r="X14" s="685" t="s">
        <v>537</v>
      </c>
      <c r="Y14" s="686" t="s">
        <v>538</v>
      </c>
      <c r="Z14" s="687" t="s">
        <v>492</v>
      </c>
      <c r="AA14" s="688">
        <v>7</v>
      </c>
      <c r="AB14" s="709">
        <v>5500</v>
      </c>
    </row>
    <row r="15" spans="1:28" s="703" customFormat="1" ht="11.1" customHeight="1">
      <c r="A15" s="684" t="s">
        <v>539</v>
      </c>
      <c r="B15" s="685"/>
      <c r="C15" s="692" t="s">
        <v>520</v>
      </c>
      <c r="D15" s="693">
        <v>115000</v>
      </c>
      <c r="E15" s="694" t="s">
        <v>492</v>
      </c>
      <c r="F15" s="695">
        <v>1</v>
      </c>
      <c r="G15" s="724"/>
      <c r="H15" s="717"/>
      <c r="I15" s="705" t="s">
        <v>540</v>
      </c>
      <c r="J15" s="706" t="s">
        <v>531</v>
      </c>
      <c r="K15" s="699">
        <v>183000</v>
      </c>
      <c r="L15" s="687" t="s">
        <v>492</v>
      </c>
      <c r="M15" s="688">
        <v>3</v>
      </c>
      <c r="N15" s="689">
        <v>848000</v>
      </c>
      <c r="O15" s="699"/>
      <c r="P15" s="707"/>
      <c r="Q15" s="708" t="s">
        <v>541</v>
      </c>
      <c r="R15" s="692"/>
      <c r="S15" s="693">
        <v>41000</v>
      </c>
      <c r="T15" s="694" t="s">
        <v>492</v>
      </c>
      <c r="U15" s="695">
        <v>2</v>
      </c>
      <c r="V15" s="702">
        <v>82000</v>
      </c>
      <c r="W15" s="684"/>
      <c r="X15" s="685" t="s">
        <v>542</v>
      </c>
      <c r="Y15" s="686">
        <v>80</v>
      </c>
      <c r="Z15" s="687" t="s">
        <v>492</v>
      </c>
      <c r="AA15" s="688">
        <v>3</v>
      </c>
      <c r="AB15" s="709">
        <v>240</v>
      </c>
    </row>
    <row r="16" spans="1:28" s="690" customFormat="1" ht="11.1" customHeight="1">
      <c r="A16" s="725"/>
      <c r="B16" s="726"/>
      <c r="C16" s="727"/>
      <c r="D16" s="727"/>
      <c r="E16" s="728"/>
      <c r="F16" s="727"/>
      <c r="G16" s="729"/>
      <c r="H16" s="717" t="s">
        <v>539</v>
      </c>
      <c r="I16" s="705"/>
      <c r="J16" s="706" t="s">
        <v>520</v>
      </c>
      <c r="K16" s="699">
        <v>299000</v>
      </c>
      <c r="L16" s="687" t="s">
        <v>492</v>
      </c>
      <c r="M16" s="688">
        <v>1</v>
      </c>
      <c r="N16" s="689"/>
      <c r="O16" s="699"/>
      <c r="P16" s="730"/>
      <c r="Q16" s="731" t="s">
        <v>543</v>
      </c>
      <c r="R16" s="732"/>
      <c r="S16" s="733">
        <v>21</v>
      </c>
      <c r="T16" s="734"/>
      <c r="U16" s="735" t="s">
        <v>544</v>
      </c>
      <c r="V16" s="736">
        <v>595380</v>
      </c>
      <c r="W16" s="684"/>
      <c r="X16" s="685" t="s">
        <v>545</v>
      </c>
      <c r="Y16" s="686">
        <v>150</v>
      </c>
      <c r="Z16" s="687" t="s">
        <v>492</v>
      </c>
      <c r="AA16" s="688">
        <v>3</v>
      </c>
      <c r="AB16" s="709">
        <v>450</v>
      </c>
    </row>
    <row r="17" spans="1:28" s="690" customFormat="1" ht="11.1" customHeight="1">
      <c r="A17" s="684"/>
      <c r="B17" s="737" t="s">
        <v>546</v>
      </c>
      <c r="C17" s="706"/>
      <c r="D17" s="699"/>
      <c r="E17" s="687"/>
      <c r="F17" s="688">
        <v>2</v>
      </c>
      <c r="G17" s="699">
        <v>325000</v>
      </c>
      <c r="H17" s="738"/>
      <c r="I17" s="705" t="s">
        <v>547</v>
      </c>
      <c r="J17" s="706" t="s">
        <v>531</v>
      </c>
      <c r="K17" s="699">
        <v>234500</v>
      </c>
      <c r="L17" s="687" t="s">
        <v>492</v>
      </c>
      <c r="M17" s="688">
        <v>1</v>
      </c>
      <c r="N17" s="689">
        <v>361600</v>
      </c>
      <c r="O17" s="699"/>
      <c r="P17" s="739" t="s">
        <v>548</v>
      </c>
      <c r="Q17" s="701" t="s">
        <v>549</v>
      </c>
      <c r="R17" s="720"/>
      <c r="S17" s="719"/>
      <c r="T17" s="721"/>
      <c r="U17" s="722">
        <v>10</v>
      </c>
      <c r="V17" s="716">
        <v>12320</v>
      </c>
      <c r="W17" s="684"/>
      <c r="X17" s="685" t="s">
        <v>550</v>
      </c>
      <c r="Y17" s="686">
        <v>200</v>
      </c>
      <c r="Z17" s="687" t="s">
        <v>492</v>
      </c>
      <c r="AA17" s="688">
        <v>3</v>
      </c>
      <c r="AB17" s="709">
        <v>600</v>
      </c>
    </row>
    <row r="18" spans="1:28" s="690" customFormat="1" ht="11.1" customHeight="1">
      <c r="A18" s="684" t="s">
        <v>548</v>
      </c>
      <c r="B18" s="740" t="s">
        <v>549</v>
      </c>
      <c r="C18" s="706"/>
      <c r="D18" s="699"/>
      <c r="E18" s="694"/>
      <c r="F18" s="688">
        <v>4</v>
      </c>
      <c r="G18" s="699">
        <v>17599</v>
      </c>
      <c r="H18" s="738"/>
      <c r="I18" s="705"/>
      <c r="J18" s="706" t="s">
        <v>551</v>
      </c>
      <c r="K18" s="699">
        <v>127100</v>
      </c>
      <c r="L18" s="687" t="s">
        <v>492</v>
      </c>
      <c r="M18" s="688">
        <v>1</v>
      </c>
      <c r="N18" s="709"/>
      <c r="O18" s="699"/>
      <c r="P18" s="741" t="s">
        <v>552</v>
      </c>
      <c r="Q18" s="705" t="s">
        <v>553</v>
      </c>
      <c r="R18" s="706"/>
      <c r="S18" s="699"/>
      <c r="T18" s="694"/>
      <c r="U18" s="688">
        <v>54</v>
      </c>
      <c r="V18" s="689">
        <v>69979.960000000006</v>
      </c>
      <c r="W18" s="684" t="s">
        <v>465</v>
      </c>
      <c r="X18" s="685" t="s">
        <v>554</v>
      </c>
      <c r="Y18" s="686" t="s">
        <v>555</v>
      </c>
      <c r="Z18" s="687" t="s">
        <v>492</v>
      </c>
      <c r="AA18" s="688">
        <v>3</v>
      </c>
      <c r="AB18" s="709">
        <v>2100</v>
      </c>
    </row>
    <row r="19" spans="1:28" s="703" customFormat="1" ht="11.1" customHeight="1">
      <c r="A19" s="684" t="s">
        <v>552</v>
      </c>
      <c r="B19" s="742" t="s">
        <v>553</v>
      </c>
      <c r="C19" s="706"/>
      <c r="D19" s="699"/>
      <c r="E19" s="694"/>
      <c r="F19" s="688">
        <v>23</v>
      </c>
      <c r="G19" s="699">
        <v>34707.629999999997</v>
      </c>
      <c r="H19" s="738"/>
      <c r="I19" s="705" t="s">
        <v>556</v>
      </c>
      <c r="J19" s="706" t="s">
        <v>531</v>
      </c>
      <c r="K19" s="699">
        <v>48514</v>
      </c>
      <c r="L19" s="687" t="s">
        <v>492</v>
      </c>
      <c r="M19" s="688">
        <v>2</v>
      </c>
      <c r="N19" s="689">
        <v>146245</v>
      </c>
      <c r="O19" s="693"/>
      <c r="P19" s="741" t="s">
        <v>557</v>
      </c>
      <c r="Q19" s="705" t="s">
        <v>558</v>
      </c>
      <c r="R19" s="706"/>
      <c r="S19" s="699"/>
      <c r="T19" s="694"/>
      <c r="U19" s="688">
        <v>1</v>
      </c>
      <c r="V19" s="689">
        <v>750</v>
      </c>
      <c r="W19" s="684"/>
      <c r="X19" s="685"/>
      <c r="Y19" s="686">
        <v>250</v>
      </c>
      <c r="Z19" s="687" t="s">
        <v>492</v>
      </c>
      <c r="AA19" s="688">
        <v>1</v>
      </c>
      <c r="AB19" s="709">
        <v>250</v>
      </c>
    </row>
    <row r="20" spans="1:28" s="703" customFormat="1" ht="11.1" customHeight="1">
      <c r="A20" s="743" t="s">
        <v>557</v>
      </c>
      <c r="B20" s="744" t="s">
        <v>558</v>
      </c>
      <c r="C20" s="706"/>
      <c r="D20" s="699"/>
      <c r="E20" s="694"/>
      <c r="F20" s="688">
        <v>4</v>
      </c>
      <c r="G20" s="699">
        <v>58300</v>
      </c>
      <c r="H20" s="745"/>
      <c r="I20" s="746"/>
      <c r="J20" s="747" t="s">
        <v>551</v>
      </c>
      <c r="K20" s="727">
        <v>49217</v>
      </c>
      <c r="L20" s="748" t="s">
        <v>492</v>
      </c>
      <c r="M20" s="749">
        <v>1</v>
      </c>
      <c r="N20" s="750"/>
      <c r="O20" s="693"/>
      <c r="P20" s="751"/>
      <c r="Q20" s="705"/>
      <c r="R20" s="706"/>
      <c r="S20" s="699"/>
      <c r="T20" s="694"/>
      <c r="U20" s="688"/>
      <c r="V20" s="689"/>
      <c r="W20" s="684"/>
      <c r="X20" s="685" t="s">
        <v>559</v>
      </c>
      <c r="Y20" s="686">
        <v>80</v>
      </c>
      <c r="Z20" s="687" t="s">
        <v>492</v>
      </c>
      <c r="AA20" s="688">
        <v>3</v>
      </c>
      <c r="AB20" s="709">
        <v>240</v>
      </c>
    </row>
    <row r="21" spans="1:28" s="703" customFormat="1" ht="11.1" customHeight="1">
      <c r="A21" s="743"/>
      <c r="B21" s="744" t="s">
        <v>560</v>
      </c>
      <c r="C21" s="706"/>
      <c r="D21" s="699"/>
      <c r="E21" s="694"/>
      <c r="F21" s="688">
        <v>8</v>
      </c>
      <c r="G21" s="699">
        <v>51910</v>
      </c>
      <c r="H21" s="752"/>
      <c r="I21" s="753" t="s">
        <v>549</v>
      </c>
      <c r="J21" s="712"/>
      <c r="K21" s="713"/>
      <c r="L21" s="714"/>
      <c r="M21" s="715">
        <v>2</v>
      </c>
      <c r="N21" s="689">
        <v>2810</v>
      </c>
      <c r="O21" s="693"/>
      <c r="P21" s="754" t="s">
        <v>561</v>
      </c>
      <c r="Q21" s="683"/>
      <c r="R21" s="755"/>
      <c r="S21" s="756">
        <v>127</v>
      </c>
      <c r="T21" s="757"/>
      <c r="U21" s="758" t="s">
        <v>544</v>
      </c>
      <c r="V21" s="759">
        <v>30028429.960000001</v>
      </c>
      <c r="W21" s="684"/>
      <c r="X21" s="685" t="s">
        <v>562</v>
      </c>
      <c r="Y21" s="686" t="s">
        <v>563</v>
      </c>
      <c r="Z21" s="687" t="s">
        <v>492</v>
      </c>
      <c r="AA21" s="688">
        <v>4</v>
      </c>
      <c r="AB21" s="709">
        <v>3500</v>
      </c>
    </row>
    <row r="22" spans="1:28" s="703" customFormat="1" ht="11.1" customHeight="1">
      <c r="A22" s="760" t="s">
        <v>564</v>
      </c>
      <c r="B22" s="761"/>
      <c r="C22" s="755"/>
      <c r="D22" s="756">
        <v>63</v>
      </c>
      <c r="E22" s="757"/>
      <c r="F22" s="758" t="s">
        <v>544</v>
      </c>
      <c r="G22" s="756">
        <v>9278180.6300000008</v>
      </c>
      <c r="H22" s="762" t="s">
        <v>548</v>
      </c>
      <c r="I22" s="742" t="s">
        <v>565</v>
      </c>
      <c r="J22" s="706"/>
      <c r="K22" s="699"/>
      <c r="L22" s="687"/>
      <c r="M22" s="688">
        <v>50</v>
      </c>
      <c r="N22" s="689">
        <v>36370.74</v>
      </c>
      <c r="O22" s="693"/>
      <c r="P22" s="763" t="s">
        <v>566</v>
      </c>
      <c r="Q22" s="764"/>
      <c r="R22" s="764"/>
      <c r="S22" s="764"/>
      <c r="T22" s="764"/>
      <c r="U22" s="764"/>
      <c r="V22" s="669">
        <v>1.75135386558592E-3</v>
      </c>
      <c r="W22" s="684"/>
      <c r="X22" s="685"/>
      <c r="Y22" s="686">
        <v>500</v>
      </c>
      <c r="Z22" s="687" t="s">
        <v>492</v>
      </c>
      <c r="AA22" s="688">
        <v>1</v>
      </c>
      <c r="AB22" s="709">
        <v>500</v>
      </c>
    </row>
    <row r="23" spans="1:28" s="703" customFormat="1" ht="11.1" customHeight="1">
      <c r="A23" s="2919" t="s">
        <v>567</v>
      </c>
      <c r="B23" s="2920"/>
      <c r="C23" s="2920"/>
      <c r="D23" s="2920"/>
      <c r="E23" s="2920"/>
      <c r="F23" s="2920"/>
      <c r="G23" s="668">
        <v>7.8070513228018903E-2</v>
      </c>
      <c r="H23" s="765" t="s">
        <v>552</v>
      </c>
      <c r="I23" s="742" t="s">
        <v>194</v>
      </c>
      <c r="J23" s="706"/>
      <c r="K23" s="699"/>
      <c r="L23" s="687"/>
      <c r="M23" s="688">
        <v>4</v>
      </c>
      <c r="N23" s="689">
        <v>39500</v>
      </c>
      <c r="O23" s="693"/>
      <c r="P23" s="718" t="s">
        <v>568</v>
      </c>
      <c r="Q23" s="766" t="s">
        <v>569</v>
      </c>
      <c r="R23" s="692"/>
      <c r="S23" s="693">
        <v>3000</v>
      </c>
      <c r="T23" s="694" t="s">
        <v>492</v>
      </c>
      <c r="U23" s="722">
        <v>4</v>
      </c>
      <c r="V23" s="767">
        <v>18500</v>
      </c>
      <c r="W23" s="684"/>
      <c r="X23" s="685"/>
      <c r="Y23" s="686"/>
      <c r="Z23" s="687"/>
      <c r="AA23" s="688"/>
      <c r="AB23" s="709"/>
    </row>
    <row r="24" spans="1:28" s="703" customFormat="1" ht="11.1" customHeight="1">
      <c r="A24" s="741"/>
      <c r="B24" s="705" t="s">
        <v>570</v>
      </c>
      <c r="C24" s="706"/>
      <c r="D24" s="699">
        <v>500000</v>
      </c>
      <c r="E24" s="687" t="s">
        <v>492</v>
      </c>
      <c r="F24" s="688">
        <v>5</v>
      </c>
      <c r="G24" s="699">
        <v>3050000</v>
      </c>
      <c r="H24" s="765" t="s">
        <v>557</v>
      </c>
      <c r="I24" s="742" t="s">
        <v>132</v>
      </c>
      <c r="J24" s="706"/>
      <c r="K24" s="699"/>
      <c r="L24" s="687"/>
      <c r="M24" s="688">
        <v>2</v>
      </c>
      <c r="N24" s="689">
        <v>93960</v>
      </c>
      <c r="O24" s="693"/>
      <c r="P24" s="704" t="s">
        <v>571</v>
      </c>
      <c r="Q24" s="768"/>
      <c r="R24" s="692"/>
      <c r="S24" s="693">
        <v>1000</v>
      </c>
      <c r="T24" s="694" t="s">
        <v>492</v>
      </c>
      <c r="U24" s="695">
        <v>2</v>
      </c>
      <c r="V24" s="767"/>
      <c r="W24" s="684"/>
      <c r="X24" s="769" t="s">
        <v>572</v>
      </c>
      <c r="Y24" s="755">
        <v>203</v>
      </c>
      <c r="Z24" s="757"/>
      <c r="AA24" s="770" t="s">
        <v>544</v>
      </c>
      <c r="AB24" s="771">
        <v>78310</v>
      </c>
    </row>
    <row r="25" spans="1:28" s="703" customFormat="1" ht="11.1" customHeight="1">
      <c r="A25" s="741" t="s">
        <v>500</v>
      </c>
      <c r="B25" s="705"/>
      <c r="C25" s="706"/>
      <c r="D25" s="699">
        <v>550000</v>
      </c>
      <c r="E25" s="687" t="s">
        <v>492</v>
      </c>
      <c r="F25" s="688">
        <v>1</v>
      </c>
      <c r="G25" s="699"/>
      <c r="H25" s="765"/>
      <c r="I25" s="742" t="s">
        <v>573</v>
      </c>
      <c r="J25" s="772"/>
      <c r="K25" s="773"/>
      <c r="L25" s="773"/>
      <c r="M25" s="688">
        <v>2</v>
      </c>
      <c r="N25" s="689">
        <v>200000</v>
      </c>
      <c r="O25" s="693"/>
      <c r="P25" s="704" t="s">
        <v>574</v>
      </c>
      <c r="Q25" s="774"/>
      <c r="R25" s="773"/>
      <c r="S25" s="693">
        <v>1500</v>
      </c>
      <c r="T25" s="693" t="s">
        <v>492</v>
      </c>
      <c r="U25" s="695">
        <v>3</v>
      </c>
      <c r="V25" s="775"/>
      <c r="W25" s="776" t="s">
        <v>1737</v>
      </c>
      <c r="X25" s="777"/>
      <c r="Y25" s="778">
        <v>212</v>
      </c>
      <c r="Z25" s="779"/>
      <c r="AA25" s="779" t="s">
        <v>544</v>
      </c>
      <c r="AB25" s="780">
        <v>96810</v>
      </c>
    </row>
    <row r="26" spans="1:28" s="690" customFormat="1" ht="11.1" customHeight="1">
      <c r="A26" s="741"/>
      <c r="B26" s="706" t="s">
        <v>575</v>
      </c>
      <c r="C26" s="706"/>
      <c r="D26" s="699">
        <v>1019029</v>
      </c>
      <c r="E26" s="687" t="s">
        <v>492</v>
      </c>
      <c r="F26" s="688">
        <v>1</v>
      </c>
      <c r="G26" s="699">
        <v>2038058</v>
      </c>
      <c r="H26" s="781" t="s">
        <v>561</v>
      </c>
      <c r="I26" s="770"/>
      <c r="J26" s="782"/>
      <c r="K26" s="783">
        <v>106</v>
      </c>
      <c r="L26" s="784"/>
      <c r="M26" s="758" t="s">
        <v>544</v>
      </c>
      <c r="N26" s="785">
        <v>11477485.74</v>
      </c>
      <c r="O26" s="693"/>
      <c r="P26" s="704"/>
      <c r="Q26" s="786"/>
      <c r="R26" s="692"/>
      <c r="S26" s="693"/>
      <c r="T26" s="694"/>
      <c r="U26" s="787"/>
      <c r="V26" s="767"/>
      <c r="W26" s="788" t="s">
        <v>1738</v>
      </c>
      <c r="X26" s="789"/>
      <c r="Y26" s="790">
        <v>546</v>
      </c>
      <c r="Z26" s="791"/>
      <c r="AA26" s="791" t="s">
        <v>544</v>
      </c>
      <c r="AB26" s="792">
        <v>82624677.810000002</v>
      </c>
    </row>
    <row r="27" spans="1:28" s="690" customFormat="1" ht="11.1" customHeight="1">
      <c r="A27" s="743" t="s">
        <v>510</v>
      </c>
      <c r="B27" s="706"/>
      <c r="C27" s="706"/>
      <c r="D27" s="699">
        <v>1019029</v>
      </c>
      <c r="E27" s="687" t="s">
        <v>492</v>
      </c>
      <c r="F27" s="688">
        <v>1</v>
      </c>
      <c r="G27" s="699"/>
      <c r="H27" s="2921" t="s">
        <v>576</v>
      </c>
      <c r="I27" s="2920"/>
      <c r="J27" s="2920"/>
      <c r="K27" s="2920"/>
      <c r="L27" s="2920"/>
      <c r="M27" s="2920"/>
      <c r="N27" s="669">
        <v>6.9284549590221969E-2</v>
      </c>
      <c r="O27" s="693"/>
      <c r="P27" s="793"/>
      <c r="Q27" s="735" t="s">
        <v>577</v>
      </c>
      <c r="R27" s="732"/>
      <c r="S27" s="733">
        <v>9</v>
      </c>
      <c r="T27" s="733"/>
      <c r="U27" s="794" t="s">
        <v>578</v>
      </c>
      <c r="V27" s="795">
        <v>18500</v>
      </c>
      <c r="W27" s="788" t="s">
        <v>1739</v>
      </c>
      <c r="X27" s="789"/>
      <c r="Y27" s="796">
        <v>758</v>
      </c>
      <c r="Z27" s="797"/>
      <c r="AA27" s="797" t="s">
        <v>544</v>
      </c>
      <c r="AB27" s="798">
        <v>82721487.810000002</v>
      </c>
    </row>
    <row r="28" spans="1:28" s="690" customFormat="1" ht="11.1" customHeight="1">
      <c r="A28" s="799"/>
      <c r="B28" s="747" t="s">
        <v>579</v>
      </c>
      <c r="C28" s="747"/>
      <c r="D28" s="727">
        <v>1018000</v>
      </c>
      <c r="E28" s="748" t="s">
        <v>492</v>
      </c>
      <c r="F28" s="749">
        <v>1</v>
      </c>
      <c r="G28" s="800">
        <v>1018000</v>
      </c>
      <c r="H28" s="801"/>
      <c r="I28" s="705" t="s">
        <v>580</v>
      </c>
      <c r="J28" s="712"/>
      <c r="K28" s="713">
        <v>500000</v>
      </c>
      <c r="L28" s="714" t="s">
        <v>492</v>
      </c>
      <c r="M28" s="715">
        <v>8</v>
      </c>
      <c r="N28" s="689">
        <v>4000000</v>
      </c>
      <c r="O28" s="693"/>
      <c r="P28" s="802"/>
      <c r="Q28" s="722" t="s">
        <v>581</v>
      </c>
      <c r="R28" s="712"/>
      <c r="S28" s="714" t="s">
        <v>582</v>
      </c>
      <c r="T28" s="694" t="s">
        <v>492</v>
      </c>
      <c r="U28" s="715">
        <v>4</v>
      </c>
      <c r="V28" s="716">
        <v>1800</v>
      </c>
      <c r="W28" s="803" t="s">
        <v>583</v>
      </c>
      <c r="X28" s="804"/>
      <c r="Y28" s="805">
        <v>88</v>
      </c>
      <c r="Z28" s="682"/>
      <c r="AA28" s="682" t="s">
        <v>544</v>
      </c>
      <c r="AB28" s="806">
        <v>21201616</v>
      </c>
    </row>
    <row r="29" spans="1:28" s="690" customFormat="1" ht="11.1" customHeight="1">
      <c r="A29" s="807"/>
      <c r="B29" s="712" t="s">
        <v>584</v>
      </c>
      <c r="C29" s="712"/>
      <c r="D29" s="713">
        <v>150000</v>
      </c>
      <c r="E29" s="714" t="s">
        <v>492</v>
      </c>
      <c r="F29" s="715">
        <v>9</v>
      </c>
      <c r="G29" s="808">
        <v>1350000</v>
      </c>
      <c r="H29" s="696" t="s">
        <v>503</v>
      </c>
      <c r="I29" s="705"/>
      <c r="J29" s="706"/>
      <c r="K29" s="699">
        <v>1020000</v>
      </c>
      <c r="L29" s="687" t="s">
        <v>492</v>
      </c>
      <c r="M29" s="688">
        <v>1</v>
      </c>
      <c r="N29" s="689">
        <v>1020000</v>
      </c>
      <c r="O29" s="693"/>
      <c r="P29" s="809"/>
      <c r="Q29" s="695" t="s">
        <v>585</v>
      </c>
      <c r="R29" s="692"/>
      <c r="S29" s="693">
        <v>80</v>
      </c>
      <c r="T29" s="694" t="s">
        <v>492</v>
      </c>
      <c r="U29" s="695">
        <v>3</v>
      </c>
      <c r="V29" s="767">
        <v>240</v>
      </c>
      <c r="W29" s="803" t="s">
        <v>586</v>
      </c>
      <c r="X29" s="804"/>
      <c r="Y29" s="805">
        <v>77</v>
      </c>
      <c r="Z29" s="682"/>
      <c r="AA29" s="685" t="s">
        <v>544</v>
      </c>
      <c r="AB29" s="810">
        <v>8388733</v>
      </c>
    </row>
    <row r="30" spans="1:28" s="690" customFormat="1" ht="11.1" customHeight="1">
      <c r="A30" s="809"/>
      <c r="B30" s="811" t="s">
        <v>587</v>
      </c>
      <c r="C30" s="706" t="s">
        <v>515</v>
      </c>
      <c r="D30" s="699">
        <v>160729</v>
      </c>
      <c r="E30" s="687" t="s">
        <v>492</v>
      </c>
      <c r="F30" s="688">
        <v>2</v>
      </c>
      <c r="G30" s="812">
        <v>949416</v>
      </c>
      <c r="H30" s="696"/>
      <c r="I30" s="705"/>
      <c r="J30" s="706"/>
      <c r="K30" s="699">
        <v>1020000</v>
      </c>
      <c r="L30" s="687" t="s">
        <v>492</v>
      </c>
      <c r="M30" s="688">
        <v>1</v>
      </c>
      <c r="N30" s="689">
        <v>1020000</v>
      </c>
      <c r="O30" s="693"/>
      <c r="P30" s="813"/>
      <c r="Q30" s="695" t="s">
        <v>588</v>
      </c>
      <c r="R30" s="814"/>
      <c r="S30" s="694">
        <v>150</v>
      </c>
      <c r="T30" s="694" t="s">
        <v>492</v>
      </c>
      <c r="U30" s="695">
        <v>3</v>
      </c>
      <c r="V30" s="767">
        <v>450</v>
      </c>
      <c r="W30" s="803" t="s">
        <v>589</v>
      </c>
      <c r="X30" s="804"/>
      <c r="Y30" s="815">
        <v>115185</v>
      </c>
      <c r="Z30" s="682"/>
      <c r="AA30" s="682" t="s">
        <v>578</v>
      </c>
      <c r="AB30" s="816">
        <v>25705764.899999999</v>
      </c>
    </row>
    <row r="31" spans="1:28" s="690" customFormat="1" ht="11.1" customHeight="1">
      <c r="A31" s="817"/>
      <c r="B31" s="706"/>
      <c r="C31" s="706"/>
      <c r="D31" s="699">
        <v>163979</v>
      </c>
      <c r="E31" s="687" t="s">
        <v>492</v>
      </c>
      <c r="F31" s="688">
        <v>2</v>
      </c>
      <c r="G31" s="699"/>
      <c r="H31" s="696" t="s">
        <v>590</v>
      </c>
      <c r="I31" s="705" t="s">
        <v>591</v>
      </c>
      <c r="J31" s="706"/>
      <c r="K31" s="699">
        <v>200000</v>
      </c>
      <c r="L31" s="687" t="s">
        <v>492</v>
      </c>
      <c r="M31" s="688">
        <v>2</v>
      </c>
      <c r="N31" s="689">
        <v>400000</v>
      </c>
      <c r="O31" s="693"/>
      <c r="P31" s="818"/>
      <c r="Q31" s="695" t="s">
        <v>592</v>
      </c>
      <c r="R31" s="692"/>
      <c r="S31" s="694" t="s">
        <v>593</v>
      </c>
      <c r="T31" s="694" t="s">
        <v>492</v>
      </c>
      <c r="U31" s="695">
        <v>4</v>
      </c>
      <c r="V31" s="767">
        <v>1500</v>
      </c>
      <c r="W31" s="819" t="s">
        <v>1740</v>
      </c>
      <c r="X31" s="820"/>
      <c r="Y31" s="821">
        <v>115350</v>
      </c>
      <c r="Z31" s="822"/>
      <c r="AA31" s="822" t="s">
        <v>544</v>
      </c>
      <c r="AB31" s="823">
        <v>55296113.899999999</v>
      </c>
    </row>
    <row r="32" spans="1:28" s="690" customFormat="1" ht="11.1" customHeight="1">
      <c r="A32" s="743" t="s">
        <v>528</v>
      </c>
      <c r="B32" s="706"/>
      <c r="C32" s="706"/>
      <c r="D32" s="699">
        <v>150000</v>
      </c>
      <c r="E32" s="687" t="s">
        <v>492</v>
      </c>
      <c r="F32" s="688">
        <v>2</v>
      </c>
      <c r="G32" s="699"/>
      <c r="H32" s="696"/>
      <c r="I32" s="697"/>
      <c r="J32" s="698"/>
      <c r="K32" s="699"/>
      <c r="L32" s="687"/>
      <c r="M32" s="688"/>
      <c r="N32" s="689"/>
      <c r="O32" s="693"/>
      <c r="P32" s="818"/>
      <c r="Q32" s="824" t="s">
        <v>594</v>
      </c>
      <c r="R32" s="692"/>
      <c r="S32" s="687" t="s">
        <v>595</v>
      </c>
      <c r="T32" s="687" t="s">
        <v>492</v>
      </c>
      <c r="U32" s="688">
        <v>5</v>
      </c>
      <c r="V32" s="689">
        <v>4500</v>
      </c>
      <c r="W32" s="825" t="s">
        <v>1741</v>
      </c>
      <c r="X32" s="826"/>
      <c r="Y32" s="827">
        <v>116108</v>
      </c>
      <c r="Z32" s="680"/>
      <c r="AA32" s="680" t="s">
        <v>578</v>
      </c>
      <c r="AB32" s="828">
        <v>138017601.71000001</v>
      </c>
    </row>
    <row r="33" spans="1:28" s="690" customFormat="1" ht="11.1" customHeight="1">
      <c r="A33" s="743"/>
      <c r="B33" s="706"/>
      <c r="C33" s="706" t="s">
        <v>520</v>
      </c>
      <c r="D33" s="699">
        <v>182081</v>
      </c>
      <c r="E33" s="687" t="s">
        <v>492</v>
      </c>
      <c r="F33" s="688">
        <v>1</v>
      </c>
      <c r="G33" s="699">
        <v>513031</v>
      </c>
      <c r="H33" s="829"/>
      <c r="I33" s="711" t="s">
        <v>596</v>
      </c>
      <c r="J33" s="830" t="s">
        <v>515</v>
      </c>
      <c r="K33" s="713">
        <v>100000</v>
      </c>
      <c r="L33" s="714" t="s">
        <v>492</v>
      </c>
      <c r="M33" s="715">
        <v>6</v>
      </c>
      <c r="N33" s="716">
        <v>900000</v>
      </c>
      <c r="O33" s="699"/>
      <c r="P33" s="704" t="s">
        <v>500</v>
      </c>
      <c r="Q33" s="824" t="s">
        <v>597</v>
      </c>
      <c r="R33" s="692"/>
      <c r="S33" s="687" t="s">
        <v>598</v>
      </c>
      <c r="T33" s="687" t="s">
        <v>492</v>
      </c>
      <c r="U33" s="688">
        <v>3</v>
      </c>
      <c r="V33" s="689">
        <v>400</v>
      </c>
      <c r="W33" s="2922" t="s">
        <v>599</v>
      </c>
      <c r="X33" s="2923"/>
      <c r="Y33" s="2923"/>
      <c r="Z33" s="2923"/>
      <c r="AA33" s="2923"/>
      <c r="AB33" s="2924"/>
    </row>
    <row r="34" spans="1:28" s="703" customFormat="1" ht="11.1" customHeight="1">
      <c r="A34" s="743"/>
      <c r="B34" s="706"/>
      <c r="C34" s="706"/>
      <c r="D34" s="699">
        <v>180950</v>
      </c>
      <c r="E34" s="687" t="s">
        <v>492</v>
      </c>
      <c r="F34" s="688">
        <v>1</v>
      </c>
      <c r="G34" s="699"/>
      <c r="H34" s="831" t="s">
        <v>528</v>
      </c>
      <c r="I34" s="697"/>
      <c r="J34" s="698" t="s">
        <v>520</v>
      </c>
      <c r="K34" s="699">
        <v>200000</v>
      </c>
      <c r="L34" s="687" t="s">
        <v>492</v>
      </c>
      <c r="M34" s="688">
        <v>1</v>
      </c>
      <c r="N34" s="689"/>
      <c r="O34" s="699"/>
      <c r="P34" s="818"/>
      <c r="Q34" s="695" t="s">
        <v>600</v>
      </c>
      <c r="R34" s="692"/>
      <c r="S34" s="693">
        <v>80</v>
      </c>
      <c r="T34" s="694" t="s">
        <v>492</v>
      </c>
      <c r="U34" s="695">
        <v>3</v>
      </c>
      <c r="V34" s="767">
        <v>240</v>
      </c>
      <c r="W34" s="832" t="s">
        <v>601</v>
      </c>
      <c r="X34" s="833"/>
      <c r="Y34" s="833"/>
      <c r="Z34" s="833"/>
      <c r="AA34" s="833"/>
      <c r="AB34" s="834"/>
    </row>
    <row r="35" spans="1:28" s="703" customFormat="1" ht="11.1" customHeight="1">
      <c r="A35" s="743" t="s">
        <v>539</v>
      </c>
      <c r="B35" s="706"/>
      <c r="C35" s="706"/>
      <c r="D35" s="699">
        <v>150000</v>
      </c>
      <c r="E35" s="687" t="s">
        <v>492</v>
      </c>
      <c r="F35" s="688">
        <v>1</v>
      </c>
      <c r="G35" s="699"/>
      <c r="H35" s="801"/>
      <c r="I35" s="697"/>
      <c r="J35" s="698" t="s">
        <v>520</v>
      </c>
      <c r="K35" s="699">
        <v>100000</v>
      </c>
      <c r="L35" s="687" t="s">
        <v>492</v>
      </c>
      <c r="M35" s="688">
        <v>1</v>
      </c>
      <c r="N35" s="689"/>
      <c r="O35" s="699"/>
      <c r="P35" s="818"/>
      <c r="Q35" s="695" t="s">
        <v>602</v>
      </c>
      <c r="R35" s="692"/>
      <c r="S35" s="693">
        <v>250</v>
      </c>
      <c r="T35" s="694" t="s">
        <v>492</v>
      </c>
      <c r="U35" s="695">
        <v>3</v>
      </c>
      <c r="V35" s="767">
        <v>750</v>
      </c>
      <c r="W35" s="832" t="s">
        <v>603</v>
      </c>
      <c r="X35" s="833"/>
      <c r="Y35" s="833"/>
      <c r="Z35" s="833"/>
      <c r="AA35" s="833"/>
      <c r="AB35" s="834"/>
    </row>
    <row r="36" spans="1:28" s="703" customFormat="1" ht="11.1" customHeight="1">
      <c r="A36" s="743"/>
      <c r="B36" s="706" t="s">
        <v>604</v>
      </c>
      <c r="C36" s="706" t="s">
        <v>515</v>
      </c>
      <c r="D36" s="699">
        <v>167104</v>
      </c>
      <c r="E36" s="687" t="s">
        <v>492</v>
      </c>
      <c r="F36" s="688">
        <v>2</v>
      </c>
      <c r="G36" s="699">
        <v>530441</v>
      </c>
      <c r="H36" s="831" t="s">
        <v>539</v>
      </c>
      <c r="I36" s="835" t="s">
        <v>605</v>
      </c>
      <c r="J36" s="698" t="s">
        <v>515</v>
      </c>
      <c r="K36" s="699">
        <v>100000</v>
      </c>
      <c r="L36" s="687" t="s">
        <v>492</v>
      </c>
      <c r="M36" s="688">
        <v>2</v>
      </c>
      <c r="N36" s="689">
        <v>2071900</v>
      </c>
      <c r="O36" s="699"/>
      <c r="P36" s="818"/>
      <c r="Q36" s="695" t="s">
        <v>606</v>
      </c>
      <c r="R36" s="692"/>
      <c r="S36" s="694" t="s">
        <v>607</v>
      </c>
      <c r="T36" s="694" t="s">
        <v>492</v>
      </c>
      <c r="U36" s="695">
        <v>3</v>
      </c>
      <c r="V36" s="767">
        <v>260</v>
      </c>
      <c r="W36" s="832" t="s">
        <v>608</v>
      </c>
      <c r="X36" s="833"/>
      <c r="Y36" s="833"/>
      <c r="Z36" s="833"/>
      <c r="AA36" s="833"/>
      <c r="AB36" s="834"/>
    </row>
    <row r="37" spans="1:28" s="703" customFormat="1" ht="11.1" customHeight="1">
      <c r="A37" s="743"/>
      <c r="B37" s="706"/>
      <c r="C37" s="706" t="s">
        <v>520</v>
      </c>
      <c r="D37" s="699">
        <v>196233</v>
      </c>
      <c r="E37" s="687" t="s">
        <v>609</v>
      </c>
      <c r="F37" s="688">
        <v>1</v>
      </c>
      <c r="G37" s="699"/>
      <c r="H37" s="836"/>
      <c r="I37" s="708" t="s">
        <v>610</v>
      </c>
      <c r="J37" s="692" t="s">
        <v>531</v>
      </c>
      <c r="K37" s="693">
        <v>150000</v>
      </c>
      <c r="L37" s="694" t="s">
        <v>492</v>
      </c>
      <c r="M37" s="695">
        <v>4</v>
      </c>
      <c r="N37" s="767"/>
      <c r="O37" s="699"/>
      <c r="P37" s="818"/>
      <c r="Q37" s="695" t="s">
        <v>611</v>
      </c>
      <c r="R37" s="692"/>
      <c r="S37" s="693">
        <v>1300</v>
      </c>
      <c r="T37" s="694" t="s">
        <v>492</v>
      </c>
      <c r="U37" s="695">
        <v>2</v>
      </c>
      <c r="V37" s="767">
        <v>2600</v>
      </c>
      <c r="W37" s="832" t="s">
        <v>612</v>
      </c>
      <c r="X37" s="837"/>
      <c r="Y37" s="837"/>
      <c r="Z37" s="837"/>
      <c r="AA37" s="837"/>
      <c r="AB37" s="838"/>
    </row>
    <row r="38" spans="1:28" s="703" customFormat="1" ht="11.1" customHeight="1">
      <c r="A38" s="743"/>
      <c r="B38" s="706" t="s">
        <v>613</v>
      </c>
      <c r="C38" s="706" t="s">
        <v>515</v>
      </c>
      <c r="D38" s="699">
        <v>71893</v>
      </c>
      <c r="E38" s="687" t="s">
        <v>492</v>
      </c>
      <c r="F38" s="688">
        <v>2</v>
      </c>
      <c r="G38" s="839">
        <v>228734</v>
      </c>
      <c r="H38" s="831"/>
      <c r="I38" s="708"/>
      <c r="J38" s="692" t="s">
        <v>531</v>
      </c>
      <c r="K38" s="693">
        <v>286600</v>
      </c>
      <c r="L38" s="694" t="s">
        <v>492</v>
      </c>
      <c r="M38" s="695">
        <v>2</v>
      </c>
      <c r="N38" s="767"/>
      <c r="O38" s="699"/>
      <c r="P38" s="818"/>
      <c r="Q38" s="688"/>
      <c r="R38" s="706"/>
      <c r="S38" s="687" t="s">
        <v>614</v>
      </c>
      <c r="T38" s="687" t="s">
        <v>492</v>
      </c>
      <c r="U38" s="688">
        <v>2</v>
      </c>
      <c r="V38" s="689">
        <v>950</v>
      </c>
      <c r="W38" s="832" t="s">
        <v>615</v>
      </c>
      <c r="X38" s="840"/>
      <c r="Y38" s="840"/>
      <c r="Z38" s="840"/>
      <c r="AA38" s="840"/>
      <c r="AB38" s="841"/>
    </row>
    <row r="39" spans="1:28" s="703" customFormat="1" ht="11.1" customHeight="1">
      <c r="A39" s="743"/>
      <c r="B39" s="705"/>
      <c r="C39" s="699" t="s">
        <v>520</v>
      </c>
      <c r="D39" s="699">
        <v>42474</v>
      </c>
      <c r="E39" s="687" t="s">
        <v>492</v>
      </c>
      <c r="F39" s="688">
        <v>2</v>
      </c>
      <c r="G39" s="839"/>
      <c r="H39" s="831"/>
      <c r="I39" s="708"/>
      <c r="J39" s="692" t="s">
        <v>551</v>
      </c>
      <c r="K39" s="693">
        <v>100000</v>
      </c>
      <c r="L39" s="694" t="s">
        <v>492</v>
      </c>
      <c r="M39" s="695">
        <v>1</v>
      </c>
      <c r="N39" s="767"/>
      <c r="O39" s="699"/>
      <c r="P39" s="704" t="s">
        <v>331</v>
      </c>
      <c r="Q39" s="688" t="s">
        <v>616</v>
      </c>
      <c r="R39" s="706"/>
      <c r="S39" s="687" t="s">
        <v>617</v>
      </c>
      <c r="T39" s="687" t="s">
        <v>492</v>
      </c>
      <c r="U39" s="688">
        <v>4</v>
      </c>
      <c r="V39" s="689">
        <v>390</v>
      </c>
      <c r="W39" s="832" t="s">
        <v>618</v>
      </c>
      <c r="X39" s="842"/>
      <c r="Y39" s="842"/>
      <c r="Z39" s="842"/>
      <c r="AA39" s="842"/>
      <c r="AB39" s="843"/>
    </row>
    <row r="40" spans="1:28" s="703" customFormat="1" ht="11.1" customHeight="1">
      <c r="A40" s="743"/>
      <c r="B40" s="706" t="s">
        <v>619</v>
      </c>
      <c r="C40" s="706" t="s">
        <v>515</v>
      </c>
      <c r="D40" s="699">
        <v>241298</v>
      </c>
      <c r="E40" s="687" t="s">
        <v>492</v>
      </c>
      <c r="F40" s="688">
        <v>2</v>
      </c>
      <c r="G40" s="812">
        <v>738346</v>
      </c>
      <c r="H40" s="738"/>
      <c r="I40" s="844"/>
      <c r="J40" s="706" t="s">
        <v>551</v>
      </c>
      <c r="K40" s="693">
        <v>150000</v>
      </c>
      <c r="L40" s="694" t="s">
        <v>492</v>
      </c>
      <c r="M40" s="688">
        <v>2</v>
      </c>
      <c r="N40" s="767"/>
      <c r="O40" s="699"/>
      <c r="P40" s="704"/>
      <c r="Q40" s="688" t="s">
        <v>620</v>
      </c>
      <c r="R40" s="706"/>
      <c r="S40" s="687" t="s">
        <v>621</v>
      </c>
      <c r="T40" s="687" t="s">
        <v>492</v>
      </c>
      <c r="U40" s="688">
        <v>7</v>
      </c>
      <c r="V40" s="689">
        <v>2900</v>
      </c>
      <c r="W40" s="832" t="s">
        <v>622</v>
      </c>
      <c r="X40" s="842"/>
      <c r="Y40" s="842"/>
      <c r="Z40" s="842"/>
      <c r="AA40" s="842"/>
      <c r="AB40" s="843"/>
    </row>
    <row r="41" spans="1:28" s="703" customFormat="1" ht="11.1" customHeight="1">
      <c r="A41" s="743"/>
      <c r="B41" s="706"/>
      <c r="C41" s="706" t="s">
        <v>520</v>
      </c>
      <c r="D41" s="699">
        <v>127875</v>
      </c>
      <c r="E41" s="687" t="s">
        <v>492</v>
      </c>
      <c r="F41" s="688">
        <v>2</v>
      </c>
      <c r="G41" s="812"/>
      <c r="H41" s="845"/>
      <c r="I41" s="846"/>
      <c r="J41" s="727" t="s">
        <v>551</v>
      </c>
      <c r="K41" s="727">
        <v>298700</v>
      </c>
      <c r="L41" s="748" t="s">
        <v>492</v>
      </c>
      <c r="M41" s="749">
        <v>1</v>
      </c>
      <c r="N41" s="847"/>
      <c r="O41" s="699"/>
      <c r="P41" s="817"/>
      <c r="Q41" s="688" t="s">
        <v>623</v>
      </c>
      <c r="R41" s="706"/>
      <c r="S41" s="687" t="s">
        <v>624</v>
      </c>
      <c r="T41" s="687" t="s">
        <v>492</v>
      </c>
      <c r="U41" s="688">
        <v>3</v>
      </c>
      <c r="V41" s="689">
        <v>160</v>
      </c>
      <c r="W41" s="832" t="s">
        <v>625</v>
      </c>
      <c r="X41" s="848"/>
      <c r="Y41" s="849"/>
      <c r="Z41" s="849"/>
      <c r="AA41" s="849"/>
      <c r="AB41" s="850"/>
    </row>
    <row r="42" spans="1:28" s="703" customFormat="1" ht="11.1" customHeight="1">
      <c r="A42" s="851" t="s">
        <v>477</v>
      </c>
      <c r="B42" s="732" t="s">
        <v>626</v>
      </c>
      <c r="C42" s="732"/>
      <c r="D42" s="733">
        <v>40000</v>
      </c>
      <c r="E42" s="852" t="s">
        <v>492</v>
      </c>
      <c r="F42" s="794">
        <v>2</v>
      </c>
      <c r="G42" s="853">
        <v>80000</v>
      </c>
      <c r="H42" s="854" t="s">
        <v>548</v>
      </c>
      <c r="I42" s="855" t="s">
        <v>565</v>
      </c>
      <c r="J42" s="856"/>
      <c r="K42" s="857"/>
      <c r="L42" s="687"/>
      <c r="M42" s="695">
        <v>49</v>
      </c>
      <c r="N42" s="767">
        <v>72907.37</v>
      </c>
      <c r="O42" s="858"/>
      <c r="P42" s="817"/>
      <c r="Q42" s="688" t="s">
        <v>627</v>
      </c>
      <c r="R42" s="706"/>
      <c r="S42" s="699">
        <v>100</v>
      </c>
      <c r="T42" s="687" t="s">
        <v>492</v>
      </c>
      <c r="U42" s="688">
        <v>3</v>
      </c>
      <c r="V42" s="689">
        <v>300</v>
      </c>
      <c r="W42" s="832" t="s">
        <v>628</v>
      </c>
      <c r="X42" s="859"/>
      <c r="Y42" s="859"/>
      <c r="Z42" s="860"/>
      <c r="AA42" s="859"/>
      <c r="AB42" s="861"/>
    </row>
    <row r="43" spans="1:28" s="703" customFormat="1" ht="11.1" customHeight="1">
      <c r="A43" s="684"/>
      <c r="B43" s="706" t="s">
        <v>188</v>
      </c>
      <c r="C43" s="706"/>
      <c r="D43" s="699"/>
      <c r="E43" s="687"/>
      <c r="F43" s="688">
        <v>4</v>
      </c>
      <c r="G43" s="699">
        <v>15086</v>
      </c>
      <c r="H43" s="854" t="s">
        <v>552</v>
      </c>
      <c r="I43" s="862" t="s">
        <v>194</v>
      </c>
      <c r="J43" s="692"/>
      <c r="K43" s="693"/>
      <c r="L43" s="687"/>
      <c r="M43" s="695">
        <v>1</v>
      </c>
      <c r="N43" s="767">
        <v>3000</v>
      </c>
      <c r="O43" s="858"/>
      <c r="P43" s="817"/>
      <c r="Q43" s="824" t="s">
        <v>629</v>
      </c>
      <c r="R43" s="706"/>
      <c r="S43" s="687" t="s">
        <v>630</v>
      </c>
      <c r="T43" s="687" t="s">
        <v>492</v>
      </c>
      <c r="U43" s="688">
        <v>3</v>
      </c>
      <c r="V43" s="689">
        <v>700</v>
      </c>
      <c r="W43" s="832" t="s">
        <v>631</v>
      </c>
      <c r="X43" s="859"/>
      <c r="Y43" s="859"/>
      <c r="Z43" s="860"/>
      <c r="AA43" s="859"/>
      <c r="AB43" s="861"/>
    </row>
    <row r="44" spans="1:28" s="703" customFormat="1" ht="11.1" customHeight="1">
      <c r="A44" s="684" t="s">
        <v>632</v>
      </c>
      <c r="B44" s="706" t="s">
        <v>565</v>
      </c>
      <c r="C44" s="706"/>
      <c r="D44" s="699"/>
      <c r="E44" s="687"/>
      <c r="F44" s="688">
        <v>21</v>
      </c>
      <c r="G44" s="699">
        <v>20753</v>
      </c>
      <c r="H44" s="854" t="s">
        <v>557</v>
      </c>
      <c r="I44" s="682" t="s">
        <v>141</v>
      </c>
      <c r="J44" s="692"/>
      <c r="K44" s="693"/>
      <c r="L44" s="687"/>
      <c r="M44" s="695">
        <v>7</v>
      </c>
      <c r="N44" s="767">
        <v>74680</v>
      </c>
      <c r="O44" s="863"/>
      <c r="P44" s="817"/>
      <c r="Q44" s="824" t="s">
        <v>633</v>
      </c>
      <c r="R44" s="706"/>
      <c r="S44" s="699">
        <v>150</v>
      </c>
      <c r="T44" s="687" t="s">
        <v>492</v>
      </c>
      <c r="U44" s="688">
        <v>3</v>
      </c>
      <c r="V44" s="689">
        <v>450</v>
      </c>
      <c r="W44" s="832" t="s">
        <v>634</v>
      </c>
      <c r="X44" s="864"/>
      <c r="Y44" s="864"/>
      <c r="Z44" s="864"/>
      <c r="AA44" s="864"/>
      <c r="AB44" s="865"/>
    </row>
    <row r="45" spans="1:28" s="703" customFormat="1" ht="11.1" customHeight="1">
      <c r="A45" s="743" t="s">
        <v>635</v>
      </c>
      <c r="B45" s="699" t="s">
        <v>194</v>
      </c>
      <c r="C45" s="706"/>
      <c r="D45" s="699"/>
      <c r="E45" s="687"/>
      <c r="F45" s="688">
        <v>4</v>
      </c>
      <c r="G45" s="699">
        <v>32800</v>
      </c>
      <c r="H45" s="866"/>
      <c r="I45" s="682"/>
      <c r="J45" s="867"/>
      <c r="K45" s="868"/>
      <c r="L45" s="687"/>
      <c r="M45" s="695"/>
      <c r="N45" s="767"/>
      <c r="O45" s="699"/>
      <c r="P45" s="817"/>
      <c r="Q45" s="824" t="s">
        <v>636</v>
      </c>
      <c r="R45" s="706"/>
      <c r="S45" s="699">
        <v>80</v>
      </c>
      <c r="T45" s="687" t="s">
        <v>492</v>
      </c>
      <c r="U45" s="688">
        <v>3</v>
      </c>
      <c r="V45" s="689">
        <v>240</v>
      </c>
      <c r="W45" s="832" t="s">
        <v>637</v>
      </c>
      <c r="X45" s="864"/>
      <c r="Y45" s="864"/>
      <c r="Z45" s="864"/>
      <c r="AA45" s="864"/>
      <c r="AB45" s="865"/>
    </row>
    <row r="46" spans="1:28" s="703" customFormat="1" ht="11.1" customHeight="1">
      <c r="A46" s="743" t="s">
        <v>638</v>
      </c>
      <c r="B46" s="737" t="s">
        <v>141</v>
      </c>
      <c r="C46" s="706"/>
      <c r="D46" s="699"/>
      <c r="E46" s="687"/>
      <c r="F46" s="688">
        <v>4</v>
      </c>
      <c r="G46" s="699">
        <v>50440</v>
      </c>
      <c r="H46" s="2925" t="s">
        <v>561</v>
      </c>
      <c r="I46" s="2926"/>
      <c r="J46" s="755"/>
      <c r="K46" s="756">
        <v>89</v>
      </c>
      <c r="L46" s="757"/>
      <c r="M46" s="758" t="s">
        <v>544</v>
      </c>
      <c r="N46" s="785">
        <v>9562487.3699999992</v>
      </c>
      <c r="O46" s="699"/>
      <c r="P46" s="817"/>
      <c r="Q46" s="824" t="s">
        <v>639</v>
      </c>
      <c r="R46" s="706"/>
      <c r="S46" s="687" t="s">
        <v>640</v>
      </c>
      <c r="T46" s="687" t="s">
        <v>492</v>
      </c>
      <c r="U46" s="688">
        <v>8</v>
      </c>
      <c r="V46" s="689">
        <v>15000</v>
      </c>
      <c r="W46" s="832" t="s">
        <v>641</v>
      </c>
      <c r="X46" s="869"/>
      <c r="Y46" s="869"/>
      <c r="Z46" s="869"/>
      <c r="AA46" s="869"/>
      <c r="AB46" s="870"/>
    </row>
    <row r="47" spans="1:28" s="703" customFormat="1" ht="11.1" customHeight="1">
      <c r="A47" s="743"/>
      <c r="B47" s="737" t="s">
        <v>642</v>
      </c>
      <c r="C47" s="706"/>
      <c r="D47" s="699">
        <v>75000</v>
      </c>
      <c r="E47" s="687" t="s">
        <v>492</v>
      </c>
      <c r="F47" s="688">
        <v>2</v>
      </c>
      <c r="G47" s="699">
        <v>150000</v>
      </c>
      <c r="H47" s="2921" t="s">
        <v>489</v>
      </c>
      <c r="I47" s="2920"/>
      <c r="J47" s="2920"/>
      <c r="K47" s="2920"/>
      <c r="L47" s="2920"/>
      <c r="M47" s="2920"/>
      <c r="N47" s="871">
        <v>0.21756956785189743</v>
      </c>
      <c r="O47" s="693"/>
      <c r="P47" s="704" t="s">
        <v>536</v>
      </c>
      <c r="Q47" s="824" t="s">
        <v>643</v>
      </c>
      <c r="R47" s="706"/>
      <c r="S47" s="687">
        <v>150</v>
      </c>
      <c r="T47" s="687" t="s">
        <v>492</v>
      </c>
      <c r="U47" s="688">
        <v>3</v>
      </c>
      <c r="V47" s="689">
        <v>450</v>
      </c>
      <c r="W47" s="832" t="s">
        <v>644</v>
      </c>
      <c r="X47" s="869"/>
      <c r="Y47" s="869"/>
      <c r="Z47" s="869"/>
      <c r="AA47" s="869"/>
      <c r="AB47" s="870"/>
    </row>
    <row r="48" spans="1:28" s="703" customFormat="1" ht="11.1" customHeight="1">
      <c r="A48" s="739" t="s">
        <v>500</v>
      </c>
      <c r="B48" s="712" t="s">
        <v>432</v>
      </c>
      <c r="C48" s="712"/>
      <c r="D48" s="713"/>
      <c r="E48" s="714"/>
      <c r="F48" s="715">
        <v>1</v>
      </c>
      <c r="G48" s="808">
        <v>10000</v>
      </c>
      <c r="H48" s="872"/>
      <c r="I48" s="695" t="s">
        <v>645</v>
      </c>
      <c r="J48" s="706"/>
      <c r="K48" s="699">
        <v>650000</v>
      </c>
      <c r="L48" s="699" t="s">
        <v>492</v>
      </c>
      <c r="M48" s="688">
        <v>1</v>
      </c>
      <c r="N48" s="689">
        <v>2550000</v>
      </c>
      <c r="O48" s="693"/>
      <c r="P48" s="704"/>
      <c r="Q48" s="824" t="s">
        <v>646</v>
      </c>
      <c r="R48" s="699"/>
      <c r="S48" s="699">
        <v>80</v>
      </c>
      <c r="T48" s="687" t="s">
        <v>492</v>
      </c>
      <c r="U48" s="688">
        <v>3</v>
      </c>
      <c r="V48" s="689">
        <v>240</v>
      </c>
      <c r="W48" s="832" t="s">
        <v>647</v>
      </c>
      <c r="X48" s="864"/>
      <c r="Y48" s="864"/>
      <c r="Z48" s="864"/>
      <c r="AA48" s="864"/>
      <c r="AB48" s="865"/>
    </row>
    <row r="49" spans="1:28" s="690" customFormat="1" ht="11.1" customHeight="1">
      <c r="A49" s="873" t="s">
        <v>331</v>
      </c>
      <c r="B49" s="747"/>
      <c r="C49" s="747"/>
      <c r="D49" s="727"/>
      <c r="E49" s="748"/>
      <c r="F49" s="749"/>
      <c r="G49" s="800"/>
      <c r="H49" s="717" t="s">
        <v>648</v>
      </c>
      <c r="I49" s="688"/>
      <c r="J49" s="706"/>
      <c r="K49" s="699">
        <v>950000</v>
      </c>
      <c r="L49" s="699" t="s">
        <v>492</v>
      </c>
      <c r="M49" s="688">
        <v>2</v>
      </c>
      <c r="N49" s="689"/>
      <c r="O49" s="693"/>
      <c r="P49" s="704"/>
      <c r="Q49" s="824" t="s">
        <v>649</v>
      </c>
      <c r="R49" s="682"/>
      <c r="S49" s="874" t="s">
        <v>650</v>
      </c>
      <c r="T49" s="687" t="s">
        <v>492</v>
      </c>
      <c r="U49" s="688">
        <v>4</v>
      </c>
      <c r="V49" s="689">
        <v>1600</v>
      </c>
      <c r="W49" s="832" t="s">
        <v>651</v>
      </c>
      <c r="X49" s="773"/>
      <c r="Y49" s="773"/>
      <c r="Z49" s="773"/>
      <c r="AA49" s="773"/>
      <c r="AB49" s="775"/>
    </row>
    <row r="50" spans="1:28" s="690" customFormat="1" ht="11.1" customHeight="1">
      <c r="A50" s="754" t="s">
        <v>561</v>
      </c>
      <c r="B50" s="770"/>
      <c r="C50" s="755"/>
      <c r="D50" s="756">
        <v>76</v>
      </c>
      <c r="E50" s="757"/>
      <c r="F50" s="758" t="s">
        <v>544</v>
      </c>
      <c r="G50" s="755">
        <v>10775105</v>
      </c>
      <c r="H50" s="717"/>
      <c r="I50" s="688" t="s">
        <v>652</v>
      </c>
      <c r="J50" s="706"/>
      <c r="K50" s="699">
        <v>1000000</v>
      </c>
      <c r="L50" s="699" t="s">
        <v>492</v>
      </c>
      <c r="M50" s="688">
        <v>2</v>
      </c>
      <c r="N50" s="689">
        <v>4800000</v>
      </c>
      <c r="O50" s="693"/>
      <c r="P50" s="875"/>
      <c r="Q50" s="824" t="s">
        <v>653</v>
      </c>
      <c r="R50" s="706"/>
      <c r="S50" s="699">
        <v>80</v>
      </c>
      <c r="T50" s="687" t="s">
        <v>492</v>
      </c>
      <c r="U50" s="688">
        <v>3</v>
      </c>
      <c r="V50" s="709">
        <v>240</v>
      </c>
      <c r="W50" s="832" t="s">
        <v>654</v>
      </c>
      <c r="X50" s="773"/>
      <c r="Y50" s="773"/>
      <c r="Z50" s="773"/>
      <c r="AA50" s="773"/>
      <c r="AB50" s="775"/>
    </row>
    <row r="51" spans="1:28" s="703" customFormat="1" ht="11.1" customHeight="1">
      <c r="A51" s="2919" t="s">
        <v>655</v>
      </c>
      <c r="B51" s="2920"/>
      <c r="C51" s="2920"/>
      <c r="D51" s="2920"/>
      <c r="E51" s="2920"/>
      <c r="F51" s="2920"/>
      <c r="G51" s="668">
        <v>8.3344363091961735E-2</v>
      </c>
      <c r="H51" s="717" t="s">
        <v>388</v>
      </c>
      <c r="I51" s="688"/>
      <c r="J51" s="706"/>
      <c r="K51" s="699">
        <v>1400000</v>
      </c>
      <c r="L51" s="699" t="s">
        <v>492</v>
      </c>
      <c r="M51" s="688">
        <v>2</v>
      </c>
      <c r="N51" s="689"/>
      <c r="O51" s="876"/>
      <c r="P51" s="875"/>
      <c r="Q51" s="824" t="s">
        <v>656</v>
      </c>
      <c r="R51" s="706"/>
      <c r="S51" s="687" t="s">
        <v>657</v>
      </c>
      <c r="T51" s="687" t="s">
        <v>492</v>
      </c>
      <c r="U51" s="688">
        <v>3</v>
      </c>
      <c r="V51" s="709">
        <v>160</v>
      </c>
      <c r="W51" s="832" t="s">
        <v>658</v>
      </c>
      <c r="X51" s="864"/>
      <c r="Y51" s="864"/>
      <c r="Z51" s="864"/>
      <c r="AA51" s="864"/>
      <c r="AB51" s="865"/>
    </row>
    <row r="52" spans="1:28" s="703" customFormat="1" ht="11.1" customHeight="1">
      <c r="A52" s="741" t="s">
        <v>500</v>
      </c>
      <c r="B52" s="705" t="s">
        <v>659</v>
      </c>
      <c r="C52" s="706"/>
      <c r="D52" s="699">
        <v>500000</v>
      </c>
      <c r="E52" s="687" t="s">
        <v>492</v>
      </c>
      <c r="F52" s="688">
        <v>8</v>
      </c>
      <c r="G52" s="877">
        <v>4000000</v>
      </c>
      <c r="H52" s="717"/>
      <c r="I52" s="688" t="s">
        <v>660</v>
      </c>
      <c r="J52" s="706"/>
      <c r="K52" s="699">
        <v>700000</v>
      </c>
      <c r="L52" s="699" t="s">
        <v>492</v>
      </c>
      <c r="M52" s="688">
        <v>3</v>
      </c>
      <c r="N52" s="689">
        <v>2100000</v>
      </c>
      <c r="O52" s="858"/>
      <c r="P52" s="704"/>
      <c r="Q52" s="824" t="s">
        <v>661</v>
      </c>
      <c r="R52" s="682"/>
      <c r="S52" s="687" t="s">
        <v>662</v>
      </c>
      <c r="T52" s="687" t="s">
        <v>492</v>
      </c>
      <c r="U52" s="688">
        <v>3</v>
      </c>
      <c r="V52" s="689">
        <v>600</v>
      </c>
      <c r="W52" s="832" t="s">
        <v>663</v>
      </c>
      <c r="X52" s="864"/>
      <c r="Y52" s="864"/>
      <c r="Z52" s="864"/>
      <c r="AA52" s="864"/>
      <c r="AB52" s="865"/>
    </row>
    <row r="53" spans="1:28" s="703" customFormat="1" ht="11.1" customHeight="1">
      <c r="A53" s="741"/>
      <c r="B53" s="705"/>
      <c r="C53" s="706"/>
      <c r="D53" s="699">
        <v>1050000</v>
      </c>
      <c r="E53" s="687" t="s">
        <v>492</v>
      </c>
      <c r="F53" s="688">
        <v>2</v>
      </c>
      <c r="G53" s="839">
        <v>2100000</v>
      </c>
      <c r="H53" s="717" t="s">
        <v>510</v>
      </c>
      <c r="I53" s="688"/>
      <c r="J53" s="706"/>
      <c r="K53" s="699"/>
      <c r="L53" s="699"/>
      <c r="M53" s="688"/>
      <c r="N53" s="689"/>
      <c r="O53" s="702"/>
      <c r="P53" s="704" t="s">
        <v>465</v>
      </c>
      <c r="Q53" s="824" t="s">
        <v>664</v>
      </c>
      <c r="R53" s="677"/>
      <c r="S53" s="699">
        <v>800</v>
      </c>
      <c r="T53" s="687" t="s">
        <v>492</v>
      </c>
      <c r="U53" s="688">
        <v>3</v>
      </c>
      <c r="V53" s="689">
        <v>2400</v>
      </c>
      <c r="W53" s="832" t="s">
        <v>665</v>
      </c>
      <c r="X53" s="864"/>
      <c r="Y53" s="864"/>
      <c r="Z53" s="864"/>
      <c r="AA53" s="864"/>
      <c r="AB53" s="865"/>
    </row>
    <row r="54" spans="1:28" s="703" customFormat="1" ht="11.1" customHeight="1">
      <c r="A54" s="873" t="s">
        <v>510</v>
      </c>
      <c r="B54" s="746" t="s">
        <v>666</v>
      </c>
      <c r="C54" s="747"/>
      <c r="D54" s="727">
        <v>350000</v>
      </c>
      <c r="E54" s="748" t="s">
        <v>492</v>
      </c>
      <c r="F54" s="749">
        <v>4</v>
      </c>
      <c r="G54" s="727">
        <v>1400000</v>
      </c>
      <c r="H54" s="717"/>
      <c r="I54" s="688" t="s">
        <v>667</v>
      </c>
      <c r="J54" s="706"/>
      <c r="K54" s="699">
        <v>1000000</v>
      </c>
      <c r="L54" s="699" t="s">
        <v>492</v>
      </c>
      <c r="M54" s="688">
        <v>2</v>
      </c>
      <c r="N54" s="689">
        <v>2000000</v>
      </c>
      <c r="O54" s="702"/>
      <c r="P54" s="704"/>
      <c r="Q54" s="824" t="s">
        <v>668</v>
      </c>
      <c r="R54" s="677"/>
      <c r="S54" s="699">
        <v>100</v>
      </c>
      <c r="T54" s="687" t="s">
        <v>492</v>
      </c>
      <c r="U54" s="688">
        <v>3</v>
      </c>
      <c r="V54" s="689">
        <v>300</v>
      </c>
      <c r="W54" s="832" t="s">
        <v>669</v>
      </c>
      <c r="X54" s="864"/>
      <c r="Y54" s="864"/>
      <c r="Z54" s="864"/>
      <c r="AA54" s="864"/>
      <c r="AB54" s="865"/>
    </row>
    <row r="55" spans="1:28" s="703" customFormat="1" ht="11.1" customHeight="1">
      <c r="A55" s="741"/>
      <c r="B55" s="705" t="s">
        <v>666</v>
      </c>
      <c r="C55" s="706" t="s">
        <v>515</v>
      </c>
      <c r="D55" s="699">
        <v>286300</v>
      </c>
      <c r="E55" s="687" t="s">
        <v>492</v>
      </c>
      <c r="F55" s="688">
        <v>2</v>
      </c>
      <c r="G55" s="699">
        <v>868500</v>
      </c>
      <c r="H55" s="717"/>
      <c r="I55" s="688" t="s">
        <v>670</v>
      </c>
      <c r="J55" s="706"/>
      <c r="K55" s="699">
        <v>950000</v>
      </c>
      <c r="L55" s="699" t="s">
        <v>492</v>
      </c>
      <c r="M55" s="688">
        <v>2</v>
      </c>
      <c r="N55" s="689">
        <v>5900000</v>
      </c>
      <c r="O55" s="702"/>
      <c r="P55" s="875"/>
      <c r="Q55" s="685" t="s">
        <v>671</v>
      </c>
      <c r="R55" s="706"/>
      <c r="S55" s="874">
        <v>100</v>
      </c>
      <c r="T55" s="687" t="s">
        <v>492</v>
      </c>
      <c r="U55" s="688">
        <v>3</v>
      </c>
      <c r="V55" s="689">
        <v>300</v>
      </c>
      <c r="W55" s="832" t="s">
        <v>672</v>
      </c>
      <c r="X55" s="864"/>
      <c r="Y55" s="864"/>
      <c r="Z55" s="864"/>
      <c r="AA55" s="864"/>
      <c r="AB55" s="865"/>
    </row>
    <row r="56" spans="1:28" s="703" customFormat="1" ht="11.1" customHeight="1">
      <c r="A56" s="741" t="s">
        <v>528</v>
      </c>
      <c r="B56" s="705"/>
      <c r="C56" s="706" t="s">
        <v>520</v>
      </c>
      <c r="D56" s="699">
        <v>295900</v>
      </c>
      <c r="E56" s="687" t="s">
        <v>492</v>
      </c>
      <c r="F56" s="688">
        <v>1</v>
      </c>
      <c r="G56" s="699"/>
      <c r="H56" s="738"/>
      <c r="I56" s="688"/>
      <c r="J56" s="706"/>
      <c r="K56" s="699">
        <v>1000000</v>
      </c>
      <c r="L56" s="699" t="s">
        <v>492</v>
      </c>
      <c r="M56" s="688">
        <v>4</v>
      </c>
      <c r="N56" s="689"/>
      <c r="O56" s="702"/>
      <c r="P56" s="704"/>
      <c r="Q56" s="824" t="s">
        <v>673</v>
      </c>
      <c r="R56" s="682"/>
      <c r="S56" s="687" t="s">
        <v>657</v>
      </c>
      <c r="T56" s="687" t="s">
        <v>492</v>
      </c>
      <c r="U56" s="688">
        <v>3</v>
      </c>
      <c r="V56" s="689">
        <v>160</v>
      </c>
      <c r="W56" s="832" t="s">
        <v>674</v>
      </c>
      <c r="X56" s="864"/>
      <c r="Y56" s="864"/>
      <c r="Z56" s="864"/>
      <c r="AA56" s="864"/>
      <c r="AB56" s="865"/>
    </row>
    <row r="57" spans="1:28" s="703" customFormat="1" ht="11.1" customHeight="1">
      <c r="A57" s="741"/>
      <c r="B57" s="705" t="s">
        <v>675</v>
      </c>
      <c r="C57" s="706" t="s">
        <v>515</v>
      </c>
      <c r="D57" s="699">
        <v>150000</v>
      </c>
      <c r="E57" s="687" t="s">
        <v>492</v>
      </c>
      <c r="F57" s="688">
        <v>8</v>
      </c>
      <c r="G57" s="812">
        <v>1800000</v>
      </c>
      <c r="H57" s="738"/>
      <c r="I57" s="688" t="s">
        <v>676</v>
      </c>
      <c r="J57" s="706"/>
      <c r="K57" s="699">
        <v>950000</v>
      </c>
      <c r="L57" s="699" t="s">
        <v>492</v>
      </c>
      <c r="M57" s="688">
        <v>2</v>
      </c>
      <c r="N57" s="689">
        <v>5900000</v>
      </c>
      <c r="O57" s="702"/>
      <c r="P57" s="704"/>
      <c r="Q57" s="685" t="s">
        <v>677</v>
      </c>
      <c r="R57" s="677"/>
      <c r="S57" s="694">
        <v>80</v>
      </c>
      <c r="T57" s="687" t="s">
        <v>492</v>
      </c>
      <c r="U57" s="695">
        <v>3</v>
      </c>
      <c r="V57" s="767">
        <v>240</v>
      </c>
      <c r="W57" s="832" t="s">
        <v>678</v>
      </c>
      <c r="X57" s="864"/>
      <c r="Y57" s="864"/>
      <c r="Z57" s="864"/>
      <c r="AA57" s="864"/>
      <c r="AB57" s="865"/>
    </row>
    <row r="58" spans="1:28" s="703" customFormat="1" ht="11.1" customHeight="1">
      <c r="A58" s="878"/>
      <c r="B58" s="705"/>
      <c r="C58" s="706" t="s">
        <v>520</v>
      </c>
      <c r="D58" s="699">
        <v>75000</v>
      </c>
      <c r="E58" s="687" t="s">
        <v>492</v>
      </c>
      <c r="F58" s="688">
        <v>8</v>
      </c>
      <c r="G58" s="812"/>
      <c r="H58" s="738"/>
      <c r="I58" s="688"/>
      <c r="J58" s="706"/>
      <c r="K58" s="699">
        <v>1000000</v>
      </c>
      <c r="L58" s="699" t="s">
        <v>492</v>
      </c>
      <c r="M58" s="688">
        <v>4</v>
      </c>
      <c r="N58" s="689"/>
      <c r="O58" s="682"/>
      <c r="P58" s="704"/>
      <c r="Q58" s="685" t="s">
        <v>679</v>
      </c>
      <c r="R58" s="677"/>
      <c r="S58" s="694" t="s">
        <v>680</v>
      </c>
      <c r="T58" s="687" t="s">
        <v>492</v>
      </c>
      <c r="U58" s="695">
        <v>6</v>
      </c>
      <c r="V58" s="767">
        <v>1950</v>
      </c>
      <c r="W58" s="832" t="s">
        <v>681</v>
      </c>
      <c r="X58" s="773"/>
      <c r="Y58" s="773"/>
      <c r="Z58" s="773"/>
      <c r="AA58" s="773"/>
      <c r="AB58" s="775"/>
    </row>
    <row r="59" spans="1:28" s="703" customFormat="1" ht="11.1" customHeight="1">
      <c r="A59" s="741" t="s">
        <v>539</v>
      </c>
      <c r="B59" s="705" t="s">
        <v>682</v>
      </c>
      <c r="C59" s="706" t="s">
        <v>515</v>
      </c>
      <c r="D59" s="699">
        <v>233300</v>
      </c>
      <c r="E59" s="687" t="s">
        <v>492</v>
      </c>
      <c r="F59" s="688">
        <v>2</v>
      </c>
      <c r="G59" s="699">
        <v>718400</v>
      </c>
      <c r="H59" s="738"/>
      <c r="I59" s="688" t="s">
        <v>683</v>
      </c>
      <c r="J59" s="706"/>
      <c r="K59" s="699">
        <v>1400000</v>
      </c>
      <c r="L59" s="699" t="s">
        <v>684</v>
      </c>
      <c r="M59" s="688">
        <v>1</v>
      </c>
      <c r="N59" s="689">
        <v>1400000</v>
      </c>
      <c r="O59" s="682"/>
      <c r="P59" s="879"/>
      <c r="Q59" s="685" t="s">
        <v>685</v>
      </c>
      <c r="R59" s="772"/>
      <c r="S59" s="694">
        <v>250</v>
      </c>
      <c r="T59" s="687" t="s">
        <v>492</v>
      </c>
      <c r="U59" s="695">
        <v>3</v>
      </c>
      <c r="V59" s="767">
        <v>750</v>
      </c>
      <c r="W59" s="832" t="s">
        <v>686</v>
      </c>
      <c r="X59" s="773"/>
      <c r="Y59" s="773"/>
      <c r="Z59" s="773"/>
      <c r="AA59" s="773"/>
      <c r="AB59" s="775"/>
    </row>
    <row r="60" spans="1:28" s="703" customFormat="1" ht="11.1" customHeight="1">
      <c r="A60" s="880"/>
      <c r="B60" s="746"/>
      <c r="C60" s="747" t="s">
        <v>520</v>
      </c>
      <c r="D60" s="727">
        <v>251800</v>
      </c>
      <c r="E60" s="748" t="s">
        <v>492</v>
      </c>
      <c r="F60" s="749">
        <v>1</v>
      </c>
      <c r="G60" s="727"/>
      <c r="H60" s="745"/>
      <c r="I60" s="881" t="s">
        <v>687</v>
      </c>
      <c r="J60" s="882"/>
      <c r="K60" s="883">
        <v>25</v>
      </c>
      <c r="L60" s="883"/>
      <c r="M60" s="794" t="s">
        <v>544</v>
      </c>
      <c r="N60" s="884">
        <v>24650000</v>
      </c>
      <c r="O60" s="702"/>
      <c r="P60" s="885"/>
      <c r="Q60" s="685" t="s">
        <v>688</v>
      </c>
      <c r="R60" s="886"/>
      <c r="S60" s="694">
        <v>80</v>
      </c>
      <c r="T60" s="687" t="s">
        <v>492</v>
      </c>
      <c r="U60" s="695">
        <v>3</v>
      </c>
      <c r="V60" s="767">
        <v>240</v>
      </c>
      <c r="W60" s="832" t="s">
        <v>689</v>
      </c>
      <c r="X60" s="773"/>
      <c r="Y60" s="773"/>
      <c r="Z60" s="773"/>
      <c r="AA60" s="773"/>
      <c r="AB60" s="775"/>
    </row>
    <row r="61" spans="1:28" s="703" customFormat="1" ht="11.1" customHeight="1">
      <c r="A61" s="887"/>
      <c r="B61" s="711" t="s">
        <v>690</v>
      </c>
      <c r="C61" s="712"/>
      <c r="D61" s="713">
        <v>346330</v>
      </c>
      <c r="E61" s="714" t="s">
        <v>492</v>
      </c>
      <c r="F61" s="715">
        <v>1</v>
      </c>
      <c r="G61" s="808">
        <v>346330</v>
      </c>
      <c r="H61" s="888"/>
      <c r="I61" s="699" t="s">
        <v>691</v>
      </c>
      <c r="J61" s="889"/>
      <c r="K61" s="713">
        <v>300000</v>
      </c>
      <c r="L61" s="721" t="s">
        <v>492</v>
      </c>
      <c r="M61" s="715">
        <v>2</v>
      </c>
      <c r="N61" s="890">
        <v>600000</v>
      </c>
      <c r="O61" s="702"/>
      <c r="P61" s="879"/>
      <c r="Q61" s="855" t="s">
        <v>692</v>
      </c>
      <c r="R61" s="886"/>
      <c r="S61" s="694" t="s">
        <v>657</v>
      </c>
      <c r="T61" s="687" t="s">
        <v>492</v>
      </c>
      <c r="U61" s="695">
        <v>3</v>
      </c>
      <c r="V61" s="767">
        <v>160</v>
      </c>
      <c r="W61" s="832" t="s">
        <v>693</v>
      </c>
      <c r="X61" s="773"/>
      <c r="Y61" s="773"/>
      <c r="Z61" s="773"/>
      <c r="AA61" s="773"/>
      <c r="AB61" s="775"/>
    </row>
    <row r="62" spans="1:28" s="703" customFormat="1" ht="11.1" customHeight="1">
      <c r="A62" s="684"/>
      <c r="B62" s="705"/>
      <c r="C62" s="706"/>
      <c r="D62" s="699"/>
      <c r="E62" s="687"/>
      <c r="F62" s="688"/>
      <c r="G62" s="812"/>
      <c r="H62" s="854"/>
      <c r="I62" s="699" t="s">
        <v>694</v>
      </c>
      <c r="J62" s="862"/>
      <c r="K62" s="699">
        <v>250000</v>
      </c>
      <c r="L62" s="694" t="s">
        <v>492</v>
      </c>
      <c r="M62" s="688">
        <v>4</v>
      </c>
      <c r="N62" s="890">
        <v>1000000</v>
      </c>
      <c r="O62" s="702"/>
      <c r="P62" s="879"/>
      <c r="Q62" s="685" t="s">
        <v>695</v>
      </c>
      <c r="R62" s="772"/>
      <c r="S62" s="694" t="s">
        <v>696</v>
      </c>
      <c r="T62" s="687" t="s">
        <v>492</v>
      </c>
      <c r="U62" s="688">
        <v>3</v>
      </c>
      <c r="V62" s="689">
        <v>1100</v>
      </c>
      <c r="W62" s="891" t="s">
        <v>697</v>
      </c>
      <c r="X62" s="773"/>
      <c r="Y62" s="773"/>
      <c r="Z62" s="773"/>
      <c r="AA62" s="773"/>
      <c r="AB62" s="775"/>
    </row>
    <row r="63" spans="1:28" s="690" customFormat="1" ht="11.1" customHeight="1">
      <c r="A63" s="684" t="s">
        <v>632</v>
      </c>
      <c r="B63" s="705" t="s">
        <v>698</v>
      </c>
      <c r="C63" s="706"/>
      <c r="D63" s="699"/>
      <c r="E63" s="687"/>
      <c r="F63" s="688">
        <v>2</v>
      </c>
      <c r="G63" s="812">
        <v>7200</v>
      </c>
      <c r="H63" s="717" t="s">
        <v>699</v>
      </c>
      <c r="I63" s="699" t="s">
        <v>700</v>
      </c>
      <c r="J63" s="706"/>
      <c r="K63" s="699">
        <v>300000</v>
      </c>
      <c r="L63" s="694" t="s">
        <v>492</v>
      </c>
      <c r="M63" s="688">
        <v>2</v>
      </c>
      <c r="N63" s="890">
        <v>600000</v>
      </c>
      <c r="O63" s="702"/>
      <c r="P63" s="885"/>
      <c r="Q63" s="685"/>
      <c r="R63" s="886"/>
      <c r="S63" s="694">
        <v>150</v>
      </c>
      <c r="T63" s="687" t="s">
        <v>492</v>
      </c>
      <c r="U63" s="688">
        <v>1</v>
      </c>
      <c r="V63" s="689">
        <v>150</v>
      </c>
      <c r="W63" s="891" t="s">
        <v>701</v>
      </c>
      <c r="X63" s="677"/>
      <c r="Y63" s="677"/>
      <c r="Z63" s="677"/>
      <c r="AA63" s="677"/>
      <c r="AB63" s="892"/>
    </row>
    <row r="64" spans="1:28" s="690" customFormat="1" ht="11.1" customHeight="1">
      <c r="A64" s="684" t="s">
        <v>635</v>
      </c>
      <c r="B64" s="893" t="s">
        <v>565</v>
      </c>
      <c r="C64" s="706"/>
      <c r="D64" s="699"/>
      <c r="E64" s="687"/>
      <c r="F64" s="688">
        <v>32</v>
      </c>
      <c r="G64" s="699">
        <v>48099.11</v>
      </c>
      <c r="H64" s="854"/>
      <c r="I64" s="705" t="s">
        <v>702</v>
      </c>
      <c r="J64" s="894"/>
      <c r="K64" s="699">
        <v>300000</v>
      </c>
      <c r="L64" s="694" t="s">
        <v>492</v>
      </c>
      <c r="M64" s="688">
        <v>2</v>
      </c>
      <c r="N64" s="890">
        <v>600000</v>
      </c>
      <c r="O64" s="702"/>
      <c r="P64" s="885"/>
      <c r="Q64" s="685" t="s">
        <v>703</v>
      </c>
      <c r="R64" s="886"/>
      <c r="S64" s="694">
        <v>80</v>
      </c>
      <c r="T64" s="687" t="s">
        <v>492</v>
      </c>
      <c r="U64" s="688">
        <v>3</v>
      </c>
      <c r="V64" s="689">
        <v>240</v>
      </c>
      <c r="W64" s="891" t="s">
        <v>704</v>
      </c>
      <c r="X64" s="677"/>
      <c r="Y64" s="677"/>
      <c r="Z64" s="677"/>
      <c r="AA64" s="677"/>
      <c r="AB64" s="892"/>
    </row>
    <row r="65" spans="1:29" s="703" customFormat="1" ht="11.1" customHeight="1">
      <c r="A65" s="684" t="s">
        <v>638</v>
      </c>
      <c r="B65" s="742" t="s">
        <v>194</v>
      </c>
      <c r="C65" s="706"/>
      <c r="D65" s="699"/>
      <c r="E65" s="687"/>
      <c r="F65" s="688">
        <v>2</v>
      </c>
      <c r="G65" s="839">
        <v>34000</v>
      </c>
      <c r="H65" s="895"/>
      <c r="I65" s="705" t="s">
        <v>705</v>
      </c>
      <c r="J65" s="682"/>
      <c r="K65" s="699">
        <v>350000</v>
      </c>
      <c r="L65" s="694" t="s">
        <v>492</v>
      </c>
      <c r="M65" s="688">
        <v>2</v>
      </c>
      <c r="N65" s="890">
        <v>700000</v>
      </c>
      <c r="O65" s="702"/>
      <c r="P65" s="879"/>
      <c r="Q65" s="685" t="s">
        <v>706</v>
      </c>
      <c r="R65" s="772"/>
      <c r="S65" s="694">
        <v>150</v>
      </c>
      <c r="T65" s="687" t="s">
        <v>492</v>
      </c>
      <c r="U65" s="688">
        <v>3</v>
      </c>
      <c r="V65" s="689">
        <v>450</v>
      </c>
      <c r="W65" s="891" t="s">
        <v>707</v>
      </c>
      <c r="X65" s="773"/>
      <c r="Y65" s="773"/>
      <c r="Z65" s="773"/>
      <c r="AA65" s="773"/>
      <c r="AB65" s="775"/>
    </row>
    <row r="66" spans="1:29" s="690" customFormat="1" ht="11.1" customHeight="1">
      <c r="A66" s="809"/>
      <c r="B66" s="742" t="s">
        <v>141</v>
      </c>
      <c r="C66" s="706"/>
      <c r="D66" s="699"/>
      <c r="E66" s="687"/>
      <c r="F66" s="688">
        <v>12</v>
      </c>
      <c r="G66" s="839">
        <v>180460</v>
      </c>
      <c r="H66" s="895" t="s">
        <v>511</v>
      </c>
      <c r="I66" s="705" t="s">
        <v>708</v>
      </c>
      <c r="J66" s="862"/>
      <c r="K66" s="699">
        <v>200000</v>
      </c>
      <c r="L66" s="694" t="s">
        <v>492</v>
      </c>
      <c r="M66" s="688">
        <v>2</v>
      </c>
      <c r="N66" s="890">
        <v>400000</v>
      </c>
      <c r="O66" s="702"/>
      <c r="P66" s="885"/>
      <c r="Q66" s="685" t="s">
        <v>709</v>
      </c>
      <c r="R66" s="886"/>
      <c r="S66" s="694">
        <v>200</v>
      </c>
      <c r="T66" s="687" t="s">
        <v>492</v>
      </c>
      <c r="U66" s="688">
        <v>3</v>
      </c>
      <c r="V66" s="689">
        <v>600</v>
      </c>
      <c r="W66" s="891" t="s">
        <v>710</v>
      </c>
      <c r="X66" s="677"/>
      <c r="Y66" s="677"/>
      <c r="Z66" s="677"/>
      <c r="AA66" s="677"/>
      <c r="AB66" s="892"/>
    </row>
    <row r="67" spans="1:29" s="690" customFormat="1" ht="11.1" customHeight="1">
      <c r="A67" s="809"/>
      <c r="B67" s="740"/>
      <c r="C67" s="706"/>
      <c r="D67" s="699"/>
      <c r="E67" s="687"/>
      <c r="F67" s="688"/>
      <c r="G67" s="839"/>
      <c r="H67" s="895"/>
      <c r="I67" s="705" t="s">
        <v>711</v>
      </c>
      <c r="J67" s="862"/>
      <c r="K67" s="699">
        <v>400000</v>
      </c>
      <c r="L67" s="694" t="s">
        <v>492</v>
      </c>
      <c r="M67" s="688">
        <v>2</v>
      </c>
      <c r="N67" s="890">
        <v>800000</v>
      </c>
      <c r="O67" s="702"/>
      <c r="P67" s="885"/>
      <c r="Q67" s="685" t="s">
        <v>712</v>
      </c>
      <c r="R67" s="886"/>
      <c r="S67" s="694" t="s">
        <v>713</v>
      </c>
      <c r="T67" s="687" t="s">
        <v>492</v>
      </c>
      <c r="U67" s="688">
        <v>5</v>
      </c>
      <c r="V67" s="689">
        <v>7700</v>
      </c>
      <c r="W67" s="891" t="s">
        <v>714</v>
      </c>
      <c r="X67" s="677"/>
      <c r="Y67" s="677"/>
      <c r="Z67" s="677"/>
      <c r="AA67" s="677"/>
      <c r="AB67" s="892"/>
    </row>
    <row r="68" spans="1:29" s="690" customFormat="1" ht="11.1" customHeight="1">
      <c r="A68" s="896"/>
      <c r="B68" s="740"/>
      <c r="C68" s="706"/>
      <c r="D68" s="699"/>
      <c r="E68" s="687"/>
      <c r="F68" s="688"/>
      <c r="G68" s="839"/>
      <c r="H68" s="857"/>
      <c r="I68" s="706"/>
      <c r="J68" s="862"/>
      <c r="K68" s="699"/>
      <c r="L68" s="694"/>
      <c r="M68" s="688"/>
      <c r="N68" s="890"/>
      <c r="O68" s="702"/>
      <c r="P68" s="885"/>
      <c r="Q68" s="685" t="s">
        <v>715</v>
      </c>
      <c r="R68" s="886"/>
      <c r="S68" s="694">
        <v>80</v>
      </c>
      <c r="T68" s="687" t="s">
        <v>492</v>
      </c>
      <c r="U68" s="688">
        <v>3</v>
      </c>
      <c r="V68" s="689">
        <v>240</v>
      </c>
      <c r="W68" s="891" t="s">
        <v>716</v>
      </c>
      <c r="X68" s="677"/>
      <c r="Y68" s="677"/>
      <c r="Z68" s="677"/>
      <c r="AA68" s="677"/>
      <c r="AB68" s="892"/>
    </row>
    <row r="69" spans="1:29" s="690" customFormat="1" ht="11.1" customHeight="1">
      <c r="A69" s="754" t="s">
        <v>561</v>
      </c>
      <c r="B69" s="770"/>
      <c r="C69" s="755"/>
      <c r="D69" s="756">
        <v>85</v>
      </c>
      <c r="E69" s="757"/>
      <c r="F69" s="758" t="s">
        <v>544</v>
      </c>
      <c r="G69" s="897">
        <v>11502989.109999999</v>
      </c>
      <c r="H69" s="679"/>
      <c r="I69" s="898" t="s">
        <v>717</v>
      </c>
      <c r="J69" s="898"/>
      <c r="K69" s="756">
        <v>16</v>
      </c>
      <c r="L69" s="784"/>
      <c r="M69" s="899" t="s">
        <v>544</v>
      </c>
      <c r="N69" s="900">
        <v>4700000</v>
      </c>
      <c r="O69" s="901"/>
      <c r="P69" s="902"/>
      <c r="Q69" s="685" t="s">
        <v>718</v>
      </c>
      <c r="R69" s="903"/>
      <c r="S69" s="694">
        <v>80</v>
      </c>
      <c r="T69" s="687" t="s">
        <v>492</v>
      </c>
      <c r="U69" s="688">
        <v>3</v>
      </c>
      <c r="V69" s="689">
        <v>240</v>
      </c>
      <c r="W69" s="904" t="s">
        <v>719</v>
      </c>
      <c r="X69" s="905"/>
      <c r="Y69" s="905"/>
      <c r="Z69" s="905"/>
      <c r="AA69" s="905"/>
      <c r="AB69" s="906"/>
      <c r="AC69" s="907"/>
    </row>
    <row r="70" spans="1:29" s="690" customFormat="1" ht="10.35" customHeight="1">
      <c r="A70" s="543"/>
      <c r="B70" s="908"/>
      <c r="C70" s="909"/>
      <c r="D70" s="909"/>
      <c r="E70" s="910"/>
      <c r="F70" s="909"/>
      <c r="G70" s="909"/>
      <c r="H70" s="699"/>
      <c r="I70" s="699"/>
      <c r="J70" s="699"/>
      <c r="K70" s="699"/>
      <c r="L70" s="699"/>
      <c r="M70" s="699"/>
      <c r="N70" s="699"/>
      <c r="O70" s="702"/>
      <c r="P70" s="911"/>
      <c r="Q70" s="670"/>
      <c r="R70" s="912"/>
      <c r="S70" s="913"/>
      <c r="T70" s="674"/>
      <c r="U70" s="914"/>
      <c r="V70" s="914"/>
      <c r="X70" s="915"/>
      <c r="Y70" s="915"/>
      <c r="Z70" s="915"/>
      <c r="AA70" s="915"/>
      <c r="AB70" s="915"/>
      <c r="AC70" s="907"/>
    </row>
    <row r="71" spans="1:29" s="703" customFormat="1" ht="10.35" customHeight="1">
      <c r="A71" s="916"/>
      <c r="B71" s="917"/>
      <c r="C71" s="918"/>
      <c r="D71" s="918"/>
      <c r="E71" s="919"/>
      <c r="F71" s="918"/>
      <c r="G71" s="918"/>
      <c r="H71" s="699"/>
      <c r="I71" s="699"/>
      <c r="J71" s="699"/>
      <c r="K71" s="699"/>
      <c r="L71" s="699"/>
      <c r="M71" s="699"/>
      <c r="N71" s="699"/>
      <c r="O71" s="901"/>
      <c r="P71" s="863"/>
      <c r="Q71" s="682"/>
      <c r="R71" s="773"/>
      <c r="S71" s="699"/>
      <c r="T71" s="687"/>
      <c r="U71" s="699"/>
      <c r="V71" s="699"/>
      <c r="W71" s="773"/>
      <c r="X71" s="920"/>
      <c r="Y71" s="920"/>
      <c r="Z71" s="920"/>
      <c r="AA71" s="920"/>
      <c r="AB71" s="920"/>
      <c r="AC71" s="907"/>
    </row>
    <row r="72" spans="1:29">
      <c r="H72" s="924"/>
      <c r="I72" s="925"/>
      <c r="J72" s="925"/>
      <c r="K72" s="925"/>
      <c r="L72" s="926"/>
      <c r="M72" s="925"/>
      <c r="N72" s="927"/>
      <c r="O72" s="918"/>
      <c r="P72" s="925"/>
      <c r="Q72" s="928"/>
      <c r="R72" s="925"/>
      <c r="S72" s="925"/>
      <c r="T72" s="929"/>
      <c r="U72" s="925"/>
      <c r="V72" s="925"/>
    </row>
    <row r="73" spans="1:29">
      <c r="H73" s="924"/>
      <c r="I73" s="925"/>
      <c r="J73" s="925"/>
      <c r="K73" s="925"/>
      <c r="L73" s="926"/>
      <c r="M73" s="925"/>
      <c r="N73" s="927"/>
      <c r="O73" s="918"/>
      <c r="P73" s="925"/>
      <c r="Q73" s="930"/>
      <c r="R73" s="925"/>
      <c r="S73" s="931"/>
      <c r="T73" s="929"/>
      <c r="U73" s="925"/>
      <c r="V73" s="925"/>
    </row>
    <row r="74" spans="1:29">
      <c r="H74" s="924"/>
      <c r="I74" s="924"/>
      <c r="J74" s="924"/>
      <c r="K74" s="924"/>
      <c r="L74" s="926"/>
      <c r="M74" s="924"/>
      <c r="N74" s="924"/>
      <c r="O74" s="918"/>
      <c r="P74" s="932"/>
      <c r="Q74" s="930"/>
      <c r="R74" s="924"/>
      <c r="S74" s="931"/>
      <c r="T74" s="929"/>
      <c r="U74" s="924"/>
      <c r="V74" s="924"/>
    </row>
    <row r="75" spans="1:29">
      <c r="H75" s="933"/>
      <c r="I75" s="918"/>
      <c r="J75" s="924"/>
      <c r="K75" s="924"/>
      <c r="L75" s="929"/>
      <c r="M75" s="924"/>
      <c r="N75" s="924"/>
      <c r="O75" s="918"/>
      <c r="P75" s="924"/>
      <c r="Q75" s="930"/>
      <c r="R75" s="924"/>
      <c r="S75" s="931"/>
      <c r="T75" s="929"/>
      <c r="U75" s="924"/>
      <c r="V75" s="924"/>
    </row>
    <row r="76" spans="1:29">
      <c r="H76" s="918"/>
      <c r="I76" s="918"/>
      <c r="J76" s="918"/>
      <c r="K76" s="918"/>
      <c r="L76" s="918"/>
      <c r="M76" s="918"/>
      <c r="N76" s="918"/>
      <c r="O76" s="918"/>
      <c r="P76" s="924"/>
      <c r="Q76" s="930"/>
      <c r="R76" s="924"/>
      <c r="S76" s="931"/>
      <c r="T76" s="929"/>
      <c r="U76" s="924"/>
      <c r="V76" s="924"/>
    </row>
    <row r="77" spans="1:29">
      <c r="H77" s="918"/>
      <c r="I77" s="918"/>
      <c r="J77" s="918"/>
      <c r="K77" s="918"/>
      <c r="L77" s="918"/>
      <c r="M77" s="918"/>
      <c r="N77" s="918"/>
      <c r="O77" s="918"/>
      <c r="P77" s="924"/>
      <c r="Q77" s="930"/>
      <c r="R77" s="924"/>
      <c r="S77" s="931"/>
      <c r="T77" s="929"/>
      <c r="U77" s="924"/>
      <c r="V77" s="924"/>
    </row>
    <row r="78" spans="1:29">
      <c r="H78" s="918"/>
      <c r="I78" s="918"/>
      <c r="J78" s="918"/>
      <c r="K78" s="918"/>
      <c r="L78" s="918"/>
      <c r="M78" s="918"/>
      <c r="N78" s="918"/>
      <c r="O78" s="918"/>
      <c r="P78" s="924"/>
      <c r="Q78" s="934"/>
      <c r="R78" s="924"/>
      <c r="S78" s="931"/>
      <c r="T78" s="929"/>
      <c r="U78" s="924"/>
      <c r="V78" s="924"/>
    </row>
    <row r="79" spans="1:29">
      <c r="H79" s="918"/>
      <c r="I79" s="918"/>
      <c r="J79" s="918"/>
      <c r="K79" s="918"/>
      <c r="L79" s="918"/>
      <c r="M79" s="918"/>
      <c r="N79" s="918"/>
      <c r="O79" s="918"/>
      <c r="P79" s="924"/>
      <c r="Q79" s="934"/>
      <c r="R79" s="924"/>
      <c r="S79" s="931"/>
      <c r="T79" s="929"/>
      <c r="U79" s="924"/>
      <c r="V79" s="924"/>
    </row>
    <row r="80" spans="1:29">
      <c r="H80" s="918"/>
      <c r="I80" s="918"/>
      <c r="J80" s="918"/>
      <c r="K80" s="918"/>
      <c r="L80" s="918"/>
      <c r="M80" s="918"/>
      <c r="N80" s="677"/>
      <c r="O80" s="918"/>
      <c r="P80" s="924"/>
      <c r="Q80" s="934"/>
      <c r="R80" s="924"/>
      <c r="S80" s="931"/>
      <c r="T80" s="929"/>
      <c r="U80" s="924"/>
      <c r="V80" s="924"/>
    </row>
    <row r="81" spans="8:22">
      <c r="H81" s="918"/>
      <c r="I81" s="918"/>
      <c r="J81" s="918"/>
      <c r="K81" s="918"/>
      <c r="L81" s="918"/>
      <c r="M81" s="918"/>
      <c r="N81" s="918"/>
      <c r="O81" s="918"/>
      <c r="P81" s="924"/>
      <c r="Q81" s="934"/>
      <c r="R81" s="924"/>
      <c r="S81" s="931"/>
      <c r="T81" s="929"/>
      <c r="U81" s="924"/>
      <c r="V81" s="924"/>
    </row>
    <row r="82" spans="8:22">
      <c r="H82" s="918"/>
      <c r="I82" s="918"/>
      <c r="J82" s="918"/>
      <c r="K82" s="918"/>
      <c r="L82" s="918"/>
      <c r="M82" s="918"/>
      <c r="N82" s="918"/>
      <c r="O82" s="918"/>
      <c r="R82" s="924"/>
      <c r="S82" s="931"/>
      <c r="T82" s="929"/>
      <c r="U82" s="924"/>
      <c r="V82" s="924"/>
    </row>
    <row r="83" spans="8:22">
      <c r="H83" s="918"/>
      <c r="I83" s="918"/>
      <c r="J83" s="918"/>
      <c r="K83" s="918"/>
      <c r="L83" s="918"/>
      <c r="M83" s="918"/>
      <c r="N83" s="935"/>
      <c r="R83" s="924"/>
      <c r="S83" s="931"/>
      <c r="T83" s="929"/>
      <c r="U83" s="924"/>
      <c r="V83" s="924"/>
    </row>
    <row r="84" spans="8:22">
      <c r="H84" s="918"/>
      <c r="I84" s="918"/>
      <c r="J84" s="918"/>
      <c r="K84" s="918"/>
      <c r="L84" s="918"/>
      <c r="M84" s="918"/>
      <c r="N84" s="918"/>
    </row>
    <row r="85" spans="8:22">
      <c r="H85" s="918"/>
      <c r="I85" s="918"/>
      <c r="J85" s="918"/>
      <c r="K85" s="918"/>
      <c r="L85" s="918"/>
      <c r="M85" s="918"/>
      <c r="N85" s="918"/>
    </row>
  </sheetData>
  <mergeCells count="13">
    <mergeCell ref="A51:F51"/>
    <mergeCell ref="A4:F4"/>
    <mergeCell ref="H4:M4"/>
    <mergeCell ref="P4:U4"/>
    <mergeCell ref="A5:B5"/>
    <mergeCell ref="C5:F5"/>
    <mergeCell ref="P5:Q5"/>
    <mergeCell ref="R5:U5"/>
    <mergeCell ref="A23:F23"/>
    <mergeCell ref="H27:M27"/>
    <mergeCell ref="W33:AB33"/>
    <mergeCell ref="H46:I46"/>
    <mergeCell ref="H47:M47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18" orientation="portrait" useFirstPageNumber="1" r:id="rId1"/>
  <headerFooter differentOddEven="1" scaleWithDoc="0" alignWithMargins="0">
    <firstFooter>&amp;R&amp;P</firstFooter>
  </headerFooter>
  <colBreaks count="1" manualBreakCount="1">
    <brk id="14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6"/>
  <sheetViews>
    <sheetView view="pageBreakPreview" zoomScale="85" zoomScaleNormal="100" zoomScaleSheetLayoutView="85" workbookViewId="0">
      <pane xSplit="1" ySplit="4" topLeftCell="B17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3.5"/>
  <cols>
    <col min="1" max="1" width="9.875" style="313" customWidth="1"/>
    <col min="2" max="8" width="10.5" style="313" customWidth="1"/>
    <col min="9" max="9" width="11" style="313" customWidth="1"/>
    <col min="10" max="16384" width="10" style="313"/>
  </cols>
  <sheetData>
    <row r="1" spans="1:9" s="938" customFormat="1" ht="26.25">
      <c r="A1" s="936" t="s">
        <v>720</v>
      </c>
      <c r="B1" s="936"/>
      <c r="C1" s="936"/>
      <c r="D1" s="936"/>
      <c r="E1" s="936"/>
      <c r="F1" s="936"/>
      <c r="G1" s="936"/>
      <c r="H1" s="936"/>
      <c r="I1" s="937"/>
    </row>
    <row r="2" spans="1:9" ht="17.25">
      <c r="A2" s="939" t="s">
        <v>721</v>
      </c>
      <c r="B2" s="939"/>
      <c r="C2" s="939"/>
      <c r="D2" s="939"/>
      <c r="E2" s="939"/>
      <c r="F2" s="939"/>
      <c r="G2" s="939"/>
      <c r="H2" s="939"/>
      <c r="I2" s="940"/>
    </row>
    <row r="3" spans="1:9" s="942" customFormat="1" ht="15" customHeight="1">
      <c r="A3" s="258"/>
      <c r="B3" s="258"/>
      <c r="C3" s="258"/>
      <c r="D3" s="258"/>
      <c r="E3" s="258"/>
      <c r="F3" s="258"/>
      <c r="G3" s="258"/>
      <c r="H3" s="258"/>
      <c r="I3" s="941" t="s">
        <v>722</v>
      </c>
    </row>
    <row r="4" spans="1:9" s="315" customFormat="1" ht="24.95" customHeight="1">
      <c r="A4" s="943" t="s">
        <v>723</v>
      </c>
      <c r="B4" s="944" t="s">
        <v>13</v>
      </c>
      <c r="C4" s="945" t="s">
        <v>446</v>
      </c>
      <c r="D4" s="945" t="s">
        <v>724</v>
      </c>
      <c r="E4" s="945" t="s">
        <v>140</v>
      </c>
      <c r="F4" s="945" t="s">
        <v>447</v>
      </c>
      <c r="G4" s="946" t="s">
        <v>445</v>
      </c>
      <c r="H4" s="947" t="s">
        <v>132</v>
      </c>
      <c r="I4" s="948" t="s">
        <v>161</v>
      </c>
    </row>
    <row r="5" spans="1:9" s="260" customFormat="1" ht="24.95" customHeight="1">
      <c r="A5" s="949">
        <v>2011</v>
      </c>
      <c r="B5" s="950">
        <v>18715.683000000001</v>
      </c>
      <c r="C5" s="951">
        <v>24799.51</v>
      </c>
      <c r="D5" s="951">
        <v>21764.275000000001</v>
      </c>
      <c r="E5" s="951">
        <v>3577.049</v>
      </c>
      <c r="F5" s="951">
        <v>5785.35</v>
      </c>
      <c r="G5" s="952">
        <v>4700</v>
      </c>
      <c r="H5" s="953" t="s">
        <v>171</v>
      </c>
      <c r="I5" s="954">
        <v>79341.866999999998</v>
      </c>
    </row>
    <row r="6" spans="1:9" s="260" customFormat="1" ht="24.95" customHeight="1">
      <c r="A6" s="949">
        <v>2012</v>
      </c>
      <c r="B6" s="950">
        <v>20715.683000000001</v>
      </c>
      <c r="C6" s="951">
        <v>25128.11</v>
      </c>
      <c r="D6" s="951">
        <v>21764.275000000001</v>
      </c>
      <c r="E6" s="951">
        <v>4228.8680000000004</v>
      </c>
      <c r="F6" s="951">
        <v>5268.64</v>
      </c>
      <c r="G6" s="952">
        <v>4700</v>
      </c>
      <c r="H6" s="953" t="s">
        <v>171</v>
      </c>
      <c r="I6" s="954">
        <v>81805.576000000001</v>
      </c>
    </row>
    <row r="7" spans="1:9" s="260" customFormat="1" ht="24.95" customHeight="1">
      <c r="A7" s="949">
        <v>2013</v>
      </c>
      <c r="B7" s="950">
        <v>20715.683000000001</v>
      </c>
      <c r="C7" s="951">
        <v>25235.51</v>
      </c>
      <c r="D7" s="951">
        <v>25813.59</v>
      </c>
      <c r="E7" s="951">
        <v>5273.1639999999998</v>
      </c>
      <c r="F7" s="951">
        <v>5230.99</v>
      </c>
      <c r="G7" s="952">
        <v>4700</v>
      </c>
      <c r="H7" s="953" t="s">
        <v>171</v>
      </c>
      <c r="I7" s="954">
        <v>86968.937000000005</v>
      </c>
    </row>
    <row r="8" spans="1:9" s="260" customFormat="1" ht="24.95" customHeight="1">
      <c r="A8" s="949">
        <v>2014</v>
      </c>
      <c r="B8" s="950">
        <v>20715.683000000001</v>
      </c>
      <c r="C8" s="951">
        <v>27035.51</v>
      </c>
      <c r="D8" s="951">
        <v>30292.69</v>
      </c>
      <c r="E8" s="951">
        <v>6240.8810000000003</v>
      </c>
      <c r="F8" s="951">
        <v>4230.99</v>
      </c>
      <c r="G8" s="952">
        <v>4700</v>
      </c>
      <c r="H8" s="953" t="s">
        <v>171</v>
      </c>
      <c r="I8" s="954">
        <v>93215.754000000001</v>
      </c>
    </row>
    <row r="9" spans="1:9" s="260" customFormat="1" ht="24.95" customHeight="1">
      <c r="A9" s="949">
        <v>2015</v>
      </c>
      <c r="B9" s="950">
        <v>21715.683000000001</v>
      </c>
      <c r="C9" s="951">
        <v>27338.51</v>
      </c>
      <c r="D9" s="951">
        <v>32243.501</v>
      </c>
      <c r="E9" s="951">
        <v>7420.076</v>
      </c>
      <c r="F9" s="951">
        <v>4230.99</v>
      </c>
      <c r="G9" s="952">
        <v>4700</v>
      </c>
      <c r="H9" s="953" t="s">
        <v>171</v>
      </c>
      <c r="I9" s="954">
        <v>97648.76</v>
      </c>
    </row>
    <row r="10" spans="1:9" s="260" customFormat="1" ht="24.95" customHeight="1">
      <c r="A10" s="949">
        <v>2016</v>
      </c>
      <c r="B10" s="950">
        <v>23115.683000000001</v>
      </c>
      <c r="C10" s="951">
        <v>32035.024000000001</v>
      </c>
      <c r="D10" s="951">
        <v>32623.611000000001</v>
      </c>
      <c r="E10" s="951">
        <v>9262.2990000000009</v>
      </c>
      <c r="F10" s="951">
        <v>4128.9399999999996</v>
      </c>
      <c r="G10" s="952">
        <v>4700</v>
      </c>
      <c r="H10" s="953">
        <v>0</v>
      </c>
      <c r="I10" s="954">
        <v>105865.557</v>
      </c>
    </row>
    <row r="11" spans="1:9" s="260" customFormat="1" ht="24.95" customHeight="1">
      <c r="A11" s="949">
        <v>2017</v>
      </c>
      <c r="B11" s="950">
        <v>22528.683000000001</v>
      </c>
      <c r="C11" s="951">
        <v>36709.402000000002</v>
      </c>
      <c r="D11" s="951">
        <v>37854.207000000002</v>
      </c>
      <c r="E11" s="951">
        <v>10976.379000000001</v>
      </c>
      <c r="F11" s="951">
        <v>4138.97</v>
      </c>
      <c r="G11" s="952">
        <v>4700</v>
      </c>
      <c r="H11" s="953">
        <v>0</v>
      </c>
      <c r="I11" s="954">
        <v>116907.641</v>
      </c>
    </row>
    <row r="12" spans="1:9" s="260" customFormat="1" ht="24.95" customHeight="1">
      <c r="A12" s="949">
        <v>2018</v>
      </c>
      <c r="B12" s="955">
        <v>21850</v>
      </c>
      <c r="C12" s="951">
        <v>36970.337</v>
      </c>
      <c r="D12" s="951">
        <v>37851.087</v>
      </c>
      <c r="E12" s="951">
        <v>13413.22</v>
      </c>
      <c r="F12" s="951">
        <v>4307.0159999999996</v>
      </c>
      <c r="G12" s="952">
        <v>4700</v>
      </c>
      <c r="H12" s="953">
        <v>0</v>
      </c>
      <c r="I12" s="956">
        <v>119091.66</v>
      </c>
    </row>
    <row r="13" spans="1:9" s="260" customFormat="1" ht="24.95" customHeight="1">
      <c r="A13" s="949">
        <v>2019</v>
      </c>
      <c r="B13" s="955">
        <v>23250</v>
      </c>
      <c r="C13" s="957">
        <v>37003.381999999998</v>
      </c>
      <c r="D13" s="957">
        <v>39550.400000000001</v>
      </c>
      <c r="E13" s="957">
        <v>16057.656999999999</v>
      </c>
      <c r="F13" s="957">
        <v>3864.44</v>
      </c>
      <c r="G13" s="952">
        <v>4700</v>
      </c>
      <c r="H13" s="953">
        <v>911.79</v>
      </c>
      <c r="I13" s="956">
        <v>125337.66899999999</v>
      </c>
    </row>
    <row r="14" spans="1:9" s="260" customFormat="1" ht="24.95" customHeight="1">
      <c r="A14" s="949">
        <v>2020</v>
      </c>
      <c r="B14" s="950">
        <v>23250</v>
      </c>
      <c r="C14" s="958">
        <v>36853.381999999998</v>
      </c>
      <c r="D14" s="958">
        <v>41169.767</v>
      </c>
      <c r="E14" s="958">
        <v>20544.895</v>
      </c>
      <c r="F14" s="958">
        <v>2247.0250000000001</v>
      </c>
      <c r="G14" s="959">
        <v>4700</v>
      </c>
      <c r="H14" s="953">
        <v>426.20400000000001</v>
      </c>
      <c r="I14" s="954">
        <v>129191.273</v>
      </c>
    </row>
    <row r="15" spans="1:9" s="260" customFormat="1" ht="24.95" customHeight="1">
      <c r="A15" s="960">
        <v>2021</v>
      </c>
      <c r="B15" s="961">
        <v>23250</v>
      </c>
      <c r="C15" s="962">
        <v>37337.881999999998</v>
      </c>
      <c r="D15" s="962">
        <v>41201.457000000002</v>
      </c>
      <c r="E15" s="962">
        <v>24855.496999999999</v>
      </c>
      <c r="F15" s="962">
        <v>2160.1550000000002</v>
      </c>
      <c r="G15" s="963">
        <v>4700</v>
      </c>
      <c r="H15" s="964">
        <v>514.78399999999999</v>
      </c>
      <c r="I15" s="965">
        <v>134019.77499999999</v>
      </c>
    </row>
    <row r="16" spans="1:9" s="260" customFormat="1" ht="26.1" customHeight="1">
      <c r="A16" s="966">
        <v>2021.12</v>
      </c>
      <c r="B16" s="967">
        <v>23250</v>
      </c>
      <c r="C16" s="968">
        <v>37337.881999999998</v>
      </c>
      <c r="D16" s="968">
        <v>41201.457000000002</v>
      </c>
      <c r="E16" s="968">
        <v>24855.496999999999</v>
      </c>
      <c r="F16" s="968">
        <v>2160.1550000000002</v>
      </c>
      <c r="G16" s="969">
        <v>4700</v>
      </c>
      <c r="H16" s="970">
        <v>514.78399999999999</v>
      </c>
      <c r="I16" s="971">
        <v>134019.77499999999</v>
      </c>
    </row>
    <row r="17" spans="1:9" s="260" customFormat="1" ht="26.1" customHeight="1">
      <c r="A17" s="972">
        <v>2022.01</v>
      </c>
      <c r="B17" s="955">
        <v>23250</v>
      </c>
      <c r="C17" s="957">
        <v>37337.881999999998</v>
      </c>
      <c r="D17" s="957">
        <v>41201.457000000002</v>
      </c>
      <c r="E17" s="957">
        <v>25105.179</v>
      </c>
      <c r="F17" s="957">
        <v>960.15499999999997</v>
      </c>
      <c r="G17" s="973">
        <v>4700</v>
      </c>
      <c r="H17" s="974">
        <v>514.78399999999999</v>
      </c>
      <c r="I17" s="956">
        <v>133069.45699999999</v>
      </c>
    </row>
    <row r="18" spans="1:9" s="260" customFormat="1" ht="26.1" customHeight="1">
      <c r="A18" s="972">
        <v>2022.02</v>
      </c>
      <c r="B18" s="955">
        <v>23250</v>
      </c>
      <c r="C18" s="957">
        <v>37337.881999999998</v>
      </c>
      <c r="D18" s="957">
        <v>41201.457000000002</v>
      </c>
      <c r="E18" s="957">
        <v>25596.755000000001</v>
      </c>
      <c r="F18" s="957">
        <v>960.15499999999997</v>
      </c>
      <c r="G18" s="973">
        <v>4700</v>
      </c>
      <c r="H18" s="974">
        <v>514.70299999999997</v>
      </c>
      <c r="I18" s="956">
        <v>133560.95199999999</v>
      </c>
    </row>
    <row r="19" spans="1:9" s="260" customFormat="1" ht="26.1" customHeight="1">
      <c r="A19" s="972">
        <v>2022.03</v>
      </c>
      <c r="B19" s="955">
        <v>23250</v>
      </c>
      <c r="C19" s="957">
        <v>37337.881999999998</v>
      </c>
      <c r="D19" s="957">
        <v>41201.457000000002</v>
      </c>
      <c r="E19" s="957">
        <v>25712.863000000001</v>
      </c>
      <c r="F19" s="957">
        <v>960.15499999999997</v>
      </c>
      <c r="G19" s="973">
        <v>4700</v>
      </c>
      <c r="H19" s="974">
        <v>517.60199999999998</v>
      </c>
      <c r="I19" s="956">
        <v>133679.959</v>
      </c>
    </row>
    <row r="20" spans="1:9" s="260" customFormat="1" ht="26.1" customHeight="1">
      <c r="A20" s="972">
        <v>2022.04</v>
      </c>
      <c r="B20" s="955">
        <v>23250</v>
      </c>
      <c r="C20" s="957">
        <v>37337.881999999998</v>
      </c>
      <c r="D20" s="957">
        <v>41201.457000000002</v>
      </c>
      <c r="E20" s="957">
        <v>25949.914000000001</v>
      </c>
      <c r="F20" s="957">
        <v>960.15499999999997</v>
      </c>
      <c r="G20" s="973">
        <v>4700</v>
      </c>
      <c r="H20" s="974">
        <v>517.50400000000002</v>
      </c>
      <c r="I20" s="956">
        <v>133916.91200000001</v>
      </c>
    </row>
    <row r="21" spans="1:9" s="260" customFormat="1" ht="26.1" customHeight="1">
      <c r="A21" s="972">
        <v>2022.05</v>
      </c>
      <c r="B21" s="955">
        <v>23250</v>
      </c>
      <c r="C21" s="957">
        <v>37087.881999999998</v>
      </c>
      <c r="D21" s="957">
        <v>41201.457000000002</v>
      </c>
      <c r="E21" s="957">
        <v>26403.037</v>
      </c>
      <c r="F21" s="957">
        <v>960.15499999999997</v>
      </c>
      <c r="G21" s="973">
        <v>4700</v>
      </c>
      <c r="H21" s="974">
        <v>457.50400000000002</v>
      </c>
      <c r="I21" s="956">
        <v>134060.035</v>
      </c>
    </row>
    <row r="22" spans="1:9" s="260" customFormat="1" ht="26.1" customHeight="1">
      <c r="A22" s="972">
        <v>2022.06</v>
      </c>
      <c r="B22" s="955">
        <v>23250</v>
      </c>
      <c r="C22" s="957">
        <v>37087.881999999998</v>
      </c>
      <c r="D22" s="957">
        <v>41201.457000000002</v>
      </c>
      <c r="E22" s="957">
        <v>26580.595000000001</v>
      </c>
      <c r="F22" s="957">
        <v>960.15499999999997</v>
      </c>
      <c r="G22" s="973">
        <v>4700</v>
      </c>
      <c r="H22" s="974">
        <v>456.67</v>
      </c>
      <c r="I22" s="956">
        <v>134236.75899999999</v>
      </c>
    </row>
    <row r="23" spans="1:9" s="260" customFormat="1" ht="26.1" customHeight="1">
      <c r="A23" s="972">
        <v>2022.07</v>
      </c>
      <c r="B23" s="955">
        <v>23250</v>
      </c>
      <c r="C23" s="957">
        <v>37087.881999999998</v>
      </c>
      <c r="D23" s="957">
        <v>41201.457000000002</v>
      </c>
      <c r="E23" s="957">
        <v>26634.722000000002</v>
      </c>
      <c r="F23" s="957">
        <v>960.15499999999997</v>
      </c>
      <c r="G23" s="973">
        <v>4700</v>
      </c>
      <c r="H23" s="974">
        <v>456.59500000000003</v>
      </c>
      <c r="I23" s="956">
        <v>134290.81099999999</v>
      </c>
    </row>
    <row r="24" spans="1:9" s="260" customFormat="1" ht="26.1" customHeight="1">
      <c r="A24" s="972">
        <v>2022.08</v>
      </c>
      <c r="B24" s="955">
        <v>23250</v>
      </c>
      <c r="C24" s="957">
        <v>37087.881999999998</v>
      </c>
      <c r="D24" s="957">
        <v>41201.457000000002</v>
      </c>
      <c r="E24" s="957">
        <v>27078.512999999999</v>
      </c>
      <c r="F24" s="957">
        <v>920.15499999999997</v>
      </c>
      <c r="G24" s="973">
        <v>4700</v>
      </c>
      <c r="H24" s="974">
        <v>456.59500000000003</v>
      </c>
      <c r="I24" s="956">
        <v>134694.60200000001</v>
      </c>
    </row>
    <row r="25" spans="1:9" s="260" customFormat="1" ht="26.1" customHeight="1">
      <c r="A25" s="972">
        <v>2022.09</v>
      </c>
      <c r="B25" s="955">
        <v>23250</v>
      </c>
      <c r="C25" s="957">
        <v>37087.881999999998</v>
      </c>
      <c r="D25" s="957">
        <v>41201.457000000002</v>
      </c>
      <c r="E25" s="957">
        <v>27152.748</v>
      </c>
      <c r="F25" s="957">
        <v>920.15499999999997</v>
      </c>
      <c r="G25" s="973">
        <v>4700</v>
      </c>
      <c r="H25" s="974">
        <v>455.83499999999998</v>
      </c>
      <c r="I25" s="956">
        <v>134768.07699999999</v>
      </c>
    </row>
    <row r="26" spans="1:9" s="260" customFormat="1" ht="26.1" customHeight="1">
      <c r="A26" s="972">
        <v>2022.1</v>
      </c>
      <c r="B26" s="955">
        <v>23250</v>
      </c>
      <c r="C26" s="957">
        <v>38127.881999999998</v>
      </c>
      <c r="D26" s="957">
        <v>41201.457000000002</v>
      </c>
      <c r="E26" s="957">
        <v>27375.524000000001</v>
      </c>
      <c r="F26" s="957">
        <v>920.15499999999997</v>
      </c>
      <c r="G26" s="973">
        <v>4700</v>
      </c>
      <c r="H26" s="974">
        <v>455.83499999999998</v>
      </c>
      <c r="I26" s="956">
        <v>136030.853</v>
      </c>
    </row>
    <row r="27" spans="1:9" s="260" customFormat="1" ht="26.1" customHeight="1">
      <c r="A27" s="972">
        <v>2022.11</v>
      </c>
      <c r="B27" s="955">
        <v>23250</v>
      </c>
      <c r="C27" s="957">
        <v>38127.881999999998</v>
      </c>
      <c r="D27" s="957">
        <v>41201.457000000002</v>
      </c>
      <c r="E27" s="957">
        <v>27611.936000000002</v>
      </c>
      <c r="F27" s="957">
        <v>920.15499999999997</v>
      </c>
      <c r="G27" s="973">
        <v>4700</v>
      </c>
      <c r="H27" s="974">
        <v>456.69400000000002</v>
      </c>
      <c r="I27" s="956">
        <v>136268.125</v>
      </c>
    </row>
    <row r="28" spans="1:9" s="260" customFormat="1" ht="26.1" customHeight="1">
      <c r="A28" s="975">
        <v>2022.12</v>
      </c>
      <c r="B28" s="976">
        <v>24650</v>
      </c>
      <c r="C28" s="977">
        <v>38127.881999999998</v>
      </c>
      <c r="D28" s="977">
        <v>41201.457000000002</v>
      </c>
      <c r="E28" s="977">
        <v>27961.215</v>
      </c>
      <c r="F28" s="977">
        <v>920.15499999999997</v>
      </c>
      <c r="G28" s="978">
        <v>4700</v>
      </c>
      <c r="H28" s="979">
        <v>456.89299999999997</v>
      </c>
      <c r="I28" s="980">
        <v>138017.60200000001</v>
      </c>
    </row>
    <row r="29" spans="1:9" s="260" customFormat="1" ht="3" customHeight="1">
      <c r="A29" s="981"/>
      <c r="B29" s="981"/>
      <c r="C29" s="981"/>
      <c r="D29" s="981"/>
      <c r="E29" s="981"/>
      <c r="F29" s="981"/>
      <c r="G29" s="981"/>
      <c r="H29" s="981"/>
      <c r="I29" s="982"/>
    </row>
    <row r="30" spans="1:9" s="260" customFormat="1" ht="15" customHeight="1">
      <c r="A30" s="983" t="s">
        <v>725</v>
      </c>
      <c r="B30" s="983"/>
      <c r="C30" s="983"/>
      <c r="D30" s="983"/>
      <c r="E30" s="983"/>
      <c r="F30" s="983"/>
      <c r="G30" s="983"/>
      <c r="H30" s="983"/>
      <c r="I30" s="984"/>
    </row>
    <row r="31" spans="1:9" s="260" customFormat="1" ht="15" customHeight="1">
      <c r="A31" s="626" t="s">
        <v>726</v>
      </c>
      <c r="B31" s="983"/>
      <c r="C31" s="983"/>
      <c r="D31" s="983"/>
      <c r="E31" s="983"/>
      <c r="F31" s="983"/>
      <c r="G31" s="983"/>
      <c r="H31" s="983"/>
      <c r="I31" s="984"/>
    </row>
    <row r="32" spans="1:9" s="260" customFormat="1" ht="15" customHeight="1">
      <c r="A32" s="626" t="s">
        <v>727</v>
      </c>
      <c r="I32" s="983"/>
    </row>
    <row r="33" spans="1:9" s="260" customFormat="1" ht="15" customHeight="1">
      <c r="A33" s="626"/>
      <c r="B33" s="985"/>
      <c r="C33" s="985"/>
      <c r="D33" s="985"/>
      <c r="E33" s="985"/>
      <c r="F33" s="985"/>
      <c r="G33" s="985"/>
      <c r="H33" s="985"/>
      <c r="I33" s="983"/>
    </row>
    <row r="34" spans="1:9" s="988" customFormat="1" ht="12" customHeight="1">
      <c r="A34" s="985"/>
      <c r="B34" s="986"/>
      <c r="C34" s="986"/>
      <c r="D34" s="986"/>
      <c r="E34" s="986"/>
      <c r="F34" s="986"/>
      <c r="G34" s="986"/>
      <c r="H34" s="986"/>
      <c r="I34" s="987"/>
    </row>
    <row r="35" spans="1:9" s="988" customFormat="1" ht="12.75" customHeight="1">
      <c r="A35" s="986"/>
      <c r="B35" s="989"/>
      <c r="C35" s="989"/>
      <c r="D35" s="989"/>
      <c r="E35" s="989"/>
      <c r="F35" s="989"/>
      <c r="G35" s="989"/>
      <c r="H35" s="989"/>
      <c r="I35" s="990"/>
    </row>
    <row r="36" spans="1:9">
      <c r="A36" s="989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20" orientation="portrait" useFirstPageNumber="1" r:id="rId1"/>
  <headerFooter differentOddEven="1" scaleWithDoc="0" alignWithMargins="0">
    <firstFooter>&amp;R&amp;P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3" topLeftCell="B4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6.5"/>
  <cols>
    <col min="1" max="1" width="7.125" style="14" customWidth="1"/>
    <col min="2" max="12" width="7.25" style="14" customWidth="1"/>
    <col min="13" max="13" width="7.625" style="14" customWidth="1"/>
    <col min="14" max="16384" width="10" style="1018"/>
  </cols>
  <sheetData>
    <row r="1" spans="1:13" s="992" customFormat="1" ht="20.25" customHeight="1">
      <c r="A1" s="991" t="s">
        <v>728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</row>
    <row r="2" spans="1:13" s="993" customFormat="1" ht="17.25" customHeight="1">
      <c r="A2" s="522" t="s">
        <v>729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</row>
    <row r="3" spans="1:13" s="996" customFormat="1" ht="15" customHeight="1">
      <c r="A3" s="994" t="str">
        <f>'3-1. 발전설비용량(한전 및 발전자회사 상세) '!A3</f>
        <v>2022년 12월</v>
      </c>
      <c r="B3" s="382"/>
      <c r="C3" s="995"/>
      <c r="D3" s="382"/>
      <c r="E3" s="382"/>
      <c r="F3" s="995"/>
      <c r="G3" s="995"/>
      <c r="H3" s="995"/>
      <c r="I3" s="995"/>
      <c r="J3" s="995"/>
      <c r="K3" s="2929" t="s">
        <v>730</v>
      </c>
      <c r="L3" s="2929"/>
      <c r="M3" s="2929"/>
    </row>
    <row r="4" spans="1:13" s="997" customFormat="1" ht="30" customHeight="1">
      <c r="A4" s="2930" t="s">
        <v>203</v>
      </c>
      <c r="B4" s="2932" t="s">
        <v>155</v>
      </c>
      <c r="C4" s="2884" t="s">
        <v>165</v>
      </c>
      <c r="D4" s="2884"/>
      <c r="E4" s="2884"/>
      <c r="F4" s="2884"/>
      <c r="G4" s="2933"/>
      <c r="H4" s="2934" t="s">
        <v>164</v>
      </c>
      <c r="I4" s="2934" t="s">
        <v>158</v>
      </c>
      <c r="J4" s="2935" t="s">
        <v>13</v>
      </c>
      <c r="K4" s="2936" t="s">
        <v>159</v>
      </c>
      <c r="L4" s="2937" t="s">
        <v>160</v>
      </c>
      <c r="M4" s="2881" t="s">
        <v>161</v>
      </c>
    </row>
    <row r="5" spans="1:13" s="997" customFormat="1" ht="30" customHeight="1">
      <c r="A5" s="2931"/>
      <c r="B5" s="2873"/>
      <c r="C5" s="560" t="s">
        <v>128</v>
      </c>
      <c r="D5" s="261" t="s">
        <v>127</v>
      </c>
      <c r="E5" s="261" t="s">
        <v>447</v>
      </c>
      <c r="F5" s="261" t="s">
        <v>190</v>
      </c>
      <c r="G5" s="261" t="s">
        <v>161</v>
      </c>
      <c r="H5" s="2865"/>
      <c r="I5" s="2865"/>
      <c r="J5" s="2867"/>
      <c r="K5" s="2867"/>
      <c r="L5" s="2938"/>
      <c r="M5" s="2883"/>
    </row>
    <row r="6" spans="1:13" s="997" customFormat="1" ht="33.6" customHeight="1">
      <c r="A6" s="998" t="s">
        <v>731</v>
      </c>
      <c r="B6" s="999">
        <v>0.316</v>
      </c>
      <c r="C6" s="1000" t="s">
        <v>171</v>
      </c>
      <c r="D6" s="1001" t="s">
        <v>171</v>
      </c>
      <c r="E6" s="1001" t="s">
        <v>171</v>
      </c>
      <c r="F6" s="1001">
        <v>64</v>
      </c>
      <c r="G6" s="1001">
        <v>64</v>
      </c>
      <c r="H6" s="1001">
        <v>738.346</v>
      </c>
      <c r="I6" s="1001" t="s">
        <v>171</v>
      </c>
      <c r="J6" s="1001" t="s">
        <v>171</v>
      </c>
      <c r="K6" s="1001">
        <v>119.965</v>
      </c>
      <c r="L6" s="1002">
        <v>27.95</v>
      </c>
      <c r="M6" s="1003">
        <v>950.577</v>
      </c>
    </row>
    <row r="7" spans="1:13" s="997" customFormat="1" ht="33.6" customHeight="1">
      <c r="A7" s="1004" t="s">
        <v>732</v>
      </c>
      <c r="B7" s="967">
        <v>0.01</v>
      </c>
      <c r="C7" s="1005" t="s">
        <v>171</v>
      </c>
      <c r="D7" s="968">
        <v>19</v>
      </c>
      <c r="E7" s="968" t="s">
        <v>171</v>
      </c>
      <c r="F7" s="968" t="s">
        <v>171</v>
      </c>
      <c r="G7" s="968">
        <v>19</v>
      </c>
      <c r="H7" s="968">
        <v>1845.836</v>
      </c>
      <c r="I7" s="968" t="s">
        <v>171</v>
      </c>
      <c r="J7" s="968">
        <v>4550</v>
      </c>
      <c r="K7" s="968">
        <v>216.08799999999999</v>
      </c>
      <c r="L7" s="1006">
        <v>33.9</v>
      </c>
      <c r="M7" s="971">
        <v>6664.8339999999998</v>
      </c>
    </row>
    <row r="8" spans="1:13" s="997" customFormat="1" ht="33.6" customHeight="1">
      <c r="A8" s="1004" t="s">
        <v>733</v>
      </c>
      <c r="B8" s="967">
        <v>3.56</v>
      </c>
      <c r="C8" s="1005" t="s">
        <v>171</v>
      </c>
      <c r="D8" s="968">
        <v>72.900000000000006</v>
      </c>
      <c r="E8" s="968">
        <v>43.5</v>
      </c>
      <c r="F8" s="968" t="s">
        <v>171</v>
      </c>
      <c r="G8" s="968">
        <v>116.4</v>
      </c>
      <c r="H8" s="968">
        <v>370.7</v>
      </c>
      <c r="I8" s="968" t="s">
        <v>171</v>
      </c>
      <c r="J8" s="968" t="s">
        <v>171</v>
      </c>
      <c r="K8" s="968">
        <v>137.81100000000001</v>
      </c>
      <c r="L8" s="1006">
        <v>9.9</v>
      </c>
      <c r="M8" s="971">
        <v>638.37099999999998</v>
      </c>
    </row>
    <row r="9" spans="1:13" s="997" customFormat="1" ht="33.6" customHeight="1">
      <c r="A9" s="1004" t="s">
        <v>734</v>
      </c>
      <c r="B9" s="967">
        <v>12.599</v>
      </c>
      <c r="C9" s="1005" t="s">
        <v>171</v>
      </c>
      <c r="D9" s="968">
        <v>5080</v>
      </c>
      <c r="E9" s="968" t="s">
        <v>171</v>
      </c>
      <c r="F9" s="968">
        <v>24</v>
      </c>
      <c r="G9" s="968">
        <v>5104</v>
      </c>
      <c r="H9" s="968">
        <v>8552.7469999999994</v>
      </c>
      <c r="I9" s="968">
        <v>36.229999999999997</v>
      </c>
      <c r="J9" s="968" t="s">
        <v>171</v>
      </c>
      <c r="K9" s="968">
        <v>458.84500000000003</v>
      </c>
      <c r="L9" s="1006">
        <v>33.28</v>
      </c>
      <c r="M9" s="971">
        <v>14197.700999999999</v>
      </c>
    </row>
    <row r="10" spans="1:13" s="997" customFormat="1" ht="33.6" customHeight="1">
      <c r="A10" s="1004" t="s">
        <v>735</v>
      </c>
      <c r="B10" s="967">
        <v>1.83</v>
      </c>
      <c r="C10" s="1005" t="s">
        <v>171</v>
      </c>
      <c r="D10" s="968" t="s">
        <v>171</v>
      </c>
      <c r="E10" s="968" t="s">
        <v>171</v>
      </c>
      <c r="F10" s="968" t="s">
        <v>171</v>
      </c>
      <c r="G10" s="968" t="s">
        <v>171</v>
      </c>
      <c r="H10" s="968">
        <v>115.246</v>
      </c>
      <c r="I10" s="968" t="s">
        <v>171</v>
      </c>
      <c r="J10" s="968" t="s">
        <v>171</v>
      </c>
      <c r="K10" s="968">
        <v>265.37299999999999</v>
      </c>
      <c r="L10" s="1006">
        <v>4.3600000000000003</v>
      </c>
      <c r="M10" s="971">
        <v>386.80900000000003</v>
      </c>
    </row>
    <row r="11" spans="1:13" s="997" customFormat="1" ht="33.6" customHeight="1">
      <c r="A11" s="1004" t="s">
        <v>736</v>
      </c>
      <c r="B11" s="967" t="s">
        <v>171</v>
      </c>
      <c r="C11" s="1005" t="s">
        <v>171</v>
      </c>
      <c r="D11" s="968" t="s">
        <v>171</v>
      </c>
      <c r="E11" s="968" t="s">
        <v>171</v>
      </c>
      <c r="F11" s="968">
        <v>48.3</v>
      </c>
      <c r="G11" s="968">
        <v>48.3</v>
      </c>
      <c r="H11" s="968" t="s">
        <v>171</v>
      </c>
      <c r="I11" s="968" t="s">
        <v>171</v>
      </c>
      <c r="J11" s="968" t="s">
        <v>171</v>
      </c>
      <c r="K11" s="968">
        <v>52.098999999999997</v>
      </c>
      <c r="L11" s="1006">
        <v>88</v>
      </c>
      <c r="M11" s="971">
        <v>188.399</v>
      </c>
    </row>
    <row r="12" spans="1:13" s="997" customFormat="1" ht="33.6" customHeight="1">
      <c r="A12" s="1004" t="s">
        <v>737</v>
      </c>
      <c r="B12" s="967">
        <v>0.3</v>
      </c>
      <c r="C12" s="1005" t="s">
        <v>171</v>
      </c>
      <c r="D12" s="968" t="s">
        <v>171</v>
      </c>
      <c r="E12" s="968" t="s">
        <v>171</v>
      </c>
      <c r="F12" s="968" t="s">
        <v>171</v>
      </c>
      <c r="G12" s="968" t="s">
        <v>171</v>
      </c>
      <c r="H12" s="968">
        <v>2514.6999999999998</v>
      </c>
      <c r="I12" s="968" t="s">
        <v>171</v>
      </c>
      <c r="J12" s="968">
        <v>2800</v>
      </c>
      <c r="K12" s="968">
        <v>115.608</v>
      </c>
      <c r="L12" s="1006">
        <v>21.9</v>
      </c>
      <c r="M12" s="971">
        <v>5452.5079999999998</v>
      </c>
    </row>
    <row r="13" spans="1:13" s="997" customFormat="1" ht="33.6" customHeight="1">
      <c r="A13" s="1004" t="s">
        <v>738</v>
      </c>
      <c r="B13" s="967">
        <v>2.31</v>
      </c>
      <c r="C13" s="1005" t="s">
        <v>171</v>
      </c>
      <c r="D13" s="968" t="s">
        <v>171</v>
      </c>
      <c r="E13" s="968" t="s">
        <v>171</v>
      </c>
      <c r="F13" s="968" t="s">
        <v>171</v>
      </c>
      <c r="G13" s="968" t="s">
        <v>171</v>
      </c>
      <c r="H13" s="968">
        <v>530.44100000000003</v>
      </c>
      <c r="I13" s="968" t="s">
        <v>171</v>
      </c>
      <c r="J13" s="968" t="s">
        <v>171</v>
      </c>
      <c r="K13" s="968">
        <v>72.722999999999999</v>
      </c>
      <c r="L13" s="1006">
        <v>3.25</v>
      </c>
      <c r="M13" s="971">
        <v>608.72400000000005</v>
      </c>
    </row>
    <row r="14" spans="1:13" s="997" customFormat="1" ht="33.6" customHeight="1">
      <c r="A14" s="1004" t="s">
        <v>739</v>
      </c>
      <c r="B14" s="967">
        <v>676.11800000000005</v>
      </c>
      <c r="C14" s="1005" t="s">
        <v>171</v>
      </c>
      <c r="D14" s="968">
        <v>253.35499999999999</v>
      </c>
      <c r="E14" s="968">
        <v>43.2</v>
      </c>
      <c r="F14" s="968">
        <v>1460</v>
      </c>
      <c r="G14" s="968">
        <v>1756.5550000000001</v>
      </c>
      <c r="H14" s="968">
        <v>16151.857</v>
      </c>
      <c r="I14" s="968">
        <v>0.45</v>
      </c>
      <c r="J14" s="968" t="s">
        <v>171</v>
      </c>
      <c r="K14" s="968">
        <v>1856.4949999999999</v>
      </c>
      <c r="L14" s="1006">
        <v>58.155000000000001</v>
      </c>
      <c r="M14" s="971">
        <v>20499.63</v>
      </c>
    </row>
    <row r="15" spans="1:13" s="997" customFormat="1" ht="33.6" customHeight="1">
      <c r="A15" s="1004" t="s">
        <v>740</v>
      </c>
      <c r="B15" s="967">
        <v>1520.095</v>
      </c>
      <c r="C15" s="1005">
        <v>400</v>
      </c>
      <c r="D15" s="968">
        <v>4274</v>
      </c>
      <c r="E15" s="968" t="s">
        <v>171</v>
      </c>
      <c r="F15" s="968" t="s">
        <v>171</v>
      </c>
      <c r="G15" s="968">
        <v>4674</v>
      </c>
      <c r="H15" s="968">
        <v>1279.2</v>
      </c>
      <c r="I15" s="968" t="s">
        <v>171</v>
      </c>
      <c r="J15" s="968" t="s">
        <v>171</v>
      </c>
      <c r="K15" s="968">
        <v>2445.221</v>
      </c>
      <c r="L15" s="1006">
        <v>13.39</v>
      </c>
      <c r="M15" s="971">
        <v>9931.9060000000009</v>
      </c>
    </row>
    <row r="16" spans="1:13" s="997" customFormat="1" ht="33.6" customHeight="1">
      <c r="A16" s="1004" t="s">
        <v>741</v>
      </c>
      <c r="B16" s="967">
        <v>519.00400000000002</v>
      </c>
      <c r="C16" s="1005" t="s">
        <v>171</v>
      </c>
      <c r="D16" s="968" t="s">
        <v>171</v>
      </c>
      <c r="E16" s="968">
        <v>58.3</v>
      </c>
      <c r="F16" s="968" t="s">
        <v>171</v>
      </c>
      <c r="G16" s="968">
        <v>58.3</v>
      </c>
      <c r="H16" s="968" t="s">
        <v>171</v>
      </c>
      <c r="I16" s="968" t="s">
        <v>171</v>
      </c>
      <c r="J16" s="968" t="s">
        <v>171</v>
      </c>
      <c r="K16" s="968">
        <v>1181.4860000000001</v>
      </c>
      <c r="L16" s="1006">
        <v>52.807000000000002</v>
      </c>
      <c r="M16" s="971">
        <v>1811.597</v>
      </c>
    </row>
    <row r="17" spans="1:13" s="997" customFormat="1" ht="33.6" customHeight="1">
      <c r="A17" s="1004" t="s">
        <v>742</v>
      </c>
      <c r="B17" s="967">
        <v>32.296999999999997</v>
      </c>
      <c r="C17" s="1005" t="s">
        <v>171</v>
      </c>
      <c r="D17" s="968">
        <v>18246.058000000001</v>
      </c>
      <c r="E17" s="968" t="s">
        <v>171</v>
      </c>
      <c r="F17" s="968" t="s">
        <v>171</v>
      </c>
      <c r="G17" s="968">
        <v>18246.058000000001</v>
      </c>
      <c r="H17" s="968">
        <v>4179.25</v>
      </c>
      <c r="I17" s="968">
        <v>4.07</v>
      </c>
      <c r="J17" s="968" t="s">
        <v>171</v>
      </c>
      <c r="K17" s="968">
        <v>3360.1880000000001</v>
      </c>
      <c r="L17" s="1006">
        <v>9.2799999999999994</v>
      </c>
      <c r="M17" s="971">
        <v>25831.143</v>
      </c>
    </row>
    <row r="18" spans="1:13" s="997" customFormat="1" ht="33.6" customHeight="1">
      <c r="A18" s="1004" t="s">
        <v>743</v>
      </c>
      <c r="B18" s="967">
        <v>678.38699999999994</v>
      </c>
      <c r="C18" s="1005" t="s">
        <v>171</v>
      </c>
      <c r="D18" s="968">
        <v>445.36900000000003</v>
      </c>
      <c r="E18" s="968" t="s">
        <v>171</v>
      </c>
      <c r="F18" s="968" t="s">
        <v>171</v>
      </c>
      <c r="G18" s="968">
        <v>445.36900000000003</v>
      </c>
      <c r="H18" s="968">
        <v>718.4</v>
      </c>
      <c r="I18" s="968">
        <v>7.34</v>
      </c>
      <c r="J18" s="968" t="s">
        <v>171</v>
      </c>
      <c r="K18" s="968">
        <v>4534.28</v>
      </c>
      <c r="L18" s="1006">
        <v>14.695</v>
      </c>
      <c r="M18" s="971">
        <v>6398.4709999999995</v>
      </c>
    </row>
    <row r="19" spans="1:13" s="997" customFormat="1" ht="33.6" customHeight="1">
      <c r="A19" s="1004" t="s">
        <v>744</v>
      </c>
      <c r="B19" s="967">
        <v>38.756999999999998</v>
      </c>
      <c r="C19" s="1005" t="s">
        <v>171</v>
      </c>
      <c r="D19" s="968">
        <v>981.1</v>
      </c>
      <c r="E19" s="968" t="s">
        <v>171</v>
      </c>
      <c r="F19" s="968" t="s">
        <v>171</v>
      </c>
      <c r="G19" s="968">
        <v>981.1</v>
      </c>
      <c r="H19" s="968">
        <v>2378.9</v>
      </c>
      <c r="I19" s="968">
        <v>22.44</v>
      </c>
      <c r="J19" s="968">
        <v>5900</v>
      </c>
      <c r="K19" s="968">
        <v>5127.5240000000003</v>
      </c>
      <c r="L19" s="1006">
        <v>23.01</v>
      </c>
      <c r="M19" s="971">
        <v>14471.731</v>
      </c>
    </row>
    <row r="20" spans="1:13" s="997" customFormat="1" ht="33.6" customHeight="1">
      <c r="A20" s="1004" t="s">
        <v>745</v>
      </c>
      <c r="B20" s="967">
        <v>1580.155</v>
      </c>
      <c r="C20" s="1005" t="s">
        <v>171</v>
      </c>
      <c r="D20" s="968">
        <v>156.1</v>
      </c>
      <c r="E20" s="968" t="s">
        <v>171</v>
      </c>
      <c r="F20" s="968" t="s">
        <v>171</v>
      </c>
      <c r="G20" s="968">
        <v>156.1</v>
      </c>
      <c r="H20" s="968">
        <v>361.6</v>
      </c>
      <c r="I20" s="968">
        <v>18.5</v>
      </c>
      <c r="J20" s="968">
        <v>11400</v>
      </c>
      <c r="K20" s="968">
        <v>3386.078</v>
      </c>
      <c r="L20" s="1006">
        <v>38.935000000000002</v>
      </c>
      <c r="M20" s="971">
        <v>16941.367999999999</v>
      </c>
    </row>
    <row r="21" spans="1:13" s="997" customFormat="1" ht="33.6" customHeight="1">
      <c r="A21" s="1004" t="s">
        <v>746</v>
      </c>
      <c r="B21" s="967">
        <v>1445.4690000000001</v>
      </c>
      <c r="C21" s="1005" t="s">
        <v>171</v>
      </c>
      <c r="D21" s="968">
        <v>8200</v>
      </c>
      <c r="E21" s="968">
        <v>26.3</v>
      </c>
      <c r="F21" s="968" t="s">
        <v>171</v>
      </c>
      <c r="G21" s="968">
        <v>8226.2999999999993</v>
      </c>
      <c r="H21" s="968" t="s">
        <v>171</v>
      </c>
      <c r="I21" s="968">
        <v>0.89</v>
      </c>
      <c r="J21" s="968" t="s">
        <v>171</v>
      </c>
      <c r="K21" s="968">
        <v>1546.51</v>
      </c>
      <c r="L21" s="1006">
        <v>4.8806000000000003</v>
      </c>
      <c r="M21" s="971">
        <v>11224.049000000001</v>
      </c>
    </row>
    <row r="22" spans="1:13" s="997" customFormat="1" ht="33.6" customHeight="1">
      <c r="A22" s="1007" t="s">
        <v>747</v>
      </c>
      <c r="B22" s="1008">
        <v>1.216</v>
      </c>
      <c r="C22" s="1009" t="s">
        <v>171</v>
      </c>
      <c r="D22" s="1010" t="s">
        <v>171</v>
      </c>
      <c r="E22" s="1010" t="s">
        <v>171</v>
      </c>
      <c r="F22" s="1010" t="s">
        <v>171</v>
      </c>
      <c r="G22" s="1010" t="s">
        <v>171</v>
      </c>
      <c r="H22" s="1010">
        <v>479.97899999999998</v>
      </c>
      <c r="I22" s="1010">
        <v>46.89</v>
      </c>
      <c r="J22" s="1010" t="s">
        <v>171</v>
      </c>
      <c r="K22" s="1010">
        <v>1272.498</v>
      </c>
      <c r="L22" s="1011">
        <v>19.2</v>
      </c>
      <c r="M22" s="1012">
        <v>1819.7840000000001</v>
      </c>
    </row>
    <row r="23" spans="1:13" s="997" customFormat="1" ht="33.6" customHeight="1">
      <c r="A23" s="1013" t="s">
        <v>133</v>
      </c>
      <c r="B23" s="976">
        <v>6512.4229999999998</v>
      </c>
      <c r="C23" s="1014">
        <v>400</v>
      </c>
      <c r="D23" s="977">
        <v>37727.881999999998</v>
      </c>
      <c r="E23" s="977">
        <v>171.3</v>
      </c>
      <c r="F23" s="977">
        <v>1596.3</v>
      </c>
      <c r="G23" s="977">
        <v>39895.482000000004</v>
      </c>
      <c r="H23" s="977">
        <v>40217.201999999997</v>
      </c>
      <c r="I23" s="977">
        <v>136.81</v>
      </c>
      <c r="J23" s="977">
        <v>24650</v>
      </c>
      <c r="K23" s="977">
        <v>26148.792000000001</v>
      </c>
      <c r="L23" s="978">
        <v>456.89260000000002</v>
      </c>
      <c r="M23" s="1015">
        <v>138017.60200000001</v>
      </c>
    </row>
    <row r="24" spans="1:13" s="1016" customFormat="1" ht="15" customHeight="1">
      <c r="A24" s="305" t="s">
        <v>748</v>
      </c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626"/>
    </row>
    <row r="25" spans="1:13" s="1016" customFormat="1" ht="15" customHeight="1">
      <c r="A25" s="305" t="s">
        <v>40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</row>
    <row r="26" spans="1:13" s="1016" customFormat="1" ht="15" customHeight="1">
      <c r="A26" s="305" t="s">
        <v>727</v>
      </c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626"/>
    </row>
    <row r="27" spans="1:13" s="997" customFormat="1" ht="3" customHeight="1">
      <c r="A27" s="626"/>
      <c r="B27" s="1017"/>
      <c r="C27" s="1017"/>
      <c r="D27" s="1017"/>
      <c r="E27" s="1017"/>
      <c r="F27" s="1017"/>
      <c r="G27" s="1017"/>
      <c r="H27" s="1017"/>
      <c r="I27" s="1017"/>
      <c r="J27" s="1017"/>
      <c r="K27" s="1017"/>
      <c r="L27" s="1017"/>
      <c r="M27" s="1017"/>
    </row>
    <row r="28" spans="1:13">
      <c r="A28" s="1017"/>
    </row>
  </sheetData>
  <mergeCells count="10">
    <mergeCell ref="K3:M3"/>
    <mergeCell ref="A4:A5"/>
    <mergeCell ref="B4:B5"/>
    <mergeCell ref="C4:G4"/>
    <mergeCell ref="H4:H5"/>
    <mergeCell ref="I4:I5"/>
    <mergeCell ref="J4:J5"/>
    <mergeCell ref="K4:K5"/>
    <mergeCell ref="L4:L5"/>
    <mergeCell ref="M4:M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21" orientation="portrait" useFirstPageNumber="1" r:id="rId1"/>
  <headerFooter differentOddEven="1" scaleWithDoc="0" alignWithMargins="0">
    <firstFooter>&amp;R&amp;P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16"/>
  <sheetViews>
    <sheetView showGridLines="0" view="pageBreakPreview" topLeftCell="A10" zoomScale="85" zoomScaleNormal="100" zoomScaleSheetLayoutView="85" workbookViewId="0"/>
  </sheetViews>
  <sheetFormatPr defaultColWidth="10" defaultRowHeight="12"/>
  <cols>
    <col min="1" max="1" width="6.875" style="315" customWidth="1"/>
    <col min="2" max="2" width="6.125" style="1046" customWidth="1"/>
    <col min="3" max="3" width="20.25" style="1046" customWidth="1"/>
    <col min="4" max="4" width="20.25" style="1047" customWidth="1"/>
    <col min="5" max="6" width="20.25" style="1046" customWidth="1"/>
    <col min="7" max="16384" width="10" style="315"/>
  </cols>
  <sheetData>
    <row r="1" spans="1:22" s="251" customFormat="1" ht="23.25" customHeight="1">
      <c r="A1" s="248" t="s">
        <v>749</v>
      </c>
      <c r="B1" s="1019"/>
      <c r="C1" s="1020"/>
      <c r="D1" s="1021"/>
      <c r="E1" s="1020"/>
      <c r="F1" s="1020"/>
      <c r="G1" s="1022"/>
      <c r="H1" s="1023"/>
      <c r="I1" s="1022"/>
      <c r="J1" s="1023"/>
      <c r="K1" s="1022"/>
      <c r="L1" s="1022"/>
      <c r="M1" s="1022"/>
      <c r="N1" s="1022"/>
      <c r="O1" s="1022"/>
      <c r="P1" s="1022"/>
      <c r="Q1" s="1022"/>
      <c r="R1" s="1022"/>
      <c r="S1" s="1022"/>
      <c r="T1" s="1022"/>
      <c r="U1" s="1022"/>
      <c r="V1" s="1022"/>
    </row>
    <row r="2" spans="1:22" s="260" customFormat="1" ht="21" customHeight="1">
      <c r="A2" s="252" t="s">
        <v>750</v>
      </c>
      <c r="B2" s="1019"/>
      <c r="C2" s="1020"/>
      <c r="D2" s="1021"/>
      <c r="E2" s="1020"/>
      <c r="F2" s="1020"/>
      <c r="G2" s="1024"/>
      <c r="H2" s="1025"/>
      <c r="I2" s="1024"/>
      <c r="J2" s="1025"/>
      <c r="K2" s="1024"/>
      <c r="L2" s="1024"/>
      <c r="M2" s="1024"/>
      <c r="N2" s="1024"/>
      <c r="O2" s="1024"/>
      <c r="P2" s="1024"/>
      <c r="Q2" s="1024"/>
      <c r="R2" s="1024"/>
      <c r="S2" s="1024"/>
      <c r="T2" s="1024"/>
      <c r="U2" s="1024"/>
      <c r="V2" s="1024"/>
    </row>
    <row r="3" spans="1:22" s="260" customFormat="1" ht="21" customHeight="1">
      <c r="A3" s="252"/>
      <c r="B3" s="1019"/>
      <c r="C3" s="1020"/>
      <c r="D3" s="1021"/>
      <c r="E3" s="1020"/>
      <c r="F3" s="1020"/>
      <c r="G3" s="1024"/>
      <c r="H3" s="1025"/>
      <c r="I3" s="1024"/>
      <c r="J3" s="1025"/>
      <c r="K3" s="1024"/>
      <c r="L3" s="1024"/>
      <c r="M3" s="1024"/>
      <c r="N3" s="1024"/>
      <c r="O3" s="1024"/>
      <c r="P3" s="1024"/>
      <c r="Q3" s="1024"/>
      <c r="R3" s="1024"/>
      <c r="S3" s="1024"/>
      <c r="T3" s="1024"/>
      <c r="U3" s="1024"/>
      <c r="V3" s="1024"/>
    </row>
    <row r="4" spans="1:22" s="260" customFormat="1" ht="18" customHeight="1">
      <c r="A4" s="252"/>
      <c r="B4" s="1019"/>
      <c r="C4" s="1020"/>
      <c r="D4" s="1021"/>
      <c r="E4" s="1020"/>
      <c r="F4" s="1026" t="s">
        <v>751</v>
      </c>
      <c r="G4" s="1024"/>
      <c r="H4" s="1025"/>
      <c r="I4" s="1024"/>
      <c r="J4" s="1025"/>
      <c r="K4" s="1024"/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</row>
    <row r="5" spans="1:22" ht="26.25" customHeight="1">
      <c r="A5" s="2943" t="s">
        <v>752</v>
      </c>
      <c r="B5" s="2944"/>
      <c r="C5" s="2944" t="s">
        <v>753</v>
      </c>
      <c r="D5" s="1027" t="s">
        <v>495</v>
      </c>
      <c r="E5" s="2947" t="s">
        <v>754</v>
      </c>
      <c r="F5" s="2948" t="s">
        <v>755</v>
      </c>
    </row>
    <row r="6" spans="1:22" ht="26.25" customHeight="1">
      <c r="A6" s="2945"/>
      <c r="B6" s="2946"/>
      <c r="C6" s="2946"/>
      <c r="D6" s="1028" t="s">
        <v>756</v>
      </c>
      <c r="E6" s="2946"/>
      <c r="F6" s="2949"/>
      <c r="H6" s="412"/>
    </row>
    <row r="7" spans="1:22" ht="69.95" customHeight="1">
      <c r="A7" s="2939" t="s">
        <v>117</v>
      </c>
      <c r="B7" s="2940"/>
      <c r="C7" s="1029" t="s">
        <v>757</v>
      </c>
      <c r="D7" s="1030" t="s">
        <v>758</v>
      </c>
      <c r="E7" s="1031" t="s">
        <v>759</v>
      </c>
      <c r="F7" s="1032" t="s">
        <v>760</v>
      </c>
    </row>
    <row r="8" spans="1:22" ht="69.95" customHeight="1">
      <c r="A8" s="2950"/>
      <c r="B8" s="2951"/>
      <c r="C8" s="1029" t="s">
        <v>761</v>
      </c>
      <c r="D8" s="1030" t="s">
        <v>758</v>
      </c>
      <c r="E8" s="1031" t="s">
        <v>762</v>
      </c>
      <c r="F8" s="1032" t="s">
        <v>760</v>
      </c>
    </row>
    <row r="9" spans="1:22" ht="110.1" customHeight="1">
      <c r="A9" s="2939" t="s">
        <v>763</v>
      </c>
      <c r="B9" s="2940"/>
      <c r="C9" s="1033" t="s">
        <v>764</v>
      </c>
      <c r="D9" s="1034" t="s">
        <v>765</v>
      </c>
      <c r="E9" s="1035" t="s">
        <v>766</v>
      </c>
      <c r="F9" s="1036" t="s">
        <v>767</v>
      </c>
    </row>
    <row r="10" spans="1:22" ht="69.95" customHeight="1">
      <c r="A10" s="2952"/>
      <c r="B10" s="2953"/>
      <c r="C10" s="1033" t="s">
        <v>768</v>
      </c>
      <c r="D10" s="1034" t="s">
        <v>769</v>
      </c>
      <c r="E10" s="1035" t="s">
        <v>770</v>
      </c>
      <c r="F10" s="1036" t="s">
        <v>771</v>
      </c>
    </row>
    <row r="11" spans="1:22" ht="110.1" customHeight="1">
      <c r="A11" s="2950"/>
      <c r="B11" s="2951"/>
      <c r="C11" s="1033" t="s">
        <v>772</v>
      </c>
      <c r="D11" s="1034" t="s">
        <v>773</v>
      </c>
      <c r="E11" s="1035" t="s">
        <v>774</v>
      </c>
      <c r="F11" s="1036" t="s">
        <v>775</v>
      </c>
    </row>
    <row r="12" spans="1:22" ht="69.95" customHeight="1">
      <c r="A12" s="2939" t="s">
        <v>776</v>
      </c>
      <c r="B12" s="2940"/>
      <c r="C12" s="1029" t="s">
        <v>777</v>
      </c>
      <c r="D12" s="1030" t="s">
        <v>778</v>
      </c>
      <c r="E12" s="1037" t="s">
        <v>779</v>
      </c>
      <c r="F12" s="1032" t="s">
        <v>780</v>
      </c>
    </row>
    <row r="13" spans="1:22" ht="69.95" customHeight="1">
      <c r="A13" s="2941"/>
      <c r="B13" s="2942"/>
      <c r="C13" s="1038" t="s">
        <v>781</v>
      </c>
      <c r="D13" s="1038" t="s">
        <v>782</v>
      </c>
      <c r="E13" s="1039" t="s">
        <v>783</v>
      </c>
      <c r="F13" s="1040" t="s">
        <v>784</v>
      </c>
    </row>
    <row r="14" spans="1:22" ht="18" customHeight="1">
      <c r="A14" s="305" t="s">
        <v>785</v>
      </c>
      <c r="B14" s="305"/>
      <c r="C14" s="1041"/>
      <c r="D14" s="1041"/>
      <c r="E14" s="576"/>
      <c r="F14" s="1041"/>
    </row>
    <row r="15" spans="1:22" ht="12" customHeight="1">
      <c r="A15" s="1042"/>
      <c r="B15" s="1043"/>
      <c r="C15" s="1043"/>
      <c r="D15" s="1044"/>
      <c r="E15" s="1043"/>
      <c r="F15" s="1045"/>
    </row>
    <row r="16" spans="1:22" s="312" customFormat="1" ht="15" customHeight="1">
      <c r="A16" s="315"/>
      <c r="B16" s="1046"/>
      <c r="C16" s="1046"/>
      <c r="D16" s="1047"/>
      <c r="E16" s="1046"/>
      <c r="F16" s="1046"/>
    </row>
  </sheetData>
  <mergeCells count="7">
    <mergeCell ref="A12:B13"/>
    <mergeCell ref="A5:B6"/>
    <mergeCell ref="C5:C6"/>
    <mergeCell ref="E5:E6"/>
    <mergeCell ref="F5:F6"/>
    <mergeCell ref="A7:B8"/>
    <mergeCell ref="A9:B11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22" orientation="portrait" useFirstPageNumber="1" r:id="rId1"/>
  <headerFooter differentOddEven="1"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30"/>
  <sheetViews>
    <sheetView view="pageBreakPreview" zoomScale="60" zoomScaleNormal="100" workbookViewId="0"/>
  </sheetViews>
  <sheetFormatPr defaultColWidth="9" defaultRowHeight="13.5"/>
  <cols>
    <col min="1" max="16384" width="9" style="13"/>
  </cols>
  <sheetData>
    <row r="1" spans="1:11" ht="16.5">
      <c r="A1" s="12"/>
      <c r="B1" s="12"/>
      <c r="C1" s="12"/>
      <c r="D1" s="12"/>
      <c r="E1" s="12"/>
      <c r="F1" s="12"/>
    </row>
    <row r="2" spans="1:11" ht="16.5">
      <c r="A2" s="12"/>
      <c r="B2" s="12"/>
      <c r="C2" s="12"/>
      <c r="D2" s="12"/>
      <c r="E2" s="12"/>
      <c r="F2" s="12"/>
    </row>
    <row r="3" spans="1:11" ht="16.5">
      <c r="A3" s="14"/>
      <c r="B3" s="14"/>
      <c r="C3" s="14"/>
      <c r="D3" s="14"/>
      <c r="E3" s="14"/>
      <c r="F3" s="14"/>
      <c r="G3" s="15"/>
      <c r="H3" s="15"/>
      <c r="I3" s="15"/>
      <c r="J3" s="15"/>
      <c r="K3" s="15"/>
    </row>
    <row r="4" spans="1:11" ht="33.75">
      <c r="A4" s="14"/>
      <c r="B4" s="16" t="s">
        <v>3</v>
      </c>
      <c r="C4" s="14"/>
      <c r="D4" s="14"/>
      <c r="E4" s="14"/>
      <c r="F4" s="14"/>
      <c r="G4" s="15"/>
      <c r="H4" s="15"/>
      <c r="I4" s="15"/>
      <c r="J4" s="15"/>
      <c r="K4" s="15"/>
    </row>
    <row r="5" spans="1:11" ht="16.5">
      <c r="A5" s="14"/>
      <c r="B5" s="14"/>
      <c r="C5" s="14"/>
      <c r="D5" s="14"/>
      <c r="E5" s="14"/>
      <c r="F5" s="14"/>
      <c r="G5" s="15"/>
      <c r="H5" s="15"/>
      <c r="I5" s="15"/>
      <c r="J5" s="15"/>
      <c r="K5" s="15"/>
    </row>
    <row r="6" spans="1:11" ht="16.5">
      <c r="A6" s="14"/>
      <c r="B6" s="14"/>
      <c r="C6" s="14"/>
      <c r="D6" s="14"/>
      <c r="E6" s="14"/>
      <c r="F6" s="14"/>
      <c r="G6" s="15"/>
      <c r="H6" s="15"/>
      <c r="I6" s="15"/>
      <c r="J6" s="15"/>
      <c r="K6" s="15"/>
    </row>
    <row r="7" spans="1:11" ht="16.5">
      <c r="A7" s="17"/>
      <c r="B7" s="17"/>
      <c r="C7" s="14"/>
      <c r="D7" s="14"/>
      <c r="E7" s="14"/>
      <c r="F7" s="14"/>
      <c r="G7" s="15"/>
      <c r="H7" s="15"/>
      <c r="I7" s="15"/>
      <c r="J7" s="15"/>
      <c r="K7" s="15"/>
    </row>
    <row r="8" spans="1:11" ht="16.5">
      <c r="A8" s="17"/>
      <c r="B8" s="17"/>
      <c r="C8" s="14"/>
      <c r="D8" s="14"/>
      <c r="E8" s="14"/>
      <c r="F8" s="14"/>
      <c r="G8" s="15"/>
      <c r="H8" s="15"/>
      <c r="I8" s="15"/>
      <c r="J8" s="15"/>
      <c r="K8" s="15"/>
    </row>
    <row r="9" spans="1:11" ht="16.5">
      <c r="A9" s="17"/>
      <c r="B9" s="17"/>
      <c r="C9" s="14"/>
      <c r="D9" s="14"/>
      <c r="E9" s="14"/>
      <c r="F9" s="14"/>
      <c r="G9" s="15"/>
      <c r="H9" s="15"/>
      <c r="I9" s="15"/>
      <c r="J9" s="15"/>
      <c r="K9" s="15"/>
    </row>
    <row r="10" spans="1:11" ht="16.5">
      <c r="A10" s="14"/>
      <c r="B10" s="14"/>
      <c r="C10" s="14"/>
      <c r="D10" s="14"/>
      <c r="E10" s="14"/>
      <c r="F10" s="14"/>
      <c r="G10" s="15"/>
      <c r="H10" s="15"/>
      <c r="I10" s="15"/>
      <c r="J10" s="15"/>
      <c r="K10" s="15"/>
    </row>
    <row r="11" spans="1:11" ht="16.5">
      <c r="A11" s="17"/>
      <c r="B11" s="17"/>
      <c r="C11" s="14"/>
      <c r="D11" s="14"/>
      <c r="E11" s="14"/>
      <c r="F11" s="14"/>
      <c r="G11" s="15"/>
      <c r="H11" s="15"/>
      <c r="I11" s="15"/>
      <c r="J11" s="15"/>
      <c r="K11" s="15"/>
    </row>
    <row r="12" spans="1:11" ht="16.5">
      <c r="A12" s="14"/>
      <c r="B12" s="14"/>
      <c r="C12" s="14"/>
      <c r="D12" s="14"/>
      <c r="E12" s="14"/>
      <c r="F12" s="14"/>
      <c r="G12" s="15"/>
      <c r="H12" s="15"/>
      <c r="I12" s="15"/>
      <c r="J12" s="15"/>
      <c r="K12" s="15"/>
    </row>
    <row r="13" spans="1:11" ht="16.5">
      <c r="A13" s="14"/>
      <c r="B13" s="14"/>
      <c r="C13" s="14"/>
      <c r="D13" s="14"/>
      <c r="E13" s="14"/>
      <c r="F13" s="14"/>
      <c r="G13" s="15"/>
      <c r="H13" s="15"/>
      <c r="I13" s="15"/>
      <c r="J13" s="15"/>
      <c r="K13" s="15"/>
    </row>
    <row r="14" spans="1:11" ht="16.5">
      <c r="A14" s="17"/>
      <c r="B14" s="17"/>
      <c r="C14" s="14"/>
      <c r="D14" s="14"/>
      <c r="E14" s="14"/>
      <c r="F14" s="14"/>
      <c r="G14" s="15"/>
      <c r="H14" s="15"/>
      <c r="I14" s="15"/>
      <c r="J14" s="15"/>
      <c r="K14" s="15"/>
    </row>
    <row r="15" spans="1:11" ht="16.5">
      <c r="A15" s="17"/>
      <c r="B15" s="17"/>
      <c r="C15" s="14"/>
      <c r="D15" s="14"/>
      <c r="E15" s="14"/>
      <c r="F15" s="14"/>
      <c r="G15" s="15"/>
      <c r="H15" s="15"/>
      <c r="I15" s="15"/>
      <c r="J15" s="15"/>
      <c r="K15" s="15"/>
    </row>
    <row r="16" spans="1:11" ht="16.5">
      <c r="A16" s="14"/>
      <c r="B16" s="14"/>
      <c r="C16" s="14"/>
      <c r="D16" s="14"/>
      <c r="E16" s="14"/>
      <c r="F16" s="14"/>
      <c r="G16" s="15"/>
      <c r="H16" s="15"/>
      <c r="I16" s="15"/>
      <c r="J16" s="15"/>
      <c r="K16" s="15"/>
    </row>
    <row r="17" spans="1:11" ht="16.5">
      <c r="A17" s="14"/>
      <c r="B17" s="14"/>
      <c r="C17" s="14"/>
      <c r="D17" s="14"/>
      <c r="E17" s="14"/>
      <c r="F17" s="14"/>
      <c r="G17" s="15"/>
      <c r="H17" s="15"/>
      <c r="I17" s="15"/>
      <c r="J17" s="15"/>
      <c r="K17" s="15"/>
    </row>
    <row r="18" spans="1:11" ht="16.5">
      <c r="A18" s="14"/>
      <c r="B18" s="14"/>
      <c r="C18" s="14"/>
      <c r="D18" s="14"/>
      <c r="E18" s="14"/>
      <c r="F18" s="14"/>
      <c r="G18" s="15"/>
      <c r="H18" s="15"/>
      <c r="I18" s="15"/>
      <c r="J18" s="15"/>
      <c r="K18" s="15"/>
    </row>
    <row r="19" spans="1:11" ht="16.5">
      <c r="A19" s="17"/>
      <c r="B19" s="17"/>
      <c r="C19" s="14"/>
      <c r="D19" s="14"/>
      <c r="E19" s="14"/>
      <c r="F19" s="14"/>
      <c r="G19" s="15"/>
      <c r="H19" s="15"/>
      <c r="I19" s="15"/>
      <c r="J19" s="15"/>
      <c r="K19" s="15"/>
    </row>
    <row r="20" spans="1:11" ht="16.5">
      <c r="A20" s="14"/>
      <c r="B20" s="14"/>
      <c r="C20" s="14"/>
      <c r="D20" s="14"/>
      <c r="E20" s="14"/>
      <c r="F20" s="14"/>
      <c r="G20" s="15"/>
      <c r="H20" s="15"/>
      <c r="I20" s="15"/>
      <c r="J20" s="15"/>
      <c r="K20" s="15"/>
    </row>
    <row r="21" spans="1:11" ht="16.5">
      <c r="A21" s="14"/>
      <c r="B21" s="14"/>
      <c r="C21" s="14"/>
      <c r="D21" s="14"/>
      <c r="E21" s="14"/>
      <c r="F21" s="14"/>
      <c r="G21" s="15"/>
      <c r="H21" s="15"/>
      <c r="I21" s="15"/>
      <c r="J21" s="15"/>
      <c r="K21" s="15"/>
    </row>
    <row r="22" spans="1:11" ht="16.5">
      <c r="A22" s="14"/>
      <c r="B22" s="14"/>
      <c r="C22" s="14"/>
      <c r="D22" s="14"/>
      <c r="E22" s="14"/>
      <c r="F22" s="14"/>
      <c r="G22" s="15"/>
      <c r="H22" s="15"/>
      <c r="I22" s="15"/>
      <c r="J22" s="15"/>
      <c r="K22" s="15"/>
    </row>
    <row r="23" spans="1:11" ht="16.5">
      <c r="A23" s="14"/>
      <c r="B23" s="14"/>
      <c r="C23" s="14"/>
      <c r="D23" s="14"/>
      <c r="E23" s="14"/>
      <c r="F23" s="14"/>
      <c r="G23" s="15"/>
      <c r="H23" s="15"/>
      <c r="I23" s="15"/>
      <c r="J23" s="15"/>
      <c r="K23" s="15"/>
    </row>
    <row r="24" spans="1:11" ht="16.5">
      <c r="A24" s="14"/>
      <c r="B24" s="14"/>
      <c r="C24" s="14"/>
      <c r="D24" s="14"/>
      <c r="E24" s="14"/>
      <c r="F24" s="14"/>
      <c r="G24" s="15"/>
      <c r="H24" s="15"/>
      <c r="I24" s="15"/>
      <c r="J24" s="15"/>
      <c r="K24" s="15"/>
    </row>
    <row r="25" spans="1:11" ht="16.5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</row>
    <row r="26" spans="1:11" ht="16.5">
      <c r="A26" s="12"/>
      <c r="B26" s="12"/>
      <c r="C26" s="12"/>
      <c r="D26" s="12"/>
      <c r="E26" s="12"/>
      <c r="F26" s="12"/>
    </row>
    <row r="27" spans="1:11" ht="16.5">
      <c r="A27" s="12"/>
      <c r="B27" s="12"/>
      <c r="C27" s="12"/>
      <c r="D27" s="12"/>
      <c r="E27" s="12"/>
      <c r="F27" s="12"/>
    </row>
    <row r="28" spans="1:11" ht="16.5">
      <c r="A28" s="12"/>
      <c r="B28" s="12"/>
      <c r="C28" s="12"/>
      <c r="D28" s="12"/>
      <c r="E28" s="12"/>
      <c r="F28" s="12"/>
    </row>
    <row r="29" spans="1:11" ht="16.5">
      <c r="A29" s="12"/>
      <c r="B29" s="12"/>
      <c r="C29" s="12"/>
      <c r="D29" s="12"/>
      <c r="E29" s="12"/>
      <c r="F29" s="12"/>
    </row>
    <row r="30" spans="1:11" ht="16.5">
      <c r="A30" s="12"/>
      <c r="B30" s="12"/>
      <c r="C30" s="12"/>
      <c r="D30" s="12"/>
      <c r="E30" s="12"/>
      <c r="F30" s="12"/>
    </row>
  </sheetData>
  <phoneticPr fontId="3" type="noConversion"/>
  <pageMargins left="1.0629921259842521" right="1.0629921259842521" top="1.3779527559055118" bottom="1.5748031496062993" header="0.51181102362204722" footer="1.4173228346456694"/>
  <pageSetup paperSize="9" scale="85" orientation="portrait" r:id="rId1"/>
  <headerFooter differentOddEven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48"/>
  <sheetViews>
    <sheetView view="pageBreakPreview" zoomScale="70" zoomScaleNormal="100" zoomScaleSheetLayoutView="70" workbookViewId="0">
      <selection activeCell="F26" sqref="F26"/>
    </sheetView>
  </sheetViews>
  <sheetFormatPr defaultColWidth="10" defaultRowHeight="16.5"/>
  <cols>
    <col min="1" max="2" width="10" style="1048"/>
    <col min="3" max="3" width="6" style="1048" customWidth="1"/>
    <col min="4" max="4" width="7.125" style="1048" customWidth="1"/>
    <col min="5" max="5" width="19" style="1048" customWidth="1"/>
    <col min="6" max="6" width="33.75" style="1048" customWidth="1"/>
    <col min="7" max="16384" width="10" style="1048"/>
  </cols>
  <sheetData>
    <row r="1" spans="3:6" ht="206.25" customHeight="1"/>
    <row r="2" spans="3:6" ht="7.5" customHeight="1">
      <c r="C2" s="242" t="s">
        <v>0</v>
      </c>
      <c r="D2" s="242" t="s">
        <v>0</v>
      </c>
      <c r="E2" s="243" t="s">
        <v>0</v>
      </c>
      <c r="F2" s="244" t="s">
        <v>0</v>
      </c>
    </row>
    <row r="3" spans="3:6" ht="8.25" customHeight="1"/>
    <row r="4" spans="3:6" ht="39">
      <c r="D4" s="245" t="s">
        <v>786</v>
      </c>
    </row>
    <row r="6" spans="3:6" ht="30" customHeight="1">
      <c r="E6" s="246" t="s">
        <v>787</v>
      </c>
    </row>
    <row r="7" spans="3:6" ht="9.9499999999999993" customHeight="1">
      <c r="E7" s="246"/>
    </row>
    <row r="8" spans="3:6" ht="30" customHeight="1">
      <c r="E8" s="246" t="s">
        <v>788</v>
      </c>
    </row>
    <row r="9" spans="3:6" ht="9.9499999999999993" customHeight="1">
      <c r="E9" s="247"/>
    </row>
    <row r="10" spans="3:6" ht="30" customHeight="1">
      <c r="E10" s="246" t="s">
        <v>789</v>
      </c>
    </row>
    <row r="11" spans="3:6" ht="9.9499999999999993" customHeight="1">
      <c r="E11" s="247"/>
    </row>
    <row r="12" spans="3:6" ht="30" customHeight="1">
      <c r="E12" s="246" t="s">
        <v>790</v>
      </c>
    </row>
    <row r="13" spans="3:6" ht="9.9499999999999993" customHeight="1">
      <c r="E13" s="247"/>
    </row>
    <row r="14" spans="3:6" ht="30" customHeight="1">
      <c r="E14" s="246" t="s">
        <v>791</v>
      </c>
    </row>
    <row r="48" ht="15.75" customHeight="1"/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13" orientation="portrait" useFirstPageNumber="1" r:id="rId1"/>
  <headerFooter differentOddEven="1" scaleWithDoc="0" alignWithMargins="0">
    <firstFooter>&amp;R&amp;P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69"/>
  <sheetViews>
    <sheetView view="pageBreakPreview" zoomScale="86" zoomScaleNormal="100" zoomScaleSheetLayoutView="86" workbookViewId="0">
      <pane xSplit="1" ySplit="6" topLeftCell="B10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7.875" defaultRowHeight="13.5"/>
  <cols>
    <col min="1" max="1" width="8.375" style="260" customWidth="1"/>
    <col min="2" max="3" width="5.375" style="260" customWidth="1"/>
    <col min="4" max="4" width="6.25" style="260" customWidth="1"/>
    <col min="5" max="5" width="5.75" style="260" customWidth="1"/>
    <col min="6" max="6" width="5.375" style="260" customWidth="1"/>
    <col min="7" max="7" width="6.25" style="260" customWidth="1"/>
    <col min="8" max="8" width="5.75" style="260" customWidth="1"/>
    <col min="9" max="9" width="4.875" style="260" customWidth="1"/>
    <col min="10" max="10" width="6.25" style="260" customWidth="1"/>
    <col min="11" max="11" width="5.375" style="260" customWidth="1"/>
    <col min="12" max="12" width="4.875" style="260" customWidth="1"/>
    <col min="13" max="13" width="6.25" style="260" customWidth="1"/>
    <col min="14" max="14" width="5.375" style="260" customWidth="1"/>
    <col min="15" max="16" width="5.75" style="260" customWidth="1"/>
    <col min="17" max="17" width="5.375" style="260" customWidth="1"/>
    <col min="18" max="18" width="6.25" style="260" customWidth="1"/>
    <col min="19" max="19" width="5.875" style="260" customWidth="1"/>
    <col min="20" max="20" width="5.75" style="260" customWidth="1"/>
    <col min="21" max="21" width="6.25" style="260" customWidth="1"/>
    <col min="22" max="23" width="5.75" style="260" customWidth="1"/>
    <col min="24" max="24" width="6.25" style="260" customWidth="1"/>
    <col min="25" max="26" width="5.75" style="260" customWidth="1"/>
    <col min="27" max="28" width="6.25" style="260" customWidth="1"/>
    <col min="29" max="29" width="5.75" style="260" customWidth="1"/>
    <col min="30" max="30" width="6.125" style="315" customWidth="1"/>
    <col min="31" max="31" width="5.875" style="260" customWidth="1"/>
    <col min="32" max="32" width="5.75" style="260" customWidth="1"/>
    <col min="33" max="33" width="6.5" style="260" customWidth="1"/>
    <col min="34" max="37" width="8.875" style="260" bestFit="1" customWidth="1"/>
    <col min="38" max="38" width="7.875" style="260"/>
    <col min="39" max="39" width="8" style="260" bestFit="1" customWidth="1"/>
    <col min="40" max="40" width="9" style="260" bestFit="1" customWidth="1"/>
    <col min="41" max="16384" width="7.875" style="260"/>
  </cols>
  <sheetData>
    <row r="1" spans="1:33" s="251" customFormat="1" ht="26.25">
      <c r="A1" s="248" t="s">
        <v>792</v>
      </c>
      <c r="B1" s="1049"/>
      <c r="C1" s="249"/>
      <c r="D1" s="249"/>
      <c r="E1" s="1050"/>
      <c r="F1" s="1051"/>
      <c r="G1" s="1051"/>
      <c r="H1" s="1052"/>
      <c r="I1" s="1053"/>
      <c r="J1" s="249"/>
      <c r="K1" s="249"/>
      <c r="L1" s="249"/>
      <c r="M1" s="12"/>
      <c r="N1" s="249"/>
      <c r="O1" s="249"/>
      <c r="P1" s="249"/>
      <c r="Q1" s="249"/>
      <c r="R1" s="249"/>
      <c r="S1" s="249"/>
      <c r="T1" s="249"/>
      <c r="U1" s="249"/>
      <c r="V1" s="249"/>
      <c r="W1" s="250"/>
      <c r="X1" s="250"/>
      <c r="Y1" s="249"/>
      <c r="Z1" s="249"/>
      <c r="AA1" s="249"/>
      <c r="AB1" s="249"/>
      <c r="AC1" s="249"/>
      <c r="AD1" s="249"/>
      <c r="AE1" s="249"/>
      <c r="AF1" s="249"/>
      <c r="AG1" s="249"/>
    </row>
    <row r="2" spans="1:33" s="254" customFormat="1" ht="17.25">
      <c r="A2" s="252" t="s">
        <v>793</v>
      </c>
      <c r="B2" s="252"/>
      <c r="C2" s="252"/>
      <c r="D2" s="253"/>
      <c r="E2" s="12"/>
      <c r="F2" s="12"/>
      <c r="G2" s="12"/>
      <c r="H2" s="12"/>
      <c r="I2" s="12"/>
      <c r="J2" s="252"/>
      <c r="K2" s="252"/>
      <c r="L2" s="252"/>
      <c r="M2" s="12"/>
      <c r="N2" s="252"/>
      <c r="O2" s="252"/>
      <c r="P2" s="252"/>
      <c r="Q2" s="252"/>
      <c r="R2" s="252"/>
      <c r="S2" s="252"/>
      <c r="T2" s="252"/>
      <c r="U2" s="1054"/>
      <c r="V2" s="1054"/>
      <c r="W2" s="1054"/>
      <c r="X2" s="250"/>
      <c r="Y2" s="252"/>
      <c r="Z2" s="252"/>
      <c r="AA2" s="252"/>
      <c r="AB2" s="252"/>
      <c r="AC2" s="252"/>
      <c r="AD2" s="252"/>
      <c r="AE2" s="629"/>
      <c r="AF2" s="629"/>
      <c r="AG2" s="252"/>
    </row>
    <row r="3" spans="1:33" s="251" customFormat="1" ht="14.25" customHeight="1">
      <c r="A3" s="250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0"/>
      <c r="O3" s="250"/>
      <c r="P3" s="250"/>
      <c r="Q3" s="250"/>
      <c r="R3" s="250"/>
      <c r="S3" s="250"/>
      <c r="T3" s="250"/>
      <c r="U3" s="250"/>
      <c r="V3" s="250"/>
      <c r="W3" s="258"/>
      <c r="X3" s="250"/>
      <c r="Y3" s="249"/>
      <c r="Z3" s="249"/>
      <c r="AA3" s="258"/>
      <c r="AB3" s="258"/>
      <c r="AC3" s="258"/>
      <c r="AD3" s="249"/>
      <c r="AE3" s="2954" t="s">
        <v>794</v>
      </c>
      <c r="AF3" s="2954"/>
      <c r="AG3" s="2954"/>
    </row>
    <row r="4" spans="1:33" ht="21.75" customHeight="1">
      <c r="A4" s="2881" t="s">
        <v>65</v>
      </c>
      <c r="B4" s="2886" t="s">
        <v>151</v>
      </c>
      <c r="C4" s="2884"/>
      <c r="D4" s="2884"/>
      <c r="E4" s="2884"/>
      <c r="F4" s="2884"/>
      <c r="G4" s="2884"/>
      <c r="H4" s="2884"/>
      <c r="I4" s="2884"/>
      <c r="J4" s="2884"/>
      <c r="K4" s="2884"/>
      <c r="L4" s="2884"/>
      <c r="M4" s="2885"/>
      <c r="N4" s="2886" t="s">
        <v>152</v>
      </c>
      <c r="O4" s="2884"/>
      <c r="P4" s="2884"/>
      <c r="Q4" s="2933"/>
      <c r="R4" s="2955" t="s">
        <v>153</v>
      </c>
      <c r="S4" s="2884"/>
      <c r="T4" s="2884"/>
      <c r="U4" s="2885"/>
      <c r="V4" s="2886" t="s">
        <v>154</v>
      </c>
      <c r="W4" s="2884"/>
      <c r="X4" s="2884"/>
      <c r="Y4" s="2884"/>
      <c r="Z4" s="2884"/>
      <c r="AA4" s="2884"/>
      <c r="AB4" s="2884"/>
      <c r="AC4" s="2884"/>
      <c r="AD4" s="2884"/>
      <c r="AE4" s="2884"/>
      <c r="AF4" s="2884"/>
      <c r="AG4" s="2885"/>
    </row>
    <row r="5" spans="1:33" ht="18.75" customHeight="1">
      <c r="A5" s="2882"/>
      <c r="B5" s="2872" t="s">
        <v>155</v>
      </c>
      <c r="C5" s="2874" t="s">
        <v>156</v>
      </c>
      <c r="D5" s="2875"/>
      <c r="E5" s="2875"/>
      <c r="F5" s="2875"/>
      <c r="G5" s="2876"/>
      <c r="H5" s="2866" t="s">
        <v>157</v>
      </c>
      <c r="I5" s="2866" t="s">
        <v>158</v>
      </c>
      <c r="J5" s="2866" t="s">
        <v>13</v>
      </c>
      <c r="K5" s="2868" t="s">
        <v>159</v>
      </c>
      <c r="L5" s="2868" t="s">
        <v>160</v>
      </c>
      <c r="M5" s="2870" t="s">
        <v>161</v>
      </c>
      <c r="N5" s="2872" t="s">
        <v>162</v>
      </c>
      <c r="O5" s="2874" t="s">
        <v>163</v>
      </c>
      <c r="P5" s="2875"/>
      <c r="Q5" s="2876"/>
      <c r="R5" s="2866" t="s">
        <v>164</v>
      </c>
      <c r="S5" s="2868" t="s">
        <v>159</v>
      </c>
      <c r="T5" s="2868" t="s">
        <v>160</v>
      </c>
      <c r="U5" s="2870" t="s">
        <v>161</v>
      </c>
      <c r="V5" s="2872" t="s">
        <v>155</v>
      </c>
      <c r="W5" s="2874" t="s">
        <v>165</v>
      </c>
      <c r="X5" s="2875"/>
      <c r="Y5" s="2875"/>
      <c r="Z5" s="2875"/>
      <c r="AA5" s="2876"/>
      <c r="AB5" s="2866" t="s">
        <v>164</v>
      </c>
      <c r="AC5" s="2868" t="s">
        <v>158</v>
      </c>
      <c r="AD5" s="2866" t="s">
        <v>13</v>
      </c>
      <c r="AE5" s="2868" t="s">
        <v>159</v>
      </c>
      <c r="AF5" s="2868" t="s">
        <v>160</v>
      </c>
      <c r="AG5" s="2870" t="s">
        <v>161</v>
      </c>
    </row>
    <row r="6" spans="1:33" ht="18.75" customHeight="1">
      <c r="A6" s="2883"/>
      <c r="B6" s="2873"/>
      <c r="C6" s="261" t="s">
        <v>128</v>
      </c>
      <c r="D6" s="261" t="s">
        <v>127</v>
      </c>
      <c r="E6" s="261" t="s">
        <v>447</v>
      </c>
      <c r="F6" s="261" t="s">
        <v>167</v>
      </c>
      <c r="G6" s="261" t="s">
        <v>168</v>
      </c>
      <c r="H6" s="2867"/>
      <c r="I6" s="2867"/>
      <c r="J6" s="2867"/>
      <c r="K6" s="2867"/>
      <c r="L6" s="2869"/>
      <c r="M6" s="2871"/>
      <c r="N6" s="2873"/>
      <c r="O6" s="261" t="s">
        <v>127</v>
      </c>
      <c r="P6" s="261" t="s">
        <v>447</v>
      </c>
      <c r="Q6" s="261" t="s">
        <v>167</v>
      </c>
      <c r="R6" s="2867"/>
      <c r="S6" s="2867"/>
      <c r="T6" s="2869"/>
      <c r="U6" s="2871"/>
      <c r="V6" s="2873"/>
      <c r="W6" s="261" t="s">
        <v>128</v>
      </c>
      <c r="X6" s="261" t="s">
        <v>127</v>
      </c>
      <c r="Y6" s="261" t="s">
        <v>447</v>
      </c>
      <c r="Z6" s="261" t="s">
        <v>190</v>
      </c>
      <c r="AA6" s="261" t="s">
        <v>161</v>
      </c>
      <c r="AB6" s="2867"/>
      <c r="AC6" s="2867"/>
      <c r="AD6" s="2867"/>
      <c r="AE6" s="2867"/>
      <c r="AF6" s="2869"/>
      <c r="AG6" s="2871"/>
    </row>
    <row r="7" spans="1:33" s="1063" customFormat="1" ht="24" customHeight="1">
      <c r="A7" s="1055">
        <v>2011</v>
      </c>
      <c r="B7" s="1056">
        <v>4814.9539999999997</v>
      </c>
      <c r="C7" s="1057">
        <v>8503.9830000000002</v>
      </c>
      <c r="D7" s="1057">
        <v>191011.864</v>
      </c>
      <c r="E7" s="1057">
        <v>9634.08</v>
      </c>
      <c r="F7" s="1057">
        <v>2232.6179999999999</v>
      </c>
      <c r="G7" s="1057">
        <v>211382.54500000001</v>
      </c>
      <c r="H7" s="1057">
        <v>71668.085000000006</v>
      </c>
      <c r="I7" s="1057">
        <v>820.53300000000002</v>
      </c>
      <c r="J7" s="1057">
        <v>154723.10699999999</v>
      </c>
      <c r="K7" s="1057">
        <v>0</v>
      </c>
      <c r="L7" s="1057" t="s">
        <v>171</v>
      </c>
      <c r="M7" s="1058">
        <v>443409.223</v>
      </c>
      <c r="N7" s="1059">
        <v>3015.6979999999999</v>
      </c>
      <c r="O7" s="1057" t="s">
        <v>171</v>
      </c>
      <c r="P7" s="1057">
        <v>20657.146000000001</v>
      </c>
      <c r="Q7" s="1057" t="s">
        <v>171</v>
      </c>
      <c r="R7" s="1058">
        <v>29811.298999999999</v>
      </c>
      <c r="S7" s="1060">
        <v>0</v>
      </c>
      <c r="T7" s="1058" t="s">
        <v>171</v>
      </c>
      <c r="U7" s="1061">
        <v>53484.142</v>
      </c>
      <c r="V7" s="1056">
        <v>7830.652</v>
      </c>
      <c r="W7" s="1057">
        <v>8503.9830000000002</v>
      </c>
      <c r="X7" s="1057">
        <v>191011.864</v>
      </c>
      <c r="Y7" s="1057">
        <v>30291.225999999999</v>
      </c>
      <c r="Z7" s="1057">
        <v>2232.6179999999999</v>
      </c>
      <c r="AA7" s="1057">
        <v>232039.69099999999</v>
      </c>
      <c r="AB7" s="1057">
        <v>101479.38400000001</v>
      </c>
      <c r="AC7" s="1057">
        <v>820.53300000000002</v>
      </c>
      <c r="AD7" s="1058">
        <v>154723.10699999999</v>
      </c>
      <c r="AE7" s="1060">
        <v>0</v>
      </c>
      <c r="AF7" s="1060" t="s">
        <v>171</v>
      </c>
      <c r="AG7" s="1062">
        <v>496893.36599999998</v>
      </c>
    </row>
    <row r="8" spans="1:33" s="1063" customFormat="1" ht="24" customHeight="1">
      <c r="A8" s="1055">
        <v>2012</v>
      </c>
      <c r="B8" s="1056">
        <v>5139.6239999999998</v>
      </c>
      <c r="C8" s="1057">
        <v>8767.7620000000006</v>
      </c>
      <c r="D8" s="1057">
        <v>190561.95699999999</v>
      </c>
      <c r="E8" s="1057">
        <v>13553.42</v>
      </c>
      <c r="F8" s="1057">
        <v>3452.866</v>
      </c>
      <c r="G8" s="1057">
        <v>216336.00399999999</v>
      </c>
      <c r="H8" s="1057">
        <v>75751.137000000002</v>
      </c>
      <c r="I8" s="1057">
        <v>752.07</v>
      </c>
      <c r="J8" s="1057">
        <v>150327.29300000001</v>
      </c>
      <c r="K8" s="1057">
        <v>210.05099999999999</v>
      </c>
      <c r="L8" s="1057" t="s">
        <v>171</v>
      </c>
      <c r="M8" s="1058">
        <v>448516.18</v>
      </c>
      <c r="N8" s="1059">
        <v>2512.6770000000001</v>
      </c>
      <c r="O8" s="1057" t="s">
        <v>171</v>
      </c>
      <c r="P8" s="1057">
        <v>15006.858</v>
      </c>
      <c r="Q8" s="1057" t="s">
        <v>171</v>
      </c>
      <c r="R8" s="1058">
        <v>35130.796000000002</v>
      </c>
      <c r="S8" s="1057">
        <v>8407.8179999999993</v>
      </c>
      <c r="T8" s="1058" t="s">
        <v>171</v>
      </c>
      <c r="U8" s="1064">
        <v>61058.148999999998</v>
      </c>
      <c r="V8" s="1056">
        <v>7652.3010000000004</v>
      </c>
      <c r="W8" s="1057">
        <v>8767.7620000000006</v>
      </c>
      <c r="X8" s="1057">
        <v>190561.95699999999</v>
      </c>
      <c r="Y8" s="1057">
        <v>28560.277999999998</v>
      </c>
      <c r="Z8" s="1057">
        <v>3452.866</v>
      </c>
      <c r="AA8" s="1057">
        <v>231342.86199999999</v>
      </c>
      <c r="AB8" s="1057">
        <v>110881.933</v>
      </c>
      <c r="AC8" s="1057">
        <v>752.07</v>
      </c>
      <c r="AD8" s="1058">
        <v>150327.29300000001</v>
      </c>
      <c r="AE8" s="1057">
        <v>8617.8690000000006</v>
      </c>
      <c r="AF8" s="1057" t="s">
        <v>171</v>
      </c>
      <c r="AG8" s="1062">
        <v>509574.32900000003</v>
      </c>
    </row>
    <row r="9" spans="1:33" s="1063" customFormat="1" ht="24" customHeight="1">
      <c r="A9" s="1055">
        <v>2013</v>
      </c>
      <c r="B9" s="1056">
        <v>5679.3280000000004</v>
      </c>
      <c r="C9" s="1057">
        <v>8054.0659999999998</v>
      </c>
      <c r="D9" s="1057">
        <v>193064.345</v>
      </c>
      <c r="E9" s="1057">
        <v>13940.535</v>
      </c>
      <c r="F9" s="1057">
        <v>3525.8890000000001</v>
      </c>
      <c r="G9" s="1057">
        <v>218584.83499999999</v>
      </c>
      <c r="H9" s="1057">
        <v>84560.767000000007</v>
      </c>
      <c r="I9" s="1057">
        <v>740.93399999999997</v>
      </c>
      <c r="J9" s="1057">
        <v>138783.91899999999</v>
      </c>
      <c r="K9" s="1057">
        <v>406.40300000000002</v>
      </c>
      <c r="L9" s="1057" t="s">
        <v>171</v>
      </c>
      <c r="M9" s="1058">
        <v>448756.18599999999</v>
      </c>
      <c r="N9" s="1059">
        <v>2714.6</v>
      </c>
      <c r="O9" s="1057" t="s">
        <v>171</v>
      </c>
      <c r="P9" s="1057">
        <v>14403.17</v>
      </c>
      <c r="Q9" s="1057" t="s">
        <v>171</v>
      </c>
      <c r="R9" s="1058">
        <v>39839.213000000003</v>
      </c>
      <c r="S9" s="1057">
        <v>11434.2</v>
      </c>
      <c r="T9" s="1058" t="s">
        <v>171</v>
      </c>
      <c r="U9" s="1064">
        <v>68391.183000000005</v>
      </c>
      <c r="V9" s="1056">
        <v>8393.9279999999999</v>
      </c>
      <c r="W9" s="1057">
        <v>8054.0659999999998</v>
      </c>
      <c r="X9" s="1057">
        <v>193064.345</v>
      </c>
      <c r="Y9" s="1057">
        <v>28343.705000000002</v>
      </c>
      <c r="Z9" s="1057">
        <v>3525.8890000000001</v>
      </c>
      <c r="AA9" s="1057">
        <v>232988.005</v>
      </c>
      <c r="AB9" s="1057">
        <v>124399.98</v>
      </c>
      <c r="AC9" s="1057">
        <v>740.93399999999997</v>
      </c>
      <c r="AD9" s="1058">
        <v>138783.91899999999</v>
      </c>
      <c r="AE9" s="1057">
        <v>11840.602999999999</v>
      </c>
      <c r="AF9" s="1057" t="s">
        <v>171</v>
      </c>
      <c r="AG9" s="1062">
        <v>517147.36900000001</v>
      </c>
    </row>
    <row r="10" spans="1:33" s="1063" customFormat="1" ht="24" customHeight="1">
      <c r="A10" s="1055">
        <v>2014</v>
      </c>
      <c r="B10" s="1056">
        <v>5975.5780000000004</v>
      </c>
      <c r="C10" s="1057">
        <v>8506.0589999999993</v>
      </c>
      <c r="D10" s="1057">
        <v>195259.33100000001</v>
      </c>
      <c r="E10" s="1057">
        <v>6838.4579999999996</v>
      </c>
      <c r="F10" s="1057">
        <v>568.12300000000005</v>
      </c>
      <c r="G10" s="1057">
        <v>211171.97200000001</v>
      </c>
      <c r="H10" s="1057">
        <v>68134.237999999998</v>
      </c>
      <c r="I10" s="1057">
        <v>655.81100000000004</v>
      </c>
      <c r="J10" s="1057">
        <v>156406.51199999999</v>
      </c>
      <c r="K10" s="1057">
        <v>570.29499999999996</v>
      </c>
      <c r="L10" s="1057" t="s">
        <v>171</v>
      </c>
      <c r="M10" s="1058">
        <v>442914.40500000003</v>
      </c>
      <c r="N10" s="1059">
        <v>1843.922</v>
      </c>
      <c r="O10" s="1057" t="s">
        <v>171</v>
      </c>
      <c r="P10" s="1057">
        <v>16699.576000000001</v>
      </c>
      <c r="Q10" s="1057" t="s">
        <v>171</v>
      </c>
      <c r="R10" s="1058">
        <v>46011.434999999998</v>
      </c>
      <c r="S10" s="1057">
        <v>14501.213</v>
      </c>
      <c r="T10" s="1058" t="s">
        <v>171</v>
      </c>
      <c r="U10" s="1064">
        <v>79056.145000000004</v>
      </c>
      <c r="V10" s="1056">
        <v>7819.5</v>
      </c>
      <c r="W10" s="1057">
        <v>8506.0589999999993</v>
      </c>
      <c r="X10" s="1057">
        <v>195259.33100000001</v>
      </c>
      <c r="Y10" s="1057">
        <v>23538.034</v>
      </c>
      <c r="Z10" s="1057">
        <v>568.12300000000005</v>
      </c>
      <c r="AA10" s="1057">
        <v>227871.54699999999</v>
      </c>
      <c r="AB10" s="1057">
        <v>114145.673</v>
      </c>
      <c r="AC10" s="1057">
        <v>655.81100000000004</v>
      </c>
      <c r="AD10" s="1058">
        <v>156406.51199999999</v>
      </c>
      <c r="AE10" s="1057">
        <v>15071.508</v>
      </c>
      <c r="AF10" s="1057" t="s">
        <v>171</v>
      </c>
      <c r="AG10" s="1062">
        <v>521970.55099999998</v>
      </c>
    </row>
    <row r="11" spans="1:33" s="1063" customFormat="1" ht="24" customHeight="1">
      <c r="A11" s="1055">
        <v>2015</v>
      </c>
      <c r="B11" s="1056">
        <v>4427.049</v>
      </c>
      <c r="C11" s="1057">
        <v>7438.2709999999997</v>
      </c>
      <c r="D11" s="1057">
        <v>199895.424</v>
      </c>
      <c r="E11" s="1057">
        <v>8822.0059999999994</v>
      </c>
      <c r="F11" s="1057">
        <v>222.47200000000001</v>
      </c>
      <c r="G11" s="1057">
        <v>216378.17300000001</v>
      </c>
      <c r="H11" s="1057">
        <v>45922.866999999998</v>
      </c>
      <c r="I11" s="1057">
        <v>643.16399999999999</v>
      </c>
      <c r="J11" s="1057">
        <v>164762.416</v>
      </c>
      <c r="K11" s="1057">
        <v>624.51499999999999</v>
      </c>
      <c r="L11" s="1057" t="s">
        <v>171</v>
      </c>
      <c r="M11" s="1058">
        <v>432758.18300000002</v>
      </c>
      <c r="N11" s="1059">
        <v>1368.991</v>
      </c>
      <c r="O11" s="1057" t="s">
        <v>171</v>
      </c>
      <c r="P11" s="1057">
        <v>19755.304</v>
      </c>
      <c r="Q11" s="1057" t="s">
        <v>171</v>
      </c>
      <c r="R11" s="1058">
        <v>57514.281000000003</v>
      </c>
      <c r="S11" s="1057">
        <v>16693.434000000001</v>
      </c>
      <c r="T11" s="1058" t="s">
        <v>171</v>
      </c>
      <c r="U11" s="1064">
        <v>95332.01</v>
      </c>
      <c r="V11" s="1056">
        <v>5796.04</v>
      </c>
      <c r="W11" s="1057">
        <v>7438.2709999999997</v>
      </c>
      <c r="X11" s="1057">
        <v>199895.424</v>
      </c>
      <c r="Y11" s="1057">
        <v>28577.31</v>
      </c>
      <c r="Z11" s="1057">
        <v>222.47200000000001</v>
      </c>
      <c r="AA11" s="1057">
        <v>236133.47700000001</v>
      </c>
      <c r="AB11" s="1057">
        <v>103437.148</v>
      </c>
      <c r="AC11" s="1057">
        <v>643.16399999999999</v>
      </c>
      <c r="AD11" s="1058">
        <v>164762.416</v>
      </c>
      <c r="AE11" s="1057">
        <v>17317.949000000001</v>
      </c>
      <c r="AF11" s="1057" t="s">
        <v>171</v>
      </c>
      <c r="AG11" s="1062">
        <v>528090.19299999997</v>
      </c>
    </row>
    <row r="12" spans="1:33" s="1063" customFormat="1" ht="24" customHeight="1">
      <c r="A12" s="1055">
        <v>2016</v>
      </c>
      <c r="B12" s="1056">
        <v>4834.8180000000002</v>
      </c>
      <c r="C12" s="1057">
        <v>7760.6819999999998</v>
      </c>
      <c r="D12" s="1057">
        <v>200151.489</v>
      </c>
      <c r="E12" s="1057">
        <v>13054.77</v>
      </c>
      <c r="F12" s="1057">
        <v>368.541</v>
      </c>
      <c r="G12" s="1057">
        <v>221335.48199999999</v>
      </c>
      <c r="H12" s="1057">
        <v>46477.379000000001</v>
      </c>
      <c r="I12" s="1057">
        <v>573.19600000000003</v>
      </c>
      <c r="J12" s="1057">
        <v>161995.10399999999</v>
      </c>
      <c r="K12" s="1057">
        <v>1098.0640000000001</v>
      </c>
      <c r="L12" s="1057" t="s">
        <v>171</v>
      </c>
      <c r="M12" s="1058">
        <v>436314.04200000002</v>
      </c>
      <c r="N12" s="1059">
        <v>1798.7670000000001</v>
      </c>
      <c r="O12" s="1057">
        <v>9243.9869999999992</v>
      </c>
      <c r="P12" s="1057">
        <v>446.108</v>
      </c>
      <c r="Q12" s="1057">
        <v>1152.4849999999999</v>
      </c>
      <c r="R12" s="1058">
        <v>73016.858999999997</v>
      </c>
      <c r="S12" s="1057">
        <v>18468.606</v>
      </c>
      <c r="T12" s="1058" t="s">
        <v>171</v>
      </c>
      <c r="U12" s="1064">
        <v>104126.81200000001</v>
      </c>
      <c r="V12" s="1056">
        <v>6633.585</v>
      </c>
      <c r="W12" s="1057">
        <v>7760.6819999999998</v>
      </c>
      <c r="X12" s="1057">
        <v>209395.476</v>
      </c>
      <c r="Y12" s="1057">
        <v>13500.878000000001</v>
      </c>
      <c r="Z12" s="1057">
        <v>1521.0260000000001</v>
      </c>
      <c r="AA12" s="1057">
        <v>232178.06200000001</v>
      </c>
      <c r="AB12" s="1057">
        <v>119494.238</v>
      </c>
      <c r="AC12" s="1057">
        <v>573.19600000000003</v>
      </c>
      <c r="AD12" s="1058">
        <v>161995.10399999999</v>
      </c>
      <c r="AE12" s="1057">
        <v>19566.669999999998</v>
      </c>
      <c r="AF12" s="1057" t="s">
        <v>171</v>
      </c>
      <c r="AG12" s="1062">
        <v>540440.85400000005</v>
      </c>
    </row>
    <row r="13" spans="1:33" s="1063" customFormat="1" ht="24" customHeight="1">
      <c r="A13" s="1055">
        <v>2017</v>
      </c>
      <c r="B13" s="1056">
        <v>5262.5069999999996</v>
      </c>
      <c r="C13" s="1057">
        <v>4426.6109999999999</v>
      </c>
      <c r="D13" s="1057">
        <v>222759.88800000001</v>
      </c>
      <c r="E13" s="1057">
        <v>5224.768</v>
      </c>
      <c r="F13" s="1057">
        <v>220.18299999999999</v>
      </c>
      <c r="G13" s="1057">
        <v>232631.45</v>
      </c>
      <c r="H13" s="1057">
        <v>36956.557999999997</v>
      </c>
      <c r="I13" s="1057">
        <v>513.34699999999998</v>
      </c>
      <c r="J13" s="1057">
        <v>148426.72500000001</v>
      </c>
      <c r="K13" s="1057">
        <v>2693.4810000000002</v>
      </c>
      <c r="L13" s="1057" t="s">
        <v>171</v>
      </c>
      <c r="M13" s="1058">
        <v>426484.06800000003</v>
      </c>
      <c r="N13" s="1059">
        <v>1732.6659999999999</v>
      </c>
      <c r="O13" s="1057">
        <v>14423.953</v>
      </c>
      <c r="P13" s="1057">
        <v>391.05700000000002</v>
      </c>
      <c r="Q13" s="1057">
        <v>396.35300000000001</v>
      </c>
      <c r="R13" s="1058">
        <v>88515.942999999999</v>
      </c>
      <c r="S13" s="1057">
        <v>21586.066999999999</v>
      </c>
      <c r="T13" s="1058" t="s">
        <v>171</v>
      </c>
      <c r="U13" s="1064">
        <v>127046.039</v>
      </c>
      <c r="V13" s="1056">
        <v>6995.1729999999998</v>
      </c>
      <c r="W13" s="1057">
        <v>4426.6109999999999</v>
      </c>
      <c r="X13" s="1057">
        <v>237183.842</v>
      </c>
      <c r="Y13" s="1057">
        <v>5615.8249999999998</v>
      </c>
      <c r="Z13" s="1057">
        <v>616.53599999999994</v>
      </c>
      <c r="AA13" s="1057">
        <v>247842.81400000001</v>
      </c>
      <c r="AB13" s="1057">
        <v>125472.501</v>
      </c>
      <c r="AC13" s="1057">
        <v>513.34699999999998</v>
      </c>
      <c r="AD13" s="1058">
        <v>148426.72500000001</v>
      </c>
      <c r="AE13" s="1057">
        <v>24279.547999999999</v>
      </c>
      <c r="AF13" s="1057" t="s">
        <v>171</v>
      </c>
      <c r="AG13" s="1062">
        <v>553530.10699999996</v>
      </c>
    </row>
    <row r="14" spans="1:33" s="1065" customFormat="1" ht="24" customHeight="1">
      <c r="A14" s="1055">
        <v>2018</v>
      </c>
      <c r="B14" s="1056">
        <v>5187.2340000000004</v>
      </c>
      <c r="C14" s="1057">
        <v>2677.04</v>
      </c>
      <c r="D14" s="1057">
        <v>220140.57</v>
      </c>
      <c r="E14" s="1057">
        <v>5845.2470000000003</v>
      </c>
      <c r="F14" s="1057" t="s">
        <v>171</v>
      </c>
      <c r="G14" s="1057">
        <v>228662.85699999999</v>
      </c>
      <c r="H14" s="1057">
        <v>46779.843000000001</v>
      </c>
      <c r="I14" s="1057">
        <v>528.45299999999997</v>
      </c>
      <c r="J14" s="1057">
        <v>133505.261</v>
      </c>
      <c r="K14" s="1057">
        <v>3663.8020000000001</v>
      </c>
      <c r="L14" s="1057" t="s">
        <v>171</v>
      </c>
      <c r="M14" s="1058">
        <v>418327.451</v>
      </c>
      <c r="N14" s="1059">
        <v>2083.2190000000001</v>
      </c>
      <c r="O14" s="1057">
        <v>18999.138999999999</v>
      </c>
      <c r="P14" s="1057">
        <v>421.71300000000002</v>
      </c>
      <c r="Q14" s="1057">
        <v>498.96100000000001</v>
      </c>
      <c r="R14" s="1058">
        <v>105909.913</v>
      </c>
      <c r="S14" s="1057">
        <v>24406.111000000001</v>
      </c>
      <c r="T14" s="1058" t="s">
        <v>171</v>
      </c>
      <c r="U14" s="1064">
        <v>152319.05600000001</v>
      </c>
      <c r="V14" s="1056">
        <v>7270.4530000000004</v>
      </c>
      <c r="W14" s="1057">
        <v>2677.04</v>
      </c>
      <c r="X14" s="1057">
        <v>239139.71</v>
      </c>
      <c r="Y14" s="1057">
        <v>6266.9589999999998</v>
      </c>
      <c r="Z14" s="1057">
        <v>498.96100000000001</v>
      </c>
      <c r="AA14" s="1057">
        <v>248582.67</v>
      </c>
      <c r="AB14" s="1057">
        <v>152689.75599999999</v>
      </c>
      <c r="AC14" s="1057">
        <v>528.45299999999997</v>
      </c>
      <c r="AD14" s="1058">
        <v>133505.261</v>
      </c>
      <c r="AE14" s="1057">
        <v>28069.912</v>
      </c>
      <c r="AF14" s="1057" t="s">
        <v>171</v>
      </c>
      <c r="AG14" s="1062">
        <v>570646.50699999998</v>
      </c>
    </row>
    <row r="15" spans="1:33" s="1073" customFormat="1" ht="24" customHeight="1">
      <c r="A15" s="1066">
        <v>2019</v>
      </c>
      <c r="B15" s="1067">
        <v>4476.6400000000003</v>
      </c>
      <c r="C15" s="1068">
        <v>2592.2249999999999</v>
      </c>
      <c r="D15" s="1068">
        <v>209193.36799999999</v>
      </c>
      <c r="E15" s="1068">
        <v>1842.4780000000001</v>
      </c>
      <c r="F15" s="1068" t="s">
        <v>171</v>
      </c>
      <c r="G15" s="1068">
        <v>213628.071</v>
      </c>
      <c r="H15" s="1068">
        <v>39048.684999999998</v>
      </c>
      <c r="I15" s="1068">
        <v>578.91200000000003</v>
      </c>
      <c r="J15" s="1068">
        <v>145909.66899999999</v>
      </c>
      <c r="K15" s="1068">
        <v>5427.9620000000004</v>
      </c>
      <c r="L15" s="1057" t="s">
        <v>171</v>
      </c>
      <c r="M15" s="1069">
        <v>409069.93900000001</v>
      </c>
      <c r="N15" s="1070">
        <v>1770.424</v>
      </c>
      <c r="O15" s="1068">
        <v>17636.346000000001</v>
      </c>
      <c r="P15" s="1068">
        <v>412.86099999999999</v>
      </c>
      <c r="Q15" s="1068">
        <v>451.02699999999999</v>
      </c>
      <c r="R15" s="1068">
        <v>105627.802</v>
      </c>
      <c r="S15" s="1068">
        <v>25822.468000000001</v>
      </c>
      <c r="T15" s="1069">
        <v>2249.4380000000001</v>
      </c>
      <c r="U15" s="1071">
        <v>153970.36600000001</v>
      </c>
      <c r="V15" s="1067">
        <v>6247.0640000000003</v>
      </c>
      <c r="W15" s="1068">
        <v>2592.2249999999999</v>
      </c>
      <c r="X15" s="1068">
        <v>226829.71299999999</v>
      </c>
      <c r="Y15" s="1068">
        <v>2255.3380000000002</v>
      </c>
      <c r="Z15" s="1068">
        <v>451.02699999999999</v>
      </c>
      <c r="AA15" s="1068">
        <v>232128.304</v>
      </c>
      <c r="AB15" s="1068">
        <v>144676.48800000001</v>
      </c>
      <c r="AC15" s="1068">
        <v>578.91200000000003</v>
      </c>
      <c r="AD15" s="1069">
        <v>145909.66899999999</v>
      </c>
      <c r="AE15" s="1068">
        <v>31250.43</v>
      </c>
      <c r="AF15" s="1068">
        <v>2249.4380000000001</v>
      </c>
      <c r="AG15" s="1072">
        <v>563040.30500000005</v>
      </c>
    </row>
    <row r="16" spans="1:33" s="1065" customFormat="1" ht="24" customHeight="1">
      <c r="A16" s="1074">
        <v>2020</v>
      </c>
      <c r="B16" s="1059">
        <v>4501.6239999999998</v>
      </c>
      <c r="C16" s="1056">
        <v>2094.21</v>
      </c>
      <c r="D16" s="1056">
        <v>176714.01199999999</v>
      </c>
      <c r="E16" s="1056">
        <v>1503.944</v>
      </c>
      <c r="F16" s="1056">
        <v>586.62699999999995</v>
      </c>
      <c r="G16" s="1056">
        <v>180898.79300000001</v>
      </c>
      <c r="H16" s="1056">
        <v>41446.449000000001</v>
      </c>
      <c r="I16" s="1056">
        <v>404.673</v>
      </c>
      <c r="J16" s="1056">
        <v>160183.72099999999</v>
      </c>
      <c r="K16" s="1056">
        <v>7016.1459999999997</v>
      </c>
      <c r="L16" s="1057">
        <v>70.838999999999999</v>
      </c>
      <c r="M16" s="1062">
        <v>394522.245</v>
      </c>
      <c r="N16" s="1056">
        <v>2646.625</v>
      </c>
      <c r="O16" s="1056">
        <v>19293.147000000001</v>
      </c>
      <c r="P16" s="1056">
        <v>343.15699999999998</v>
      </c>
      <c r="Q16" s="1057">
        <v>359.92200000000003</v>
      </c>
      <c r="R16" s="1057">
        <v>103859.925</v>
      </c>
      <c r="S16" s="1056">
        <v>24040.363000000001</v>
      </c>
      <c r="T16" s="1075">
        <v>7096.777</v>
      </c>
      <c r="U16" s="1064">
        <v>157639.91500000001</v>
      </c>
      <c r="V16" s="1056">
        <v>7148.2489999999998</v>
      </c>
      <c r="W16" s="1056">
        <v>2094.21</v>
      </c>
      <c r="X16" s="1056">
        <v>196007.15900000001</v>
      </c>
      <c r="Y16" s="1056">
        <v>1847.1010000000001</v>
      </c>
      <c r="Z16" s="1056">
        <v>946.54899999999998</v>
      </c>
      <c r="AA16" s="1056">
        <v>200895.01800000001</v>
      </c>
      <c r="AB16" s="1056">
        <v>145306.37400000001</v>
      </c>
      <c r="AC16" s="1056">
        <v>404.673</v>
      </c>
      <c r="AD16" s="1056">
        <v>160183.72099999999</v>
      </c>
      <c r="AE16" s="1056">
        <v>31056.508000000002</v>
      </c>
      <c r="AF16" s="1057">
        <v>7167.616</v>
      </c>
      <c r="AG16" s="1062">
        <v>552162.16</v>
      </c>
    </row>
    <row r="17" spans="1:33" s="313" customFormat="1" ht="24" customHeight="1">
      <c r="A17" s="1074">
        <v>2021</v>
      </c>
      <c r="B17" s="1076">
        <v>4761.91</v>
      </c>
      <c r="C17" s="1077">
        <v>1853.7829999999999</v>
      </c>
      <c r="D17" s="1077">
        <v>170565.60800000001</v>
      </c>
      <c r="E17" s="1077">
        <v>1493.8530000000001</v>
      </c>
      <c r="F17" s="1077">
        <v>1176.921</v>
      </c>
      <c r="G17" s="1077">
        <v>175090.166</v>
      </c>
      <c r="H17" s="1077">
        <v>53608.506000000001</v>
      </c>
      <c r="I17" s="1077">
        <v>490.697</v>
      </c>
      <c r="J17" s="1077">
        <v>158015.23000000001</v>
      </c>
      <c r="K17" s="1077">
        <v>8340.8279999999995</v>
      </c>
      <c r="L17" s="1078">
        <v>65.846000000000004</v>
      </c>
      <c r="M17" s="1078">
        <v>400373.18199999997</v>
      </c>
      <c r="N17" s="1079">
        <v>1975.5250000000001</v>
      </c>
      <c r="O17" s="1077">
        <v>26960.944</v>
      </c>
      <c r="P17" s="1077">
        <v>287.887</v>
      </c>
      <c r="Q17" s="1077">
        <v>318.41000000000003</v>
      </c>
      <c r="R17" s="1078">
        <v>113415.302</v>
      </c>
      <c r="S17" s="1077">
        <v>30760.727999999999</v>
      </c>
      <c r="T17" s="1078">
        <v>2717.511</v>
      </c>
      <c r="U17" s="1080">
        <v>176436.30600000001</v>
      </c>
      <c r="V17" s="1076">
        <v>6737.4340000000002</v>
      </c>
      <c r="W17" s="1077">
        <v>1853.7829999999999</v>
      </c>
      <c r="X17" s="1077">
        <v>197526.552</v>
      </c>
      <c r="Y17" s="1077">
        <v>1781.74</v>
      </c>
      <c r="Z17" s="1077">
        <v>1495.3309999999999</v>
      </c>
      <c r="AA17" s="1077">
        <v>202657.40599999999</v>
      </c>
      <c r="AB17" s="1077">
        <v>167023.80799999999</v>
      </c>
      <c r="AC17" s="1077">
        <v>490.697</v>
      </c>
      <c r="AD17" s="1078">
        <v>158015.23000000001</v>
      </c>
      <c r="AE17" s="1077">
        <v>39101.555999999997</v>
      </c>
      <c r="AF17" s="1077">
        <v>2783.357</v>
      </c>
      <c r="AG17" s="1081">
        <v>576809.48800000001</v>
      </c>
    </row>
    <row r="18" spans="1:33" s="313" customFormat="1" ht="24" customHeight="1">
      <c r="A18" s="1082" t="s">
        <v>795</v>
      </c>
      <c r="B18" s="1083">
        <v>4761.91</v>
      </c>
      <c r="C18" s="1084">
        <v>1853.7829999999999</v>
      </c>
      <c r="D18" s="1084">
        <v>170565.60800000001</v>
      </c>
      <c r="E18" s="1084">
        <v>1493.8530000000001</v>
      </c>
      <c r="F18" s="1084">
        <v>1176.921</v>
      </c>
      <c r="G18" s="1084">
        <v>175090.166</v>
      </c>
      <c r="H18" s="1084">
        <v>53608.506000000001</v>
      </c>
      <c r="I18" s="1084">
        <v>490.697</v>
      </c>
      <c r="J18" s="1084">
        <v>158015.23000000001</v>
      </c>
      <c r="K18" s="1084">
        <v>8340.8279999999995</v>
      </c>
      <c r="L18" s="1085">
        <v>65.846000000000004</v>
      </c>
      <c r="M18" s="1085">
        <v>400373.18199999997</v>
      </c>
      <c r="N18" s="1086">
        <v>1975.5250000000001</v>
      </c>
      <c r="O18" s="1084">
        <v>26960.944</v>
      </c>
      <c r="P18" s="1084">
        <v>287.887</v>
      </c>
      <c r="Q18" s="1084">
        <v>318.41000000000003</v>
      </c>
      <c r="R18" s="1085">
        <v>113415.302</v>
      </c>
      <c r="S18" s="1084">
        <v>30760.727999999999</v>
      </c>
      <c r="T18" s="1085">
        <v>2717.511</v>
      </c>
      <c r="U18" s="1087">
        <v>176436.30600000001</v>
      </c>
      <c r="V18" s="1083">
        <v>6737.4340000000002</v>
      </c>
      <c r="W18" s="1084">
        <v>1853.7829999999999</v>
      </c>
      <c r="X18" s="1084">
        <v>197526.552</v>
      </c>
      <c r="Y18" s="1084">
        <v>1781.74</v>
      </c>
      <c r="Z18" s="1084">
        <v>1495.3309999999999</v>
      </c>
      <c r="AA18" s="1084">
        <v>202657.40599999999</v>
      </c>
      <c r="AB18" s="1084">
        <v>167023.80799999999</v>
      </c>
      <c r="AC18" s="1084">
        <v>490.697</v>
      </c>
      <c r="AD18" s="1085">
        <v>158015.23000000001</v>
      </c>
      <c r="AE18" s="1084">
        <v>39101.555999999997</v>
      </c>
      <c r="AF18" s="1084">
        <v>2783.357</v>
      </c>
      <c r="AG18" s="1088">
        <v>576809.48800000001</v>
      </c>
    </row>
    <row r="19" spans="1:33" s="313" customFormat="1" ht="24" customHeight="1">
      <c r="A19" s="1089">
        <v>2021.12</v>
      </c>
      <c r="B19" s="1056">
        <v>390.54399999999998</v>
      </c>
      <c r="C19" s="1057">
        <v>1E-3</v>
      </c>
      <c r="D19" s="1057">
        <v>15526.575000000001</v>
      </c>
      <c r="E19" s="1057">
        <v>78.287999999999997</v>
      </c>
      <c r="F19" s="1057">
        <v>59.994</v>
      </c>
      <c r="G19" s="1057">
        <v>15664.857</v>
      </c>
      <c r="H19" s="1057">
        <v>4531.5690000000004</v>
      </c>
      <c r="I19" s="1057">
        <v>41.087000000000003</v>
      </c>
      <c r="J19" s="1057">
        <v>16531.642</v>
      </c>
      <c r="K19" s="1057">
        <v>768.46900000000005</v>
      </c>
      <c r="L19" s="1058">
        <v>4.843</v>
      </c>
      <c r="M19" s="1058">
        <v>37933.012999999999</v>
      </c>
      <c r="N19" s="1059">
        <v>127.895</v>
      </c>
      <c r="O19" s="1057">
        <v>2782.8040000000001</v>
      </c>
      <c r="P19" s="1057">
        <v>69.209999999999994</v>
      </c>
      <c r="Q19" s="1057">
        <v>55.512999999999998</v>
      </c>
      <c r="R19" s="1058">
        <v>9751.9760000000006</v>
      </c>
      <c r="S19" s="1057">
        <v>2455.527</v>
      </c>
      <c r="T19" s="1058">
        <v>197.672</v>
      </c>
      <c r="U19" s="1064">
        <v>15440.596</v>
      </c>
      <c r="V19" s="1056">
        <v>518.43899999999996</v>
      </c>
      <c r="W19" s="1057">
        <v>1E-3</v>
      </c>
      <c r="X19" s="1057">
        <v>18309.379000000001</v>
      </c>
      <c r="Y19" s="1057">
        <v>147.49799999999999</v>
      </c>
      <c r="Z19" s="1057">
        <v>115.50700000000001</v>
      </c>
      <c r="AA19" s="1057">
        <v>18572.383999999998</v>
      </c>
      <c r="AB19" s="1057">
        <v>14283.546</v>
      </c>
      <c r="AC19" s="1057">
        <v>41.087000000000003</v>
      </c>
      <c r="AD19" s="1058">
        <v>16531.642</v>
      </c>
      <c r="AE19" s="1057">
        <v>3223.9960000000001</v>
      </c>
      <c r="AF19" s="1057">
        <v>202.51499999999999</v>
      </c>
      <c r="AG19" s="1062">
        <v>53373.608999999997</v>
      </c>
    </row>
    <row r="20" spans="1:33" s="1065" customFormat="1" ht="24" customHeight="1">
      <c r="A20" s="1090" t="s">
        <v>796</v>
      </c>
      <c r="B20" s="1091">
        <v>5043.6130000000003</v>
      </c>
      <c r="C20" s="1092">
        <v>1870.76</v>
      </c>
      <c r="D20" s="1092">
        <v>162400.003</v>
      </c>
      <c r="E20" s="1092">
        <v>351.79300000000001</v>
      </c>
      <c r="F20" s="1092">
        <v>1377.345</v>
      </c>
      <c r="G20" s="1092">
        <v>165999.9</v>
      </c>
      <c r="H20" s="1092">
        <v>52242.385999999999</v>
      </c>
      <c r="I20" s="1092">
        <v>570.04600000000005</v>
      </c>
      <c r="J20" s="1092">
        <v>176054.01199999999</v>
      </c>
      <c r="K20" s="1092">
        <v>8461.7389999999996</v>
      </c>
      <c r="L20" s="1093">
        <v>68.94</v>
      </c>
      <c r="M20" s="1093">
        <v>408440.63699999999</v>
      </c>
      <c r="N20" s="1094">
        <v>2212.7199999999998</v>
      </c>
      <c r="O20" s="1092">
        <v>32389.742999999999</v>
      </c>
      <c r="P20" s="1092">
        <v>336.06299999999999</v>
      </c>
      <c r="Q20" s="1092">
        <v>305.21699999999998</v>
      </c>
      <c r="R20" s="1093">
        <v>109960.568</v>
      </c>
      <c r="S20" s="1092">
        <v>38797.567000000003</v>
      </c>
      <c r="T20" s="1093">
        <v>1949.482</v>
      </c>
      <c r="U20" s="1095">
        <v>185951.36199999999</v>
      </c>
      <c r="V20" s="1091">
        <v>7256.3339999999998</v>
      </c>
      <c r="W20" s="1092">
        <v>1870.76</v>
      </c>
      <c r="X20" s="1092">
        <v>194789.74600000001</v>
      </c>
      <c r="Y20" s="1092">
        <v>687.85599999999999</v>
      </c>
      <c r="Z20" s="1092">
        <v>1682.5619999999999</v>
      </c>
      <c r="AA20" s="1092">
        <v>199030.924</v>
      </c>
      <c r="AB20" s="1092">
        <v>162202.954</v>
      </c>
      <c r="AC20" s="1092">
        <v>570.04600000000005</v>
      </c>
      <c r="AD20" s="1093">
        <v>176054.01199999999</v>
      </c>
      <c r="AE20" s="1092">
        <v>47259.307000000001</v>
      </c>
      <c r="AF20" s="1092">
        <v>2018.422</v>
      </c>
      <c r="AG20" s="1096">
        <v>594391.99899999995</v>
      </c>
    </row>
    <row r="21" spans="1:33" s="313" customFormat="1" ht="24" customHeight="1">
      <c r="A21" s="1089">
        <v>2022.01</v>
      </c>
      <c r="B21" s="1056">
        <v>382.72899999999998</v>
      </c>
      <c r="C21" s="1057">
        <v>0</v>
      </c>
      <c r="D21" s="1057">
        <v>16157.27</v>
      </c>
      <c r="E21" s="1057">
        <v>351.79300000000001</v>
      </c>
      <c r="F21" s="1057">
        <v>12.561</v>
      </c>
      <c r="G21" s="1057">
        <v>16521.623</v>
      </c>
      <c r="H21" s="1057">
        <v>4725.1859999999997</v>
      </c>
      <c r="I21" s="1057">
        <v>54.725999999999999</v>
      </c>
      <c r="J21" s="1057">
        <v>16103.26</v>
      </c>
      <c r="K21" s="1057">
        <v>781.346</v>
      </c>
      <c r="L21" s="1058">
        <v>6.7809999999999997</v>
      </c>
      <c r="M21" s="1058">
        <v>38575.652000000002</v>
      </c>
      <c r="N21" s="1059">
        <v>137.61500000000001</v>
      </c>
      <c r="O21" s="1057">
        <v>2589.4899999999998</v>
      </c>
      <c r="P21" s="1057">
        <v>83.379000000000005</v>
      </c>
      <c r="Q21" s="1057">
        <v>67.683999999999997</v>
      </c>
      <c r="R21" s="1058">
        <v>10465.105</v>
      </c>
      <c r="S21" s="1057">
        <v>2689.0880000000002</v>
      </c>
      <c r="T21" s="1058">
        <v>184.28899999999999</v>
      </c>
      <c r="U21" s="1064">
        <v>16216.65</v>
      </c>
      <c r="V21" s="1056">
        <v>520.34400000000005</v>
      </c>
      <c r="W21" s="1057">
        <v>0</v>
      </c>
      <c r="X21" s="1057">
        <v>18746.758999999998</v>
      </c>
      <c r="Y21" s="1057">
        <v>435.17099999999999</v>
      </c>
      <c r="Z21" s="1057">
        <v>80.245000000000005</v>
      </c>
      <c r="AA21" s="1057">
        <v>19262.174999999999</v>
      </c>
      <c r="AB21" s="1057">
        <v>15190.291999999999</v>
      </c>
      <c r="AC21" s="1057">
        <v>54.725999999999999</v>
      </c>
      <c r="AD21" s="1058">
        <v>16103.26</v>
      </c>
      <c r="AE21" s="1057">
        <v>3470.4340000000002</v>
      </c>
      <c r="AF21" s="1057">
        <v>191.07</v>
      </c>
      <c r="AG21" s="1062">
        <v>54792.300999999999</v>
      </c>
    </row>
    <row r="22" spans="1:33" s="1097" customFormat="1" ht="24" customHeight="1">
      <c r="A22" s="1089">
        <v>2022.02</v>
      </c>
      <c r="B22" s="1056">
        <v>369.16300000000001</v>
      </c>
      <c r="C22" s="1057">
        <v>0</v>
      </c>
      <c r="D22" s="1057">
        <v>13602.76</v>
      </c>
      <c r="E22" s="1057" t="s">
        <v>171</v>
      </c>
      <c r="F22" s="1057">
        <v>32.85</v>
      </c>
      <c r="G22" s="1057">
        <v>13635.61</v>
      </c>
      <c r="H22" s="1057">
        <v>4241.8289999999997</v>
      </c>
      <c r="I22" s="1057">
        <v>58.128999999999998</v>
      </c>
      <c r="J22" s="1057">
        <v>13989.89</v>
      </c>
      <c r="K22" s="1057">
        <v>716.00400000000002</v>
      </c>
      <c r="L22" s="1058">
        <v>6.0789999999999997</v>
      </c>
      <c r="M22" s="1058">
        <v>33016.703999999998</v>
      </c>
      <c r="N22" s="1059">
        <v>122.111</v>
      </c>
      <c r="O22" s="1057">
        <v>2684.94</v>
      </c>
      <c r="P22" s="1057">
        <v>67.138999999999996</v>
      </c>
      <c r="Q22" s="1057">
        <v>110.315</v>
      </c>
      <c r="R22" s="1058">
        <v>9268.0069999999996</v>
      </c>
      <c r="S22" s="1057">
        <v>3029.0230000000001</v>
      </c>
      <c r="T22" s="1058">
        <v>189.26300000000001</v>
      </c>
      <c r="U22" s="1064">
        <v>15470.798000000001</v>
      </c>
      <c r="V22" s="1056">
        <v>491.27499999999998</v>
      </c>
      <c r="W22" s="1057">
        <v>0</v>
      </c>
      <c r="X22" s="1057">
        <v>16287.700999999999</v>
      </c>
      <c r="Y22" s="1057">
        <v>67.138999999999996</v>
      </c>
      <c r="Z22" s="1057">
        <v>143.16499999999999</v>
      </c>
      <c r="AA22" s="1057">
        <v>16498.005000000001</v>
      </c>
      <c r="AB22" s="1057">
        <v>13509.834999999999</v>
      </c>
      <c r="AC22" s="1057">
        <v>58.128999999999998</v>
      </c>
      <c r="AD22" s="1058">
        <v>13989.89</v>
      </c>
      <c r="AE22" s="1057">
        <v>3745.027</v>
      </c>
      <c r="AF22" s="1057">
        <v>195.34200000000001</v>
      </c>
      <c r="AG22" s="1062">
        <v>48487.502</v>
      </c>
    </row>
    <row r="23" spans="1:33" s="1065" customFormat="1" ht="24" customHeight="1">
      <c r="A23" s="1089">
        <v>2022.03</v>
      </c>
      <c r="B23" s="1056">
        <v>413.916</v>
      </c>
      <c r="C23" s="1057">
        <v>0.14000000000000001</v>
      </c>
      <c r="D23" s="1057">
        <v>11508.474</v>
      </c>
      <c r="E23" s="1057" t="s">
        <v>171</v>
      </c>
      <c r="F23" s="1057">
        <v>175.084</v>
      </c>
      <c r="G23" s="1057">
        <v>11683.698</v>
      </c>
      <c r="H23" s="1057">
        <v>5083.1530000000002</v>
      </c>
      <c r="I23" s="1057">
        <v>60.216000000000001</v>
      </c>
      <c r="J23" s="1057">
        <v>13866.525</v>
      </c>
      <c r="K23" s="1057">
        <v>763.83</v>
      </c>
      <c r="L23" s="1057">
        <v>3.9209999999999998</v>
      </c>
      <c r="M23" s="1057">
        <v>31875.258000000002</v>
      </c>
      <c r="N23" s="1059">
        <v>139.66999999999999</v>
      </c>
      <c r="O23" s="1057">
        <v>2874.011</v>
      </c>
      <c r="P23" s="1057">
        <v>40.116</v>
      </c>
      <c r="Q23" s="1057">
        <v>29.07</v>
      </c>
      <c r="R23" s="1058">
        <v>11405.418</v>
      </c>
      <c r="S23" s="1057">
        <v>3116.21</v>
      </c>
      <c r="T23" s="1058">
        <v>179.4</v>
      </c>
      <c r="U23" s="1064">
        <v>17783.895</v>
      </c>
      <c r="V23" s="1056">
        <v>553.58600000000001</v>
      </c>
      <c r="W23" s="1057">
        <v>0.14000000000000001</v>
      </c>
      <c r="X23" s="1057">
        <v>14382.485000000001</v>
      </c>
      <c r="Y23" s="1057">
        <v>40.116</v>
      </c>
      <c r="Z23" s="1057">
        <v>204.154</v>
      </c>
      <c r="AA23" s="1057">
        <v>14626.895</v>
      </c>
      <c r="AB23" s="1057">
        <v>16488.571</v>
      </c>
      <c r="AC23" s="1057">
        <v>60.216000000000001</v>
      </c>
      <c r="AD23" s="1057">
        <v>13866.525</v>
      </c>
      <c r="AE23" s="1057">
        <v>3880.0390000000002</v>
      </c>
      <c r="AF23" s="1057">
        <v>183.321</v>
      </c>
      <c r="AG23" s="1062">
        <v>49659.152999999998</v>
      </c>
    </row>
    <row r="24" spans="1:33" s="1065" customFormat="1" ht="24" customHeight="1">
      <c r="A24" s="1089">
        <v>2022.04</v>
      </c>
      <c r="B24" s="1056">
        <v>327.89400000000001</v>
      </c>
      <c r="C24" s="1057">
        <v>236.34100000000001</v>
      </c>
      <c r="D24" s="1057">
        <v>10952.96</v>
      </c>
      <c r="E24" s="1057" t="s">
        <v>171</v>
      </c>
      <c r="F24" s="1057">
        <v>39.438000000000002</v>
      </c>
      <c r="G24" s="1057">
        <v>11228.739</v>
      </c>
      <c r="H24" s="1057">
        <v>3863.7150000000001</v>
      </c>
      <c r="I24" s="1057">
        <v>53.29</v>
      </c>
      <c r="J24" s="1057">
        <v>13385.162</v>
      </c>
      <c r="K24" s="1057">
        <v>653.55899999999997</v>
      </c>
      <c r="L24" s="1058">
        <v>6.657</v>
      </c>
      <c r="M24" s="1058">
        <v>29519.014999999999</v>
      </c>
      <c r="N24" s="1059">
        <v>145.05000000000001</v>
      </c>
      <c r="O24" s="1057">
        <v>2479.2260000000001</v>
      </c>
      <c r="P24" s="1057">
        <v>20.652000000000001</v>
      </c>
      <c r="Q24" s="1057">
        <v>16.454000000000001</v>
      </c>
      <c r="R24" s="1058">
        <v>8892.1569999999992</v>
      </c>
      <c r="S24" s="1057">
        <v>3614.6469999999999</v>
      </c>
      <c r="T24" s="1058">
        <v>171.66800000000001</v>
      </c>
      <c r="U24" s="1064">
        <v>15339.855</v>
      </c>
      <c r="V24" s="1056">
        <v>472.94400000000002</v>
      </c>
      <c r="W24" s="1057">
        <v>236.34100000000001</v>
      </c>
      <c r="X24" s="1057">
        <v>13432.186</v>
      </c>
      <c r="Y24" s="1057">
        <v>20.652000000000001</v>
      </c>
      <c r="Z24" s="1057">
        <v>55.892000000000003</v>
      </c>
      <c r="AA24" s="1057">
        <v>13745.071</v>
      </c>
      <c r="AB24" s="1057">
        <v>12755.871999999999</v>
      </c>
      <c r="AC24" s="1057">
        <v>53.29</v>
      </c>
      <c r="AD24" s="1058">
        <v>13385.162</v>
      </c>
      <c r="AE24" s="1057">
        <v>4268.2060000000001</v>
      </c>
      <c r="AF24" s="1057">
        <v>178.32499999999999</v>
      </c>
      <c r="AG24" s="1062">
        <v>44858.87</v>
      </c>
    </row>
    <row r="25" spans="1:33" s="1065" customFormat="1" ht="24" customHeight="1">
      <c r="A25" s="1089">
        <v>2022.05</v>
      </c>
      <c r="B25" s="1056">
        <v>376.85399999999998</v>
      </c>
      <c r="C25" s="1057">
        <v>166.56200000000001</v>
      </c>
      <c r="D25" s="1057">
        <v>11709.78</v>
      </c>
      <c r="E25" s="1057" t="s">
        <v>171</v>
      </c>
      <c r="F25" s="1057">
        <v>116.428</v>
      </c>
      <c r="G25" s="1057">
        <v>11992.77</v>
      </c>
      <c r="H25" s="1057">
        <v>3871.096</v>
      </c>
      <c r="I25" s="1057">
        <v>40.090000000000003</v>
      </c>
      <c r="J25" s="1057">
        <v>14609.832</v>
      </c>
      <c r="K25" s="1057">
        <v>539.654</v>
      </c>
      <c r="L25" s="1058">
        <v>6.657</v>
      </c>
      <c r="M25" s="1058">
        <v>31436.952000000001</v>
      </c>
      <c r="N25" s="1059">
        <v>161.643</v>
      </c>
      <c r="O25" s="1057">
        <v>1921.019</v>
      </c>
      <c r="P25" s="1057">
        <v>7.3259999999999996</v>
      </c>
      <c r="Q25" s="1057">
        <v>9.6790000000000003</v>
      </c>
      <c r="R25" s="1058">
        <v>8159.7309999999998</v>
      </c>
      <c r="S25" s="1057">
        <v>4354.0839999999998</v>
      </c>
      <c r="T25" s="1058">
        <v>130.39599999999999</v>
      </c>
      <c r="U25" s="1064">
        <v>14743.878000000001</v>
      </c>
      <c r="V25" s="1056">
        <v>538.49699999999996</v>
      </c>
      <c r="W25" s="1057">
        <v>166.56200000000001</v>
      </c>
      <c r="X25" s="1057">
        <v>13630.799000000001</v>
      </c>
      <c r="Y25" s="1057">
        <v>7.3259999999999996</v>
      </c>
      <c r="Z25" s="1057">
        <v>126.107</v>
      </c>
      <c r="AA25" s="1057">
        <v>13930.795</v>
      </c>
      <c r="AB25" s="1057">
        <v>12030.826999999999</v>
      </c>
      <c r="AC25" s="1057">
        <v>40.090000000000003</v>
      </c>
      <c r="AD25" s="1058">
        <v>14609.832</v>
      </c>
      <c r="AE25" s="1057">
        <v>4893.7380000000003</v>
      </c>
      <c r="AF25" s="1057">
        <v>137.053</v>
      </c>
      <c r="AG25" s="1062">
        <v>46180.83</v>
      </c>
    </row>
    <row r="26" spans="1:33" s="1065" customFormat="1" ht="24" customHeight="1">
      <c r="A26" s="1089">
        <v>2022.06</v>
      </c>
      <c r="B26" s="1056">
        <v>399.38600000000002</v>
      </c>
      <c r="C26" s="1057">
        <v>156.79599999999999</v>
      </c>
      <c r="D26" s="1057">
        <v>13476.359</v>
      </c>
      <c r="E26" s="1057" t="s">
        <v>171</v>
      </c>
      <c r="F26" s="1057">
        <v>131.916</v>
      </c>
      <c r="G26" s="1057">
        <v>13765.07</v>
      </c>
      <c r="H26" s="1057">
        <v>4017.3270000000002</v>
      </c>
      <c r="I26" s="1057">
        <v>41.707000000000001</v>
      </c>
      <c r="J26" s="1057">
        <v>14725.941000000001</v>
      </c>
      <c r="K26" s="1057">
        <v>580.45899999999995</v>
      </c>
      <c r="L26" s="1058">
        <v>6.202</v>
      </c>
      <c r="M26" s="1058">
        <v>33536.091999999997</v>
      </c>
      <c r="N26" s="1059">
        <v>156.376</v>
      </c>
      <c r="O26" s="1057">
        <v>2124.931</v>
      </c>
      <c r="P26" s="1057">
        <v>6.7949999999999999</v>
      </c>
      <c r="Q26" s="1057">
        <v>4.4219999999999997</v>
      </c>
      <c r="R26" s="1058">
        <v>8384.8809999999994</v>
      </c>
      <c r="S26" s="1057">
        <v>3248.9870000000001</v>
      </c>
      <c r="T26" s="1058">
        <v>124.376</v>
      </c>
      <c r="U26" s="1064">
        <v>14050.769</v>
      </c>
      <c r="V26" s="1056">
        <v>555.76199999999994</v>
      </c>
      <c r="W26" s="1057">
        <v>156.79599999999999</v>
      </c>
      <c r="X26" s="1057">
        <v>15601.29</v>
      </c>
      <c r="Y26" s="1057">
        <v>6.7949999999999999</v>
      </c>
      <c r="Z26" s="1057">
        <v>136.33799999999999</v>
      </c>
      <c r="AA26" s="1057">
        <v>15901.218999999999</v>
      </c>
      <c r="AB26" s="1057">
        <v>12402.208000000001</v>
      </c>
      <c r="AC26" s="1057">
        <v>41.707000000000001</v>
      </c>
      <c r="AD26" s="1058">
        <v>14725.941000000001</v>
      </c>
      <c r="AE26" s="1057">
        <v>3829.4470000000001</v>
      </c>
      <c r="AF26" s="1057">
        <v>130.578</v>
      </c>
      <c r="AG26" s="1062">
        <v>47586.860999999997</v>
      </c>
    </row>
    <row r="27" spans="1:33" s="1065" customFormat="1" ht="24" customHeight="1">
      <c r="A27" s="1089">
        <v>2022.07</v>
      </c>
      <c r="B27" s="1056">
        <v>522.95399999999995</v>
      </c>
      <c r="C27" s="1057">
        <v>274.298</v>
      </c>
      <c r="D27" s="1057">
        <v>16885.547999999999</v>
      </c>
      <c r="E27" s="1057" t="s">
        <v>171</v>
      </c>
      <c r="F27" s="1057">
        <v>159.28700000000001</v>
      </c>
      <c r="G27" s="1057">
        <v>17319.132000000001</v>
      </c>
      <c r="H27" s="1057">
        <v>4895.7420000000002</v>
      </c>
      <c r="I27" s="1057">
        <v>63.09</v>
      </c>
      <c r="J27" s="1057">
        <v>15354.808999999999</v>
      </c>
      <c r="K27" s="1057">
        <v>763.73800000000006</v>
      </c>
      <c r="L27" s="1058">
        <v>4.2469999999999999</v>
      </c>
      <c r="M27" s="1058">
        <v>38923.712</v>
      </c>
      <c r="N27" s="1059">
        <v>162.786</v>
      </c>
      <c r="O27" s="1057">
        <v>2748.3530000000001</v>
      </c>
      <c r="P27" s="1057">
        <v>5.54</v>
      </c>
      <c r="Q27" s="1057">
        <v>4.0449999999999999</v>
      </c>
      <c r="R27" s="1058">
        <v>9786.6849999999995</v>
      </c>
      <c r="S27" s="1057">
        <v>3257.87</v>
      </c>
      <c r="T27" s="1058">
        <v>138.41499999999999</v>
      </c>
      <c r="U27" s="1064">
        <v>16103.694</v>
      </c>
      <c r="V27" s="1056">
        <v>685.74</v>
      </c>
      <c r="W27" s="1057">
        <v>274.298</v>
      </c>
      <c r="X27" s="1057">
        <v>19633.900000000001</v>
      </c>
      <c r="Y27" s="1057">
        <v>5.54</v>
      </c>
      <c r="Z27" s="1057">
        <v>163.33199999999999</v>
      </c>
      <c r="AA27" s="1057">
        <v>20077.07</v>
      </c>
      <c r="AB27" s="1057">
        <v>14682.428</v>
      </c>
      <c r="AC27" s="1057">
        <v>63.09</v>
      </c>
      <c r="AD27" s="1058">
        <v>15354.808999999999</v>
      </c>
      <c r="AE27" s="1057">
        <v>4021.6080000000002</v>
      </c>
      <c r="AF27" s="1057">
        <v>142.66200000000001</v>
      </c>
      <c r="AG27" s="1062">
        <v>55027.406000000003</v>
      </c>
    </row>
    <row r="28" spans="1:33" s="1065" customFormat="1" ht="24" customHeight="1">
      <c r="A28" s="1089">
        <v>2022.08</v>
      </c>
      <c r="B28" s="1056">
        <v>564.5</v>
      </c>
      <c r="C28" s="1057">
        <v>273.41199999999998</v>
      </c>
      <c r="D28" s="1057">
        <v>15917.047</v>
      </c>
      <c r="E28" s="1057" t="s">
        <v>171</v>
      </c>
      <c r="F28" s="1057">
        <v>57.814</v>
      </c>
      <c r="G28" s="1057">
        <v>16248.272999999999</v>
      </c>
      <c r="H28" s="1057">
        <v>4038.2510000000002</v>
      </c>
      <c r="I28" s="1057">
        <v>47.316000000000003</v>
      </c>
      <c r="J28" s="1057">
        <v>16308.977999999999</v>
      </c>
      <c r="K28" s="1057">
        <v>861.79</v>
      </c>
      <c r="L28" s="1058">
        <v>5.8319999999999999</v>
      </c>
      <c r="M28" s="1058">
        <v>38074.940999999999</v>
      </c>
      <c r="N28" s="1059">
        <v>459.55200000000002</v>
      </c>
      <c r="O28" s="1057">
        <v>3016.9549999999999</v>
      </c>
      <c r="P28" s="1057">
        <v>3.5590000000000002</v>
      </c>
      <c r="Q28" s="1057">
        <v>4.0620000000000003</v>
      </c>
      <c r="R28" s="1058">
        <v>9140.3680000000004</v>
      </c>
      <c r="S28" s="1057">
        <v>3099.873</v>
      </c>
      <c r="T28" s="1058">
        <v>164.65199999999999</v>
      </c>
      <c r="U28" s="1064">
        <v>15889.021000000001</v>
      </c>
      <c r="V28" s="1056">
        <v>1024.0519999999999</v>
      </c>
      <c r="W28" s="1057">
        <v>273.41199999999998</v>
      </c>
      <c r="X28" s="1057">
        <v>18934.003000000001</v>
      </c>
      <c r="Y28" s="1057">
        <v>3.5590000000000002</v>
      </c>
      <c r="Z28" s="1057">
        <v>61.875999999999998</v>
      </c>
      <c r="AA28" s="1057">
        <v>19272.849999999999</v>
      </c>
      <c r="AB28" s="1057">
        <v>13178.619000000001</v>
      </c>
      <c r="AC28" s="1057">
        <v>47.316000000000003</v>
      </c>
      <c r="AD28" s="1058">
        <v>16308.977999999999</v>
      </c>
      <c r="AE28" s="1057">
        <v>3961.663</v>
      </c>
      <c r="AF28" s="1057">
        <v>170.48400000000001</v>
      </c>
      <c r="AG28" s="1062">
        <v>53963.962</v>
      </c>
    </row>
    <row r="29" spans="1:33" s="1065" customFormat="1" ht="24" customHeight="1">
      <c r="A29" s="1089">
        <v>2022.09</v>
      </c>
      <c r="B29" s="1056">
        <v>481.27600000000001</v>
      </c>
      <c r="C29" s="1057">
        <v>149.74199999999999</v>
      </c>
      <c r="D29" s="1057">
        <v>13159.753000000001</v>
      </c>
      <c r="E29" s="1057" t="s">
        <v>171</v>
      </c>
      <c r="F29" s="1057">
        <v>87.921999999999997</v>
      </c>
      <c r="G29" s="1057">
        <v>13397.416999999999</v>
      </c>
      <c r="H29" s="1057">
        <v>3361.1509999999998</v>
      </c>
      <c r="I29" s="1057">
        <v>31.613</v>
      </c>
      <c r="J29" s="1057">
        <v>14093.576999999999</v>
      </c>
      <c r="K29" s="1057">
        <v>666.15499999999997</v>
      </c>
      <c r="L29" s="1058">
        <v>6.7809999999999997</v>
      </c>
      <c r="M29" s="1058">
        <v>32037.97</v>
      </c>
      <c r="N29" s="1059">
        <v>322.2</v>
      </c>
      <c r="O29" s="1057">
        <v>2502.8000000000002</v>
      </c>
      <c r="P29" s="1057">
        <v>7.6859999999999999</v>
      </c>
      <c r="Q29" s="1057">
        <v>5.5830000000000002</v>
      </c>
      <c r="R29" s="1058">
        <v>7985.357</v>
      </c>
      <c r="S29" s="1057">
        <v>3305.6729999999998</v>
      </c>
      <c r="T29" s="1058">
        <v>141.04</v>
      </c>
      <c r="U29" s="1064">
        <v>14270.34</v>
      </c>
      <c r="V29" s="1056">
        <v>803.476</v>
      </c>
      <c r="W29" s="1057">
        <v>149.74199999999999</v>
      </c>
      <c r="X29" s="1057">
        <v>15662.553</v>
      </c>
      <c r="Y29" s="1057">
        <v>7.6859999999999999</v>
      </c>
      <c r="Z29" s="1057">
        <v>93.504999999999995</v>
      </c>
      <c r="AA29" s="1057">
        <v>15913.486000000001</v>
      </c>
      <c r="AB29" s="1057">
        <v>11346.508</v>
      </c>
      <c r="AC29" s="1057">
        <v>31.613</v>
      </c>
      <c r="AD29" s="1058">
        <v>14093.576999999999</v>
      </c>
      <c r="AE29" s="1057">
        <v>3971.828</v>
      </c>
      <c r="AF29" s="1057">
        <v>147.821</v>
      </c>
      <c r="AG29" s="1062">
        <v>46308.31</v>
      </c>
    </row>
    <row r="30" spans="1:33" s="1065" customFormat="1" ht="24" customHeight="1">
      <c r="A30" s="1098">
        <v>2022.1</v>
      </c>
      <c r="B30" s="1099">
        <v>430.42200000000003</v>
      </c>
      <c r="C30" s="1100">
        <v>197.904</v>
      </c>
      <c r="D30" s="1100">
        <v>11567.589</v>
      </c>
      <c r="E30" s="1100" t="s">
        <v>171</v>
      </c>
      <c r="F30" s="1100">
        <v>150.16900000000001</v>
      </c>
      <c r="G30" s="1100">
        <v>11915.661</v>
      </c>
      <c r="H30" s="1100">
        <v>3866.8339999999998</v>
      </c>
      <c r="I30" s="1100">
        <v>39.604999999999997</v>
      </c>
      <c r="J30" s="1100">
        <v>14381.733</v>
      </c>
      <c r="K30" s="1100">
        <v>692.51099999999997</v>
      </c>
      <c r="L30" s="1101">
        <v>4.7480000000000002</v>
      </c>
      <c r="M30" s="1101">
        <v>31331.513999999999</v>
      </c>
      <c r="N30" s="1102">
        <v>145.798</v>
      </c>
      <c r="O30" s="1100">
        <v>2985.8530000000001</v>
      </c>
      <c r="P30" s="1100">
        <v>19.818999999999999</v>
      </c>
      <c r="Q30" s="1100">
        <v>6.5640000000000001</v>
      </c>
      <c r="R30" s="1101">
        <v>7542.6819999999998</v>
      </c>
      <c r="S30" s="1100">
        <v>3495.5250000000001</v>
      </c>
      <c r="T30" s="1101">
        <v>213.279</v>
      </c>
      <c r="U30" s="1103">
        <v>14409.52</v>
      </c>
      <c r="V30" s="1099">
        <v>576.22</v>
      </c>
      <c r="W30" s="1100">
        <v>197.904</v>
      </c>
      <c r="X30" s="1100">
        <v>14553.441000000001</v>
      </c>
      <c r="Y30" s="1100">
        <v>19.818999999999999</v>
      </c>
      <c r="Z30" s="1100">
        <v>156.733</v>
      </c>
      <c r="AA30" s="1100">
        <v>14927.897000000001</v>
      </c>
      <c r="AB30" s="1100">
        <v>11409.516</v>
      </c>
      <c r="AC30" s="1100">
        <v>39.604999999999997</v>
      </c>
      <c r="AD30" s="1101">
        <v>14381.733</v>
      </c>
      <c r="AE30" s="1100">
        <v>4188.0360000000001</v>
      </c>
      <c r="AF30" s="1100">
        <v>218.02699999999999</v>
      </c>
      <c r="AG30" s="1104">
        <v>45741.034</v>
      </c>
    </row>
    <row r="31" spans="1:33" s="1065" customFormat="1" ht="24" customHeight="1">
      <c r="A31" s="1098">
        <v>2022.11</v>
      </c>
      <c r="B31" s="1099">
        <v>392.18299999999999</v>
      </c>
      <c r="C31" s="1100">
        <v>141.07599999999999</v>
      </c>
      <c r="D31" s="1100">
        <v>12115.209000000001</v>
      </c>
      <c r="E31" s="1100" t="s">
        <v>171</v>
      </c>
      <c r="F31" s="1100">
        <v>187.40600000000001</v>
      </c>
      <c r="G31" s="1100">
        <v>12443.691000000001</v>
      </c>
      <c r="H31" s="1100">
        <v>4454.2780000000002</v>
      </c>
      <c r="I31" s="1100">
        <v>35.487000000000002</v>
      </c>
      <c r="J31" s="1100">
        <v>14005.635</v>
      </c>
      <c r="K31" s="1100">
        <v>583.83500000000004</v>
      </c>
      <c r="L31" s="1101">
        <v>4.4470000000000001</v>
      </c>
      <c r="M31" s="1101">
        <v>31919.556</v>
      </c>
      <c r="N31" s="1102">
        <v>131.99100000000001</v>
      </c>
      <c r="O31" s="1100">
        <v>2971.3490000000002</v>
      </c>
      <c r="P31" s="1100">
        <v>31.864999999999998</v>
      </c>
      <c r="Q31" s="1100">
        <v>10.387</v>
      </c>
      <c r="R31" s="1101">
        <v>8095.82</v>
      </c>
      <c r="S31" s="1100">
        <v>2915.3539999999998</v>
      </c>
      <c r="T31" s="1101">
        <v>141.48400000000001</v>
      </c>
      <c r="U31" s="1103">
        <v>14298.251</v>
      </c>
      <c r="V31" s="1099">
        <v>524.17399999999998</v>
      </c>
      <c r="W31" s="1100">
        <v>141.07599999999999</v>
      </c>
      <c r="X31" s="1100">
        <v>15086.558999999999</v>
      </c>
      <c r="Y31" s="1100">
        <v>31.864999999999998</v>
      </c>
      <c r="Z31" s="1100">
        <v>197.79300000000001</v>
      </c>
      <c r="AA31" s="1100">
        <v>15457.291999999999</v>
      </c>
      <c r="AB31" s="1100">
        <v>12550.098</v>
      </c>
      <c r="AC31" s="1100">
        <v>35.487000000000002</v>
      </c>
      <c r="AD31" s="1101">
        <v>14005.635</v>
      </c>
      <c r="AE31" s="1100">
        <v>3499.1889999999999</v>
      </c>
      <c r="AF31" s="1100">
        <v>145.93100000000001</v>
      </c>
      <c r="AG31" s="1104">
        <v>46217.807000000001</v>
      </c>
    </row>
    <row r="32" spans="1:33" s="1065" customFormat="1" ht="24" customHeight="1">
      <c r="A32" s="1105">
        <v>2022.12</v>
      </c>
      <c r="B32" s="1106">
        <v>382.33699999999999</v>
      </c>
      <c r="C32" s="1107">
        <v>274.49</v>
      </c>
      <c r="D32" s="1107">
        <v>15347.254000000001</v>
      </c>
      <c r="E32" s="1107" t="s">
        <v>171</v>
      </c>
      <c r="F32" s="1107">
        <v>226.47</v>
      </c>
      <c r="G32" s="1107">
        <v>15848.214</v>
      </c>
      <c r="H32" s="1107">
        <v>5823.8239999999996</v>
      </c>
      <c r="I32" s="1107">
        <v>44.777999999999999</v>
      </c>
      <c r="J32" s="1107">
        <v>15228.671</v>
      </c>
      <c r="K32" s="1107">
        <v>858.85799999999995</v>
      </c>
      <c r="L32" s="1108">
        <v>6.5890000000000004</v>
      </c>
      <c r="M32" s="1108">
        <v>38193.271999999997</v>
      </c>
      <c r="N32" s="1109">
        <v>127.92700000000001</v>
      </c>
      <c r="O32" s="1107">
        <v>3490.8150000000001</v>
      </c>
      <c r="P32" s="1107">
        <v>42.186999999999998</v>
      </c>
      <c r="Q32" s="1107">
        <v>36.951999999999998</v>
      </c>
      <c r="R32" s="1108">
        <v>10834.357</v>
      </c>
      <c r="S32" s="1107">
        <v>2671.2339999999999</v>
      </c>
      <c r="T32" s="1108">
        <v>171.21899999999999</v>
      </c>
      <c r="U32" s="1110">
        <v>17374.690999999999</v>
      </c>
      <c r="V32" s="1106">
        <v>510.26400000000001</v>
      </c>
      <c r="W32" s="1107">
        <v>274.49</v>
      </c>
      <c r="X32" s="1107">
        <v>18838.07</v>
      </c>
      <c r="Y32" s="1107">
        <v>42.186999999999998</v>
      </c>
      <c r="Z32" s="1107">
        <v>263.42200000000003</v>
      </c>
      <c r="AA32" s="1107">
        <v>19418.169000000002</v>
      </c>
      <c r="AB32" s="1107">
        <v>16658.181</v>
      </c>
      <c r="AC32" s="1107">
        <v>44.777999999999999</v>
      </c>
      <c r="AD32" s="1108">
        <v>15228.671</v>
      </c>
      <c r="AE32" s="1107">
        <v>3530.0920000000001</v>
      </c>
      <c r="AF32" s="1107">
        <v>177.80799999999999</v>
      </c>
      <c r="AG32" s="1111">
        <v>55567.963000000003</v>
      </c>
    </row>
    <row r="33" spans="1:33" s="1065" customFormat="1" ht="3" customHeight="1">
      <c r="A33" s="1112"/>
      <c r="B33" s="1113"/>
      <c r="C33" s="1113"/>
      <c r="D33" s="1113"/>
      <c r="E33" s="1113"/>
      <c r="F33" s="1113"/>
      <c r="G33" s="1113"/>
      <c r="H33" s="1113"/>
      <c r="I33" s="1113"/>
      <c r="J33" s="1113"/>
      <c r="K33" s="1113"/>
      <c r="L33" s="1113"/>
      <c r="M33" s="1113"/>
      <c r="N33" s="1113"/>
      <c r="O33" s="1113"/>
      <c r="P33" s="1113"/>
      <c r="Q33" s="1113"/>
      <c r="R33" s="1113"/>
      <c r="S33" s="1113"/>
      <c r="T33" s="1113"/>
      <c r="U33" s="1113"/>
      <c r="V33" s="1113"/>
      <c r="W33" s="1113"/>
      <c r="X33" s="1113"/>
      <c r="Y33" s="1113"/>
      <c r="Z33" s="1113"/>
      <c r="AA33" s="1113"/>
      <c r="AB33" s="1113"/>
      <c r="AC33" s="1113"/>
      <c r="AD33" s="1113"/>
      <c r="AE33" s="1114"/>
      <c r="AF33" s="1114"/>
      <c r="AG33" s="1114"/>
    </row>
    <row r="34" spans="1:33" s="251" customFormat="1" ht="12" customHeight="1">
      <c r="A34" s="305" t="s">
        <v>797</v>
      </c>
      <c r="B34" s="621"/>
      <c r="C34" s="621"/>
      <c r="D34" s="621"/>
      <c r="E34" s="621"/>
      <c r="F34" s="621"/>
      <c r="G34" s="1115"/>
      <c r="H34" s="1115"/>
      <c r="I34" s="1115"/>
      <c r="J34" s="1115"/>
      <c r="K34" s="1115"/>
      <c r="L34" s="1115"/>
      <c r="M34" s="1115"/>
      <c r="N34" s="1115"/>
      <c r="O34" s="1115"/>
      <c r="P34" s="1115"/>
      <c r="Q34" s="1115"/>
      <c r="R34" s="305" t="s">
        <v>727</v>
      </c>
      <c r="S34" s="1115"/>
      <c r="T34" s="1115"/>
      <c r="U34" s="1115"/>
      <c r="V34" s="1115"/>
      <c r="W34" s="1115"/>
      <c r="X34" s="1115"/>
      <c r="Y34" s="1115"/>
      <c r="Z34" s="1115"/>
      <c r="AA34" s="1115"/>
      <c r="AB34" s="1115"/>
      <c r="AC34" s="1115"/>
      <c r="AD34" s="1115"/>
      <c r="AE34" s="310"/>
      <c r="AF34" s="310"/>
      <c r="AG34" s="310"/>
    </row>
    <row r="35" spans="1:33" s="1121" customFormat="1" ht="12" customHeight="1">
      <c r="A35" s="1116" t="s">
        <v>798</v>
      </c>
      <c r="B35" s="1117"/>
      <c r="C35" s="1117"/>
      <c r="D35" s="1117"/>
      <c r="E35" s="1117"/>
      <c r="F35" s="1117"/>
      <c r="G35" s="1117"/>
      <c r="H35" s="1117"/>
      <c r="I35" s="1117"/>
      <c r="J35" s="1118"/>
      <c r="K35" s="1118"/>
      <c r="L35" s="1118"/>
      <c r="M35" s="1117"/>
      <c r="N35" s="1118"/>
      <c r="O35" s="1118"/>
      <c r="P35" s="1118"/>
      <c r="Q35" s="1118"/>
      <c r="R35" s="519"/>
      <c r="S35" s="1118"/>
      <c r="T35" s="1118"/>
      <c r="U35" s="1118"/>
      <c r="V35" s="1119"/>
      <c r="W35" s="1118"/>
      <c r="X35" s="1118"/>
      <c r="Y35" s="1118"/>
      <c r="Z35" s="1118"/>
      <c r="AA35" s="1118"/>
      <c r="AB35" s="1118"/>
      <c r="AC35" s="1118"/>
      <c r="AD35" s="1118"/>
      <c r="AE35" s="1120"/>
      <c r="AF35" s="1120"/>
      <c r="AG35" s="1120"/>
    </row>
    <row r="36" spans="1:33" s="251" customFormat="1" ht="19.5" customHeight="1">
      <c r="A36" s="1122"/>
      <c r="B36" s="1123"/>
      <c r="C36" s="1123"/>
      <c r="D36" s="1123"/>
      <c r="E36" s="1123"/>
      <c r="F36" s="1123"/>
      <c r="G36" s="1123"/>
      <c r="H36" s="1123"/>
      <c r="I36" s="1123"/>
      <c r="J36" s="1124"/>
      <c r="K36" s="1124"/>
      <c r="L36" s="1124"/>
      <c r="M36" s="1123"/>
      <c r="N36" s="1124"/>
      <c r="O36" s="1124"/>
      <c r="P36" s="1124"/>
      <c r="Q36" s="1124"/>
      <c r="R36" s="1124"/>
      <c r="S36" s="1124"/>
      <c r="T36" s="1124"/>
      <c r="U36" s="1124"/>
      <c r="V36" s="1125"/>
      <c r="W36" s="1124"/>
      <c r="X36" s="1124"/>
      <c r="Y36" s="1124"/>
      <c r="Z36" s="1124"/>
      <c r="AA36" s="1124"/>
      <c r="AB36" s="1124"/>
      <c r="AC36" s="1124"/>
      <c r="AD36" s="1124"/>
      <c r="AE36" s="1126"/>
      <c r="AF36" s="1126"/>
      <c r="AG36" s="1126"/>
    </row>
    <row r="38" spans="1:33">
      <c r="AD38" s="260"/>
      <c r="AE38" s="315"/>
    </row>
    <row r="39" spans="1:33">
      <c r="AD39" s="260"/>
      <c r="AE39" s="315"/>
    </row>
    <row r="40" spans="1:33">
      <c r="AD40" s="260"/>
      <c r="AE40" s="315"/>
    </row>
    <row r="41" spans="1:33">
      <c r="AD41" s="260"/>
      <c r="AE41" s="315"/>
    </row>
    <row r="42" spans="1:33">
      <c r="AD42" s="260"/>
      <c r="AE42" s="315"/>
    </row>
    <row r="43" spans="1:33">
      <c r="AD43" s="260"/>
      <c r="AE43" s="315"/>
    </row>
    <row r="44" spans="1:33">
      <c r="AD44" s="260"/>
      <c r="AE44" s="315"/>
    </row>
    <row r="45" spans="1:33">
      <c r="AD45" s="260"/>
      <c r="AE45" s="315"/>
    </row>
    <row r="46" spans="1:33">
      <c r="AD46" s="260"/>
      <c r="AE46" s="315"/>
    </row>
    <row r="47" spans="1:33">
      <c r="AD47" s="260"/>
      <c r="AE47" s="315"/>
    </row>
    <row r="48" spans="1:33">
      <c r="AD48" s="260"/>
      <c r="AE48" s="315"/>
    </row>
    <row r="49" spans="2:33">
      <c r="AD49" s="260"/>
      <c r="AE49" s="315"/>
    </row>
    <row r="50" spans="2:33">
      <c r="AD50" s="260"/>
      <c r="AE50" s="315"/>
    </row>
    <row r="52" spans="2:33">
      <c r="B52" s="1127"/>
      <c r="C52" s="1127"/>
      <c r="D52" s="1127"/>
      <c r="E52" s="1127"/>
      <c r="F52" s="1127"/>
      <c r="G52" s="1127"/>
      <c r="H52" s="1127"/>
      <c r="I52" s="1127"/>
      <c r="J52" s="1127"/>
      <c r="K52" s="1127"/>
      <c r="L52" s="1127"/>
      <c r="M52" s="1127"/>
      <c r="N52" s="1127"/>
      <c r="O52" s="1127"/>
      <c r="P52" s="1127"/>
      <c r="Q52" s="1127"/>
      <c r="R52" s="1127"/>
      <c r="S52" s="1127"/>
      <c r="T52" s="1127"/>
      <c r="U52" s="1127"/>
      <c r="V52" s="1127"/>
      <c r="W52" s="1127"/>
      <c r="X52" s="1127"/>
      <c r="Y52" s="1127"/>
      <c r="Z52" s="1127"/>
      <c r="AA52" s="1127"/>
      <c r="AB52" s="1127"/>
      <c r="AC52" s="1127"/>
      <c r="AD52" s="1127"/>
      <c r="AE52" s="1127"/>
      <c r="AF52" s="1127"/>
      <c r="AG52" s="1127"/>
    </row>
    <row r="53" spans="2:33">
      <c r="B53" s="1127"/>
      <c r="C53" s="1127"/>
      <c r="D53" s="1127"/>
      <c r="E53" s="1127"/>
      <c r="F53" s="1127"/>
      <c r="G53" s="1127"/>
      <c r="H53" s="1127"/>
      <c r="I53" s="1127"/>
      <c r="J53" s="1127"/>
      <c r="K53" s="1127"/>
      <c r="L53" s="1127"/>
      <c r="M53" s="1127"/>
      <c r="N53" s="1127"/>
      <c r="O53" s="1127"/>
      <c r="P53" s="1127"/>
      <c r="Q53" s="1127"/>
      <c r="R53" s="1127"/>
      <c r="S53" s="1127"/>
      <c r="T53" s="1127"/>
      <c r="U53" s="1127"/>
      <c r="V53" s="1127"/>
      <c r="W53" s="1127"/>
      <c r="X53" s="1127"/>
      <c r="Y53" s="1127"/>
      <c r="Z53" s="1127"/>
      <c r="AA53" s="1127"/>
      <c r="AB53" s="1127"/>
      <c r="AC53" s="1127"/>
      <c r="AD53" s="1127"/>
      <c r="AE53" s="1127"/>
      <c r="AF53" s="1127"/>
      <c r="AG53" s="1127"/>
    </row>
    <row r="54" spans="2:33">
      <c r="B54" s="1127"/>
      <c r="C54" s="1127"/>
      <c r="D54" s="1127"/>
      <c r="E54" s="1127"/>
      <c r="F54" s="1127"/>
      <c r="G54" s="1127"/>
      <c r="H54" s="1127"/>
      <c r="I54" s="1127"/>
      <c r="J54" s="1127"/>
      <c r="K54" s="1127"/>
      <c r="L54" s="1127"/>
      <c r="M54" s="1127"/>
      <c r="N54" s="1127"/>
      <c r="O54" s="1127"/>
      <c r="P54" s="1127"/>
      <c r="Q54" s="1127"/>
      <c r="R54" s="1127"/>
      <c r="S54" s="1127"/>
      <c r="T54" s="1127"/>
      <c r="U54" s="1127"/>
      <c r="V54" s="1127"/>
      <c r="W54" s="1127"/>
      <c r="X54" s="1127"/>
      <c r="Y54" s="1127"/>
      <c r="Z54" s="1127"/>
      <c r="AA54" s="1127"/>
      <c r="AB54" s="1127"/>
      <c r="AC54" s="1127"/>
      <c r="AD54" s="1127"/>
      <c r="AE54" s="1127"/>
      <c r="AF54" s="1127"/>
      <c r="AG54" s="1127"/>
    </row>
    <row r="55" spans="2:33">
      <c r="B55" s="1127"/>
      <c r="C55" s="1127"/>
      <c r="D55" s="1127"/>
      <c r="E55" s="1127"/>
      <c r="F55" s="1127"/>
      <c r="G55" s="1127"/>
      <c r="H55" s="1127"/>
      <c r="I55" s="1127"/>
      <c r="J55" s="1127"/>
      <c r="K55" s="1127"/>
      <c r="L55" s="1127"/>
      <c r="M55" s="1127"/>
      <c r="N55" s="1127"/>
      <c r="O55" s="1127"/>
      <c r="P55" s="1127"/>
      <c r="Q55" s="1127"/>
      <c r="R55" s="1127"/>
      <c r="S55" s="1127"/>
      <c r="T55" s="1127"/>
      <c r="U55" s="1127"/>
      <c r="V55" s="1127"/>
      <c r="W55" s="1127"/>
      <c r="X55" s="1127"/>
      <c r="Y55" s="1127"/>
      <c r="Z55" s="1127"/>
      <c r="AA55" s="1127"/>
      <c r="AB55" s="1127"/>
      <c r="AC55" s="1127"/>
      <c r="AD55" s="1127"/>
      <c r="AE55" s="1127"/>
      <c r="AF55" s="1127"/>
      <c r="AG55" s="1127"/>
    </row>
    <row r="56" spans="2:33">
      <c r="B56" s="1127"/>
      <c r="C56" s="1127"/>
      <c r="D56" s="1127"/>
      <c r="E56" s="1127"/>
      <c r="F56" s="1127"/>
      <c r="G56" s="1127"/>
      <c r="H56" s="1127"/>
      <c r="I56" s="1127"/>
      <c r="J56" s="1127"/>
      <c r="K56" s="1127"/>
      <c r="L56" s="1127"/>
      <c r="M56" s="1127"/>
      <c r="N56" s="1127"/>
      <c r="O56" s="1127"/>
      <c r="P56" s="1127"/>
      <c r="Q56" s="1127"/>
      <c r="R56" s="1127"/>
      <c r="S56" s="1127"/>
      <c r="T56" s="1127"/>
      <c r="U56" s="1127"/>
      <c r="V56" s="1127"/>
      <c r="W56" s="1127"/>
      <c r="X56" s="1127"/>
      <c r="Y56" s="1127"/>
      <c r="Z56" s="1127"/>
      <c r="AA56" s="1127"/>
      <c r="AB56" s="1127"/>
      <c r="AC56" s="1127"/>
      <c r="AD56" s="1127"/>
      <c r="AE56" s="1127"/>
      <c r="AF56" s="1127"/>
      <c r="AG56" s="1127"/>
    </row>
    <row r="57" spans="2:33">
      <c r="B57" s="1127"/>
      <c r="C57" s="1127"/>
      <c r="D57" s="1127"/>
      <c r="E57" s="1127"/>
      <c r="F57" s="1127"/>
      <c r="G57" s="1127"/>
      <c r="H57" s="1127"/>
      <c r="I57" s="1127"/>
      <c r="J57" s="1127"/>
      <c r="K57" s="1127"/>
      <c r="L57" s="1127"/>
      <c r="M57" s="1127"/>
      <c r="N57" s="1127"/>
      <c r="O57" s="1127"/>
      <c r="P57" s="1127"/>
      <c r="Q57" s="1127"/>
      <c r="R57" s="1127"/>
      <c r="S57" s="1127"/>
      <c r="T57" s="1127"/>
      <c r="U57" s="1127"/>
      <c r="V57" s="1127"/>
      <c r="W57" s="1127"/>
      <c r="X57" s="1127"/>
      <c r="Y57" s="1127"/>
      <c r="Z57" s="1127"/>
      <c r="AA57" s="1127"/>
      <c r="AB57" s="1127"/>
      <c r="AC57" s="1127"/>
      <c r="AD57" s="1127"/>
      <c r="AE57" s="1127"/>
      <c r="AF57" s="1127"/>
      <c r="AG57" s="1127"/>
    </row>
    <row r="58" spans="2:33">
      <c r="B58" s="1127"/>
      <c r="C58" s="1127"/>
      <c r="D58" s="1127"/>
      <c r="E58" s="1127"/>
      <c r="F58" s="1127"/>
      <c r="G58" s="1127"/>
      <c r="H58" s="1127"/>
      <c r="I58" s="1127"/>
      <c r="J58" s="1127"/>
      <c r="K58" s="1127"/>
      <c r="L58" s="1127"/>
      <c r="M58" s="1127"/>
      <c r="N58" s="1127"/>
      <c r="O58" s="1127"/>
      <c r="P58" s="1127"/>
      <c r="Q58" s="1127"/>
      <c r="R58" s="1127"/>
      <c r="S58" s="1127"/>
      <c r="T58" s="1127"/>
      <c r="U58" s="1127"/>
      <c r="V58" s="1127"/>
      <c r="W58" s="1127"/>
      <c r="X58" s="1127"/>
      <c r="Y58" s="1127"/>
      <c r="Z58" s="1127"/>
      <c r="AA58" s="1127"/>
      <c r="AB58" s="1127"/>
      <c r="AC58" s="1127"/>
      <c r="AD58" s="1127"/>
      <c r="AE58" s="1127"/>
      <c r="AF58" s="1127"/>
      <c r="AG58" s="1127"/>
    </row>
    <row r="59" spans="2:33">
      <c r="B59" s="1127"/>
      <c r="C59" s="1127"/>
      <c r="D59" s="1127"/>
      <c r="E59" s="1127"/>
      <c r="F59" s="1127"/>
      <c r="G59" s="1127"/>
      <c r="H59" s="1127"/>
      <c r="I59" s="1127"/>
      <c r="J59" s="1127"/>
      <c r="K59" s="1127"/>
      <c r="L59" s="1127"/>
      <c r="M59" s="1127"/>
      <c r="N59" s="1127"/>
      <c r="O59" s="1127"/>
      <c r="P59" s="1127"/>
      <c r="Q59" s="1127"/>
      <c r="R59" s="1127"/>
      <c r="S59" s="1127"/>
      <c r="T59" s="1127"/>
      <c r="U59" s="1127"/>
      <c r="V59" s="1127"/>
      <c r="W59" s="1127"/>
      <c r="X59" s="1127"/>
      <c r="Y59" s="1127"/>
      <c r="Z59" s="1127"/>
      <c r="AA59" s="1127"/>
      <c r="AB59" s="1127"/>
      <c r="AC59" s="1127"/>
      <c r="AD59" s="1127"/>
      <c r="AE59" s="1127"/>
      <c r="AF59" s="1127"/>
      <c r="AG59" s="1127"/>
    </row>
    <row r="60" spans="2:33">
      <c r="B60" s="1127"/>
      <c r="C60" s="1127"/>
      <c r="D60" s="1127"/>
      <c r="E60" s="1127"/>
      <c r="F60" s="1127"/>
      <c r="G60" s="1127"/>
      <c r="H60" s="1127"/>
      <c r="I60" s="1127"/>
      <c r="J60" s="1127"/>
      <c r="K60" s="1127"/>
      <c r="L60" s="1127"/>
      <c r="M60" s="1127"/>
      <c r="N60" s="1127"/>
      <c r="O60" s="1127"/>
      <c r="P60" s="1127"/>
      <c r="Q60" s="1127"/>
      <c r="R60" s="1127"/>
      <c r="S60" s="1127"/>
      <c r="T60" s="1127"/>
      <c r="U60" s="1127"/>
      <c r="V60" s="1127"/>
      <c r="W60" s="1127"/>
      <c r="X60" s="1127"/>
      <c r="Y60" s="1127"/>
      <c r="Z60" s="1127"/>
      <c r="AA60" s="1127"/>
      <c r="AB60" s="1127"/>
      <c r="AC60" s="1127"/>
      <c r="AD60" s="1127"/>
      <c r="AE60" s="1127"/>
      <c r="AF60" s="1127"/>
      <c r="AG60" s="1127"/>
    </row>
    <row r="61" spans="2:33">
      <c r="B61" s="1127"/>
      <c r="C61" s="1127"/>
      <c r="D61" s="1127"/>
      <c r="E61" s="1127"/>
      <c r="F61" s="1127"/>
      <c r="G61" s="1127"/>
      <c r="H61" s="1127"/>
      <c r="I61" s="1127"/>
      <c r="J61" s="1127"/>
      <c r="K61" s="1127"/>
      <c r="L61" s="1127"/>
      <c r="M61" s="1127"/>
      <c r="N61" s="1127"/>
      <c r="O61" s="1127"/>
      <c r="P61" s="1127"/>
      <c r="Q61" s="1127"/>
      <c r="R61" s="1127"/>
      <c r="S61" s="1127"/>
      <c r="T61" s="1127"/>
      <c r="U61" s="1127"/>
      <c r="V61" s="1127"/>
      <c r="W61" s="1127"/>
      <c r="X61" s="1127"/>
      <c r="Y61" s="1127"/>
      <c r="Z61" s="1127"/>
      <c r="AA61" s="1127"/>
      <c r="AB61" s="1127"/>
      <c r="AC61" s="1127"/>
      <c r="AD61" s="1127"/>
      <c r="AE61" s="1127"/>
      <c r="AF61" s="1127"/>
      <c r="AG61" s="1127"/>
    </row>
    <row r="62" spans="2:33">
      <c r="B62" s="1127"/>
      <c r="C62" s="1127"/>
      <c r="D62" s="1127"/>
      <c r="E62" s="1127"/>
      <c r="F62" s="1127"/>
      <c r="G62" s="1127"/>
      <c r="H62" s="1127"/>
      <c r="I62" s="1127"/>
      <c r="J62" s="1127"/>
      <c r="K62" s="1127"/>
      <c r="L62" s="1127"/>
      <c r="M62" s="1127"/>
      <c r="N62" s="1127"/>
      <c r="O62" s="1127"/>
      <c r="P62" s="1127"/>
      <c r="Q62" s="1127"/>
      <c r="R62" s="1127"/>
      <c r="S62" s="1127"/>
      <c r="T62" s="1127"/>
      <c r="U62" s="1127"/>
      <c r="V62" s="1127"/>
      <c r="W62" s="1127"/>
      <c r="X62" s="1127"/>
      <c r="Y62" s="1127"/>
      <c r="Z62" s="1127"/>
      <c r="AA62" s="1127"/>
      <c r="AB62" s="1127"/>
      <c r="AC62" s="1127"/>
      <c r="AD62" s="1127"/>
      <c r="AE62" s="1127"/>
      <c r="AF62" s="1127"/>
      <c r="AG62" s="1127"/>
    </row>
    <row r="63" spans="2:33">
      <c r="B63" s="1127"/>
      <c r="C63" s="1127"/>
      <c r="D63" s="1127"/>
      <c r="E63" s="1127"/>
      <c r="F63" s="1127"/>
      <c r="G63" s="1127"/>
      <c r="H63" s="1127"/>
      <c r="I63" s="1127"/>
      <c r="J63" s="1127"/>
      <c r="K63" s="1127"/>
      <c r="L63" s="1127"/>
      <c r="M63" s="1127"/>
      <c r="N63" s="1127"/>
      <c r="O63" s="1127"/>
      <c r="P63" s="1127"/>
      <c r="Q63" s="1127"/>
      <c r="R63" s="1127"/>
      <c r="S63" s="1127"/>
      <c r="T63" s="1127"/>
      <c r="U63" s="1127"/>
      <c r="V63" s="1127"/>
      <c r="W63" s="1127"/>
      <c r="X63" s="1127"/>
      <c r="Y63" s="1127"/>
      <c r="Z63" s="1127"/>
      <c r="AA63" s="1127"/>
      <c r="AB63" s="1127"/>
      <c r="AC63" s="1127"/>
      <c r="AD63" s="1127"/>
      <c r="AE63" s="1127"/>
      <c r="AF63" s="1127"/>
      <c r="AG63" s="1127"/>
    </row>
    <row r="64" spans="2:33">
      <c r="B64" s="1127"/>
      <c r="C64" s="1127"/>
      <c r="D64" s="1127"/>
      <c r="E64" s="1127"/>
      <c r="F64" s="1127"/>
      <c r="G64" s="1127"/>
      <c r="H64" s="1127"/>
      <c r="I64" s="1127"/>
      <c r="J64" s="1127"/>
      <c r="K64" s="1127"/>
      <c r="L64" s="1127"/>
      <c r="M64" s="1127"/>
      <c r="N64" s="1127"/>
      <c r="O64" s="1127"/>
      <c r="P64" s="1127"/>
      <c r="Q64" s="1127"/>
      <c r="R64" s="1127"/>
      <c r="S64" s="1127"/>
      <c r="T64" s="1127"/>
      <c r="U64" s="1127"/>
      <c r="V64" s="1127"/>
      <c r="W64" s="1127"/>
      <c r="X64" s="1127"/>
      <c r="Y64" s="1127"/>
      <c r="Z64" s="1127"/>
      <c r="AA64" s="1127"/>
      <c r="AB64" s="1127"/>
      <c r="AC64" s="1127"/>
      <c r="AD64" s="1127"/>
      <c r="AE64" s="1127"/>
      <c r="AF64" s="1127"/>
      <c r="AG64" s="1127"/>
    </row>
    <row r="65" spans="2:33">
      <c r="B65" s="1127"/>
      <c r="C65" s="1127"/>
      <c r="D65" s="1127"/>
      <c r="E65" s="1127"/>
      <c r="F65" s="1127"/>
      <c r="G65" s="1127"/>
      <c r="H65" s="1127"/>
      <c r="I65" s="1127"/>
      <c r="J65" s="1127"/>
      <c r="K65" s="1127"/>
      <c r="L65" s="1127"/>
      <c r="M65" s="1127"/>
      <c r="N65" s="1127"/>
      <c r="O65" s="1127"/>
      <c r="P65" s="1127"/>
      <c r="Q65" s="1127"/>
      <c r="R65" s="1127"/>
      <c r="S65" s="1127"/>
      <c r="T65" s="1127"/>
      <c r="U65" s="1127"/>
      <c r="V65" s="1127"/>
      <c r="W65" s="1127"/>
      <c r="X65" s="1127"/>
      <c r="Y65" s="1127"/>
      <c r="Z65" s="1127"/>
      <c r="AA65" s="1127"/>
      <c r="AB65" s="1127"/>
      <c r="AC65" s="1127"/>
      <c r="AD65" s="1127"/>
      <c r="AE65" s="1127"/>
      <c r="AF65" s="1127"/>
      <c r="AG65" s="1127"/>
    </row>
    <row r="66" spans="2:33">
      <c r="B66" s="1127"/>
      <c r="C66" s="1127"/>
      <c r="D66" s="1127"/>
      <c r="E66" s="1127"/>
      <c r="F66" s="1127"/>
      <c r="G66" s="1127"/>
      <c r="H66" s="1127"/>
      <c r="I66" s="1127"/>
      <c r="J66" s="1127"/>
      <c r="K66" s="1127"/>
      <c r="L66" s="1127"/>
      <c r="M66" s="1127"/>
      <c r="N66" s="1127"/>
      <c r="O66" s="1127"/>
      <c r="P66" s="1127"/>
      <c r="Q66" s="1127"/>
      <c r="R66" s="1127"/>
      <c r="S66" s="1127"/>
      <c r="T66" s="1127"/>
      <c r="U66" s="1127"/>
      <c r="V66" s="1127"/>
      <c r="W66" s="1127"/>
      <c r="X66" s="1127"/>
      <c r="Y66" s="1127"/>
      <c r="Z66" s="1127"/>
      <c r="AA66" s="1127"/>
      <c r="AB66" s="1127"/>
      <c r="AC66" s="1127"/>
      <c r="AD66" s="1127"/>
      <c r="AE66" s="1127"/>
      <c r="AF66" s="1127"/>
      <c r="AG66" s="1127"/>
    </row>
    <row r="67" spans="2:33">
      <c r="B67" s="1127"/>
      <c r="C67" s="1127"/>
      <c r="D67" s="1127"/>
      <c r="E67" s="1127"/>
      <c r="F67" s="1127"/>
      <c r="G67" s="1127"/>
      <c r="H67" s="1127"/>
      <c r="I67" s="1127"/>
      <c r="J67" s="1127"/>
      <c r="K67" s="1127"/>
      <c r="L67" s="1127"/>
      <c r="M67" s="1127"/>
      <c r="N67" s="1127"/>
      <c r="O67" s="1127"/>
      <c r="P67" s="1127"/>
      <c r="Q67" s="1127"/>
      <c r="R67" s="1127"/>
      <c r="S67" s="1127"/>
      <c r="T67" s="1127"/>
      <c r="U67" s="1127"/>
      <c r="V67" s="1127"/>
      <c r="W67" s="1127"/>
      <c r="X67" s="1127"/>
      <c r="Y67" s="1127"/>
      <c r="Z67" s="1127"/>
      <c r="AA67" s="1127"/>
      <c r="AB67" s="1127"/>
      <c r="AC67" s="1127"/>
      <c r="AD67" s="1127"/>
      <c r="AE67" s="1127"/>
      <c r="AF67" s="1127"/>
      <c r="AG67" s="1127"/>
    </row>
    <row r="68" spans="2:33">
      <c r="B68" s="1127"/>
      <c r="C68" s="1127"/>
      <c r="D68" s="1127"/>
      <c r="E68" s="1127"/>
      <c r="F68" s="1127"/>
      <c r="G68" s="1127"/>
      <c r="H68" s="1127"/>
      <c r="I68" s="1127"/>
      <c r="J68" s="1127"/>
      <c r="K68" s="1127"/>
      <c r="L68" s="1127"/>
      <c r="M68" s="1127"/>
      <c r="N68" s="1127"/>
      <c r="O68" s="1127"/>
      <c r="P68" s="1127"/>
      <c r="Q68" s="1127"/>
      <c r="R68" s="1127"/>
      <c r="S68" s="1127"/>
      <c r="T68" s="1127"/>
      <c r="U68" s="1127"/>
      <c r="V68" s="1127"/>
      <c r="W68" s="1127"/>
      <c r="X68" s="1127"/>
      <c r="Y68" s="1127"/>
      <c r="Z68" s="1127"/>
      <c r="AA68" s="1127"/>
      <c r="AB68" s="1127"/>
      <c r="AC68" s="1127"/>
      <c r="AD68" s="1127"/>
      <c r="AE68" s="1127"/>
      <c r="AF68" s="1127"/>
      <c r="AG68" s="1127"/>
    </row>
    <row r="69" spans="2:33">
      <c r="B69" s="1127"/>
      <c r="C69" s="1127"/>
      <c r="D69" s="1127"/>
      <c r="E69" s="1127"/>
      <c r="F69" s="1127"/>
      <c r="G69" s="1127"/>
      <c r="H69" s="1127"/>
      <c r="I69" s="1127"/>
      <c r="J69" s="1127"/>
      <c r="K69" s="1127"/>
      <c r="L69" s="1127"/>
      <c r="M69" s="1127"/>
      <c r="N69" s="1127"/>
      <c r="O69" s="1127"/>
      <c r="P69" s="1127"/>
      <c r="Q69" s="1127"/>
      <c r="R69" s="1127"/>
      <c r="S69" s="1127"/>
      <c r="T69" s="1127"/>
      <c r="U69" s="1127"/>
      <c r="V69" s="1127"/>
      <c r="W69" s="1127"/>
      <c r="X69" s="1127"/>
      <c r="Y69" s="1127"/>
      <c r="Z69" s="1127"/>
      <c r="AA69" s="1127"/>
      <c r="AB69" s="1127"/>
      <c r="AC69" s="1127"/>
      <c r="AD69" s="1127"/>
      <c r="AE69" s="1127"/>
      <c r="AF69" s="1127"/>
      <c r="AG69" s="1127"/>
    </row>
  </sheetData>
  <mergeCells count="28">
    <mergeCell ref="O5:Q5"/>
    <mergeCell ref="AE3:AG3"/>
    <mergeCell ref="A4:A6"/>
    <mergeCell ref="B4:M4"/>
    <mergeCell ref="N4:Q4"/>
    <mergeCell ref="R4:U4"/>
    <mergeCell ref="V4:AG4"/>
    <mergeCell ref="B5:B6"/>
    <mergeCell ref="C5:G5"/>
    <mergeCell ref="H5:H6"/>
    <mergeCell ref="I5:I6"/>
    <mergeCell ref="J5:J6"/>
    <mergeCell ref="K5:K6"/>
    <mergeCell ref="L5:L6"/>
    <mergeCell ref="M5:M6"/>
    <mergeCell ref="N5:N6"/>
    <mergeCell ref="AG5:AG6"/>
    <mergeCell ref="R5:R6"/>
    <mergeCell ref="S5:S6"/>
    <mergeCell ref="T5:T6"/>
    <mergeCell ref="U5:U6"/>
    <mergeCell ref="V5:V6"/>
    <mergeCell ref="W5:AA5"/>
    <mergeCell ref="AB5:AB6"/>
    <mergeCell ref="AC5:AC6"/>
    <mergeCell ref="AD5:AD6"/>
    <mergeCell ref="AE5:AE6"/>
    <mergeCell ref="AF5:AF6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79" firstPageNumber="24" orientation="portrait" useFirstPageNumber="1" r:id="rId1"/>
  <headerFooter differentOddEven="1" scaleWithDoc="0" alignWithMargins="0">
    <firstFooter>&amp;R&amp;P</firstFooter>
  </headerFooter>
  <rowBreaks count="1" manualBreakCount="1">
    <brk id="35" max="27" man="1"/>
  </rowBreaks>
  <colBreaks count="1" manualBreakCount="1">
    <brk id="17" max="34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40"/>
  <sheetViews>
    <sheetView showGridLines="0" view="pageBreakPreview" topLeftCell="A25" zoomScale="85" zoomScaleNormal="100" zoomScaleSheetLayoutView="85" workbookViewId="0"/>
  </sheetViews>
  <sheetFormatPr defaultColWidth="7.875" defaultRowHeight="13.5"/>
  <cols>
    <col min="1" max="1" width="11" style="260" customWidth="1"/>
    <col min="2" max="11" width="9" style="260" customWidth="1"/>
    <col min="12" max="12" width="9.875" style="260" customWidth="1"/>
    <col min="13" max="13" width="9.375" style="260" customWidth="1"/>
    <col min="14" max="14" width="9" style="260" customWidth="1"/>
    <col min="15" max="17" width="9.375" style="260" customWidth="1"/>
    <col min="18" max="18" width="8.25" style="260" customWidth="1"/>
    <col min="19" max="19" width="9.625" style="260" customWidth="1"/>
    <col min="20" max="20" width="7.625" style="260" customWidth="1"/>
    <col min="21" max="21" width="9.625" style="260" customWidth="1"/>
    <col min="22" max="22" width="11" style="260" customWidth="1"/>
    <col min="23" max="24" width="11.5" style="260" bestFit="1" customWidth="1"/>
    <col min="25" max="25" width="7.875" style="260"/>
    <col min="26" max="26" width="10.75" style="260" bestFit="1" customWidth="1"/>
    <col min="27" max="16384" width="7.875" style="260"/>
  </cols>
  <sheetData>
    <row r="1" spans="1:24" s="251" customFormat="1" ht="24.95" customHeight="1">
      <c r="A1" s="248" t="s">
        <v>799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</row>
    <row r="2" spans="1:24" s="254" customFormat="1" ht="23.1" customHeight="1">
      <c r="A2" s="252" t="s">
        <v>800</v>
      </c>
      <c r="B2" s="252"/>
      <c r="C2" s="252"/>
      <c r="D2" s="252"/>
      <c r="E2" s="252"/>
      <c r="F2" s="252"/>
      <c r="G2" s="252"/>
      <c r="H2" s="252"/>
      <c r="I2" s="252"/>
      <c r="J2" s="253"/>
      <c r="K2" s="253"/>
      <c r="L2" s="253"/>
      <c r="M2" s="252"/>
      <c r="N2" s="253"/>
      <c r="O2" s="253"/>
      <c r="P2" s="252"/>
      <c r="Q2" s="252"/>
      <c r="R2" s="252"/>
      <c r="S2" s="252"/>
      <c r="T2" s="252"/>
      <c r="U2" s="252"/>
      <c r="V2" s="252"/>
    </row>
    <row r="3" spans="1:24" ht="15" customHeight="1">
      <c r="A3" s="1128" t="s">
        <v>176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59"/>
      <c r="U3" s="259"/>
      <c r="V3" s="259" t="s">
        <v>801</v>
      </c>
    </row>
    <row r="4" spans="1:24" ht="20.100000000000001" customHeight="1">
      <c r="A4" s="2958" t="s">
        <v>802</v>
      </c>
      <c r="B4" s="2900" t="s">
        <v>179</v>
      </c>
      <c r="C4" s="2898"/>
      <c r="D4" s="2898"/>
      <c r="E4" s="2899"/>
      <c r="F4" s="2900" t="s">
        <v>180</v>
      </c>
      <c r="G4" s="2898"/>
      <c r="H4" s="2898"/>
      <c r="I4" s="2898"/>
      <c r="J4" s="2899"/>
      <c r="K4" s="2900" t="s">
        <v>181</v>
      </c>
      <c r="L4" s="2898"/>
      <c r="M4" s="2899"/>
      <c r="N4" s="2887" t="s">
        <v>182</v>
      </c>
      <c r="O4" s="2887" t="s">
        <v>13</v>
      </c>
      <c r="P4" s="2887" t="s">
        <v>183</v>
      </c>
      <c r="Q4" s="2887" t="s">
        <v>471</v>
      </c>
      <c r="R4" s="2887" t="s">
        <v>132</v>
      </c>
      <c r="S4" s="2891" t="s">
        <v>200</v>
      </c>
      <c r="T4" s="1129" t="s">
        <v>803</v>
      </c>
      <c r="U4" s="2887" t="s">
        <v>804</v>
      </c>
      <c r="V4" s="2956" t="s">
        <v>805</v>
      </c>
    </row>
    <row r="5" spans="1:24" ht="20.100000000000001" customHeight="1">
      <c r="A5" s="2959"/>
      <c r="B5" s="298" t="s">
        <v>186</v>
      </c>
      <c r="C5" s="298" t="s">
        <v>187</v>
      </c>
      <c r="D5" s="298" t="s">
        <v>188</v>
      </c>
      <c r="E5" s="298" t="s">
        <v>161</v>
      </c>
      <c r="F5" s="298" t="s">
        <v>128</v>
      </c>
      <c r="G5" s="298" t="s">
        <v>127</v>
      </c>
      <c r="H5" s="298" t="s">
        <v>189</v>
      </c>
      <c r="I5" s="298" t="s">
        <v>190</v>
      </c>
      <c r="J5" s="298" t="s">
        <v>161</v>
      </c>
      <c r="K5" s="298" t="s">
        <v>190</v>
      </c>
      <c r="L5" s="298" t="s">
        <v>191</v>
      </c>
      <c r="M5" s="298" t="s">
        <v>161</v>
      </c>
      <c r="N5" s="2888"/>
      <c r="O5" s="2888"/>
      <c r="P5" s="2888"/>
      <c r="Q5" s="2888"/>
      <c r="R5" s="2888"/>
      <c r="S5" s="2892"/>
      <c r="T5" s="298" t="s">
        <v>806</v>
      </c>
      <c r="U5" s="2888"/>
      <c r="V5" s="2957"/>
    </row>
    <row r="6" spans="1:24" ht="21.95" customHeight="1">
      <c r="A6" s="1130" t="s">
        <v>187</v>
      </c>
      <c r="B6" s="1131" t="s">
        <v>171</v>
      </c>
      <c r="C6" s="320">
        <v>312925.87582000002</v>
      </c>
      <c r="D6" s="320" t="s">
        <v>171</v>
      </c>
      <c r="E6" s="320">
        <v>312925.87582000002</v>
      </c>
      <c r="F6" s="320" t="s">
        <v>171</v>
      </c>
      <c r="G6" s="320" t="s">
        <v>171</v>
      </c>
      <c r="H6" s="320" t="s">
        <v>171</v>
      </c>
      <c r="I6" s="320" t="s">
        <v>171</v>
      </c>
      <c r="J6" s="320" t="s">
        <v>171</v>
      </c>
      <c r="K6" s="320" t="s">
        <v>171</v>
      </c>
      <c r="L6" s="320" t="s">
        <v>171</v>
      </c>
      <c r="M6" s="320" t="s">
        <v>171</v>
      </c>
      <c r="N6" s="320" t="s">
        <v>171</v>
      </c>
      <c r="O6" s="320" t="s">
        <v>171</v>
      </c>
      <c r="P6" s="320" t="s">
        <v>171</v>
      </c>
      <c r="Q6" s="321" t="s">
        <v>171</v>
      </c>
      <c r="R6" s="322" t="s">
        <v>171</v>
      </c>
      <c r="S6" s="322">
        <v>312925.87582000002</v>
      </c>
      <c r="T6" s="322" t="s">
        <v>171</v>
      </c>
      <c r="U6" s="322">
        <v>312925.87582000002</v>
      </c>
      <c r="V6" s="318" t="s">
        <v>187</v>
      </c>
    </row>
    <row r="7" spans="1:24" ht="21.95" customHeight="1">
      <c r="A7" s="593" t="s">
        <v>119</v>
      </c>
      <c r="B7" s="1132" t="s">
        <v>171</v>
      </c>
      <c r="C7" s="324" t="s">
        <v>171</v>
      </c>
      <c r="D7" s="324" t="s">
        <v>171</v>
      </c>
      <c r="E7" s="324" t="s">
        <v>171</v>
      </c>
      <c r="F7" s="324">
        <v>269532.91787</v>
      </c>
      <c r="G7" s="324" t="s">
        <v>171</v>
      </c>
      <c r="H7" s="324" t="s">
        <v>171</v>
      </c>
      <c r="I7" s="324" t="s">
        <v>171</v>
      </c>
      <c r="J7" s="324">
        <v>269532.91787</v>
      </c>
      <c r="K7" s="324" t="s">
        <v>171</v>
      </c>
      <c r="L7" s="324" t="s">
        <v>171</v>
      </c>
      <c r="M7" s="324" t="s">
        <v>171</v>
      </c>
      <c r="N7" s="324" t="s">
        <v>171</v>
      </c>
      <c r="O7" s="324" t="s">
        <v>171</v>
      </c>
      <c r="P7" s="324" t="s">
        <v>171</v>
      </c>
      <c r="Q7" s="325" t="s">
        <v>171</v>
      </c>
      <c r="R7" s="326" t="s">
        <v>171</v>
      </c>
      <c r="S7" s="326">
        <v>269532.91787</v>
      </c>
      <c r="T7" s="326" t="s">
        <v>171</v>
      </c>
      <c r="U7" s="326">
        <v>269532.91787</v>
      </c>
      <c r="V7" s="289" t="s">
        <v>119</v>
      </c>
    </row>
    <row r="8" spans="1:24" ht="21.95" customHeight="1">
      <c r="A8" s="593" t="s">
        <v>118</v>
      </c>
      <c r="B8" s="1132" t="s">
        <v>171</v>
      </c>
      <c r="C8" s="324" t="s">
        <v>171</v>
      </c>
      <c r="D8" s="324" t="s">
        <v>171</v>
      </c>
      <c r="E8" s="324" t="s">
        <v>171</v>
      </c>
      <c r="F8" s="324">
        <v>4956.8761299999996</v>
      </c>
      <c r="G8" s="324">
        <v>17946057.765599001</v>
      </c>
      <c r="H8" s="324" t="s">
        <v>171</v>
      </c>
      <c r="I8" s="324" t="s">
        <v>171</v>
      </c>
      <c r="J8" s="324">
        <v>17951014.641729001</v>
      </c>
      <c r="K8" s="324" t="s">
        <v>171</v>
      </c>
      <c r="L8" s="324" t="s">
        <v>171</v>
      </c>
      <c r="M8" s="324" t="s">
        <v>171</v>
      </c>
      <c r="N8" s="324" t="s">
        <v>171</v>
      </c>
      <c r="O8" s="324" t="s">
        <v>171</v>
      </c>
      <c r="P8" s="324">
        <v>687149.74645099998</v>
      </c>
      <c r="Q8" s="325" t="s">
        <v>171</v>
      </c>
      <c r="R8" s="326" t="s">
        <v>171</v>
      </c>
      <c r="S8" s="326">
        <v>18638164.388179999</v>
      </c>
      <c r="T8" s="326" t="s">
        <v>171</v>
      </c>
      <c r="U8" s="326">
        <v>18638164.388179999</v>
      </c>
      <c r="V8" s="289" t="s">
        <v>118</v>
      </c>
    </row>
    <row r="9" spans="1:24" ht="21.95" customHeight="1">
      <c r="A9" s="593" t="s">
        <v>191</v>
      </c>
      <c r="B9" s="1132" t="s">
        <v>171</v>
      </c>
      <c r="C9" s="324" t="s">
        <v>171</v>
      </c>
      <c r="D9" s="324" t="s">
        <v>171</v>
      </c>
      <c r="E9" s="324" t="s">
        <v>171</v>
      </c>
      <c r="F9" s="324" t="s">
        <v>171</v>
      </c>
      <c r="G9" s="324">
        <v>33642.318684999998</v>
      </c>
      <c r="H9" s="324" t="s">
        <v>171</v>
      </c>
      <c r="I9" s="324" t="s">
        <v>171</v>
      </c>
      <c r="J9" s="324">
        <v>33642.318684999998</v>
      </c>
      <c r="K9" s="324">
        <v>3.0602659999999999</v>
      </c>
      <c r="L9" s="324">
        <v>47676.784182000003</v>
      </c>
      <c r="M9" s="324">
        <v>47679.844448000003</v>
      </c>
      <c r="N9" s="324">
        <v>44778.002999999997</v>
      </c>
      <c r="O9" s="324" t="s">
        <v>171</v>
      </c>
      <c r="P9" s="324">
        <v>42187.463775999997</v>
      </c>
      <c r="Q9" s="325" t="s">
        <v>171</v>
      </c>
      <c r="R9" s="326" t="s">
        <v>171</v>
      </c>
      <c r="S9" s="326">
        <v>168287.62990900001</v>
      </c>
      <c r="T9" s="326" t="s">
        <v>171</v>
      </c>
      <c r="U9" s="326">
        <v>168287.62990900001</v>
      </c>
      <c r="V9" s="289" t="s">
        <v>191</v>
      </c>
    </row>
    <row r="10" spans="1:24" ht="21.95" customHeight="1">
      <c r="A10" s="593" t="s">
        <v>190</v>
      </c>
      <c r="B10" s="1132" t="s">
        <v>171</v>
      </c>
      <c r="C10" s="324" t="s">
        <v>171</v>
      </c>
      <c r="D10" s="324" t="s">
        <v>171</v>
      </c>
      <c r="E10" s="324" t="s">
        <v>171</v>
      </c>
      <c r="F10" s="324" t="s">
        <v>171</v>
      </c>
      <c r="G10" s="324" t="s">
        <v>171</v>
      </c>
      <c r="H10" s="324" t="s">
        <v>171</v>
      </c>
      <c r="I10" s="324">
        <v>226464.24154300001</v>
      </c>
      <c r="J10" s="324">
        <v>226464.24154300001</v>
      </c>
      <c r="K10" s="324">
        <v>12221619.143533001</v>
      </c>
      <c r="L10" s="324" t="s">
        <v>171</v>
      </c>
      <c r="M10" s="324">
        <v>12221619.143533001</v>
      </c>
      <c r="N10" s="324" t="s">
        <v>171</v>
      </c>
      <c r="O10" s="324" t="s">
        <v>171</v>
      </c>
      <c r="P10" s="324">
        <v>4425812.1480240002</v>
      </c>
      <c r="Q10" s="325" t="s">
        <v>171</v>
      </c>
      <c r="R10" s="326" t="s">
        <v>171</v>
      </c>
      <c r="S10" s="326">
        <v>16873895.533100002</v>
      </c>
      <c r="T10" s="326">
        <v>0</v>
      </c>
      <c r="U10" s="326">
        <v>16873895.533100002</v>
      </c>
      <c r="V10" s="289" t="s">
        <v>190</v>
      </c>
      <c r="W10" s="1133"/>
      <c r="X10" s="1133"/>
    </row>
    <row r="11" spans="1:24" ht="21.95" customHeight="1">
      <c r="A11" s="593" t="s">
        <v>13</v>
      </c>
      <c r="B11" s="1132" t="s">
        <v>171</v>
      </c>
      <c r="C11" s="324" t="s">
        <v>171</v>
      </c>
      <c r="D11" s="324" t="s">
        <v>171</v>
      </c>
      <c r="E11" s="324" t="s">
        <v>171</v>
      </c>
      <c r="F11" s="324" t="s">
        <v>171</v>
      </c>
      <c r="G11" s="324" t="s">
        <v>171</v>
      </c>
      <c r="H11" s="324" t="s">
        <v>171</v>
      </c>
      <c r="I11" s="324" t="s">
        <v>171</v>
      </c>
      <c r="J11" s="324" t="s">
        <v>171</v>
      </c>
      <c r="K11" s="324" t="s">
        <v>171</v>
      </c>
      <c r="L11" s="324" t="s">
        <v>171</v>
      </c>
      <c r="M11" s="324" t="s">
        <v>171</v>
      </c>
      <c r="N11" s="324" t="s">
        <v>171</v>
      </c>
      <c r="O11" s="324">
        <v>15228671.494000001</v>
      </c>
      <c r="P11" s="324" t="s">
        <v>171</v>
      </c>
      <c r="Q11" s="325" t="s">
        <v>171</v>
      </c>
      <c r="R11" s="326" t="s">
        <v>171</v>
      </c>
      <c r="S11" s="326">
        <v>15228671.494000001</v>
      </c>
      <c r="T11" s="326" t="s">
        <v>171</v>
      </c>
      <c r="U11" s="326">
        <v>15228671.494000001</v>
      </c>
      <c r="V11" s="289" t="s">
        <v>13</v>
      </c>
    </row>
    <row r="12" spans="1:24" ht="21.95" customHeight="1">
      <c r="A12" s="593" t="s">
        <v>132</v>
      </c>
      <c r="B12" s="1132" t="s">
        <v>171</v>
      </c>
      <c r="C12" s="324" t="s">
        <v>171</v>
      </c>
      <c r="D12" s="324" t="s">
        <v>171</v>
      </c>
      <c r="E12" s="324" t="s">
        <v>171</v>
      </c>
      <c r="F12" s="324" t="s">
        <v>171</v>
      </c>
      <c r="G12" s="324">
        <v>29296.632087999998</v>
      </c>
      <c r="H12" s="324" t="s">
        <v>171</v>
      </c>
      <c r="I12" s="324">
        <v>5.7584569999999999</v>
      </c>
      <c r="J12" s="324">
        <v>29302.390544999998</v>
      </c>
      <c r="K12" s="324">
        <v>22.123671000000002</v>
      </c>
      <c r="L12" s="324" t="s">
        <v>171</v>
      </c>
      <c r="M12" s="324">
        <v>22.123671000000002</v>
      </c>
      <c r="N12" s="324" t="s">
        <v>171</v>
      </c>
      <c r="O12" s="324" t="s">
        <v>171</v>
      </c>
      <c r="P12" s="324">
        <v>76986.934208000006</v>
      </c>
      <c r="Q12" s="325" t="s">
        <v>171</v>
      </c>
      <c r="R12" s="326">
        <v>99097.106274000005</v>
      </c>
      <c r="S12" s="326">
        <v>205408.55469799999</v>
      </c>
      <c r="T12" s="326">
        <v>23353.958953000001</v>
      </c>
      <c r="U12" s="326">
        <v>228762.51365099999</v>
      </c>
      <c r="V12" s="289" t="s">
        <v>132</v>
      </c>
      <c r="W12" s="1133"/>
    </row>
    <row r="13" spans="1:24" ht="21.95" customHeight="1">
      <c r="A13" s="1134" t="s">
        <v>192</v>
      </c>
      <c r="B13" s="1135" t="s">
        <v>171</v>
      </c>
      <c r="C13" s="329">
        <v>312925.87582000002</v>
      </c>
      <c r="D13" s="329" t="s">
        <v>171</v>
      </c>
      <c r="E13" s="329">
        <v>312925.87582000002</v>
      </c>
      <c r="F13" s="329">
        <v>274489.79399999999</v>
      </c>
      <c r="G13" s="329">
        <v>18008996.716371998</v>
      </c>
      <c r="H13" s="329" t="s">
        <v>171</v>
      </c>
      <c r="I13" s="329">
        <v>226470</v>
      </c>
      <c r="J13" s="329">
        <v>18509956.510372002</v>
      </c>
      <c r="K13" s="329">
        <v>12221644.327470001</v>
      </c>
      <c r="L13" s="329">
        <v>47676.784182000003</v>
      </c>
      <c r="M13" s="329">
        <v>12269321.111652</v>
      </c>
      <c r="N13" s="329">
        <v>44778.002999999997</v>
      </c>
      <c r="O13" s="329">
        <v>15228671.494000001</v>
      </c>
      <c r="P13" s="329">
        <v>5232136.2924589999</v>
      </c>
      <c r="Q13" s="330" t="s">
        <v>171</v>
      </c>
      <c r="R13" s="1136">
        <v>99097.106274000005</v>
      </c>
      <c r="S13" s="1136">
        <v>51696886.393577002</v>
      </c>
      <c r="T13" s="1136">
        <v>23353.958953000001</v>
      </c>
      <c r="U13" s="331">
        <v>51720240.352530003</v>
      </c>
      <c r="V13" s="327" t="s">
        <v>192</v>
      </c>
    </row>
    <row r="14" spans="1:24" ht="21.95" customHeight="1">
      <c r="A14" s="593" t="s">
        <v>179</v>
      </c>
      <c r="B14" s="1132">
        <v>157445.071</v>
      </c>
      <c r="C14" s="324" t="s">
        <v>171</v>
      </c>
      <c r="D14" s="324">
        <v>39892.553304000001</v>
      </c>
      <c r="E14" s="324">
        <v>197337.624304</v>
      </c>
      <c r="F14" s="324" t="s">
        <v>171</v>
      </c>
      <c r="G14" s="324" t="s">
        <v>171</v>
      </c>
      <c r="H14" s="324" t="s">
        <v>171</v>
      </c>
      <c r="I14" s="324" t="s">
        <v>171</v>
      </c>
      <c r="J14" s="324" t="s">
        <v>171</v>
      </c>
      <c r="K14" s="324" t="s">
        <v>171</v>
      </c>
      <c r="L14" s="324" t="s">
        <v>171</v>
      </c>
      <c r="M14" s="324" t="s">
        <v>171</v>
      </c>
      <c r="N14" s="324" t="s">
        <v>171</v>
      </c>
      <c r="O14" s="324" t="s">
        <v>171</v>
      </c>
      <c r="P14" s="324" t="s">
        <v>171</v>
      </c>
      <c r="Q14" s="325" t="s">
        <v>171</v>
      </c>
      <c r="R14" s="326" t="s">
        <v>171</v>
      </c>
      <c r="S14" s="326">
        <v>197337.624304</v>
      </c>
      <c r="T14" s="326" t="s">
        <v>171</v>
      </c>
      <c r="U14" s="326">
        <v>197337.624304</v>
      </c>
      <c r="V14" s="289" t="s">
        <v>179</v>
      </c>
    </row>
    <row r="15" spans="1:24" ht="21.95" customHeight="1">
      <c r="A15" s="593" t="s">
        <v>193</v>
      </c>
      <c r="B15" s="1132" t="s">
        <v>171</v>
      </c>
      <c r="C15" s="324" t="s">
        <v>171</v>
      </c>
      <c r="D15" s="324" t="s">
        <v>171</v>
      </c>
      <c r="E15" s="324" t="s">
        <v>171</v>
      </c>
      <c r="F15" s="324" t="s">
        <v>171</v>
      </c>
      <c r="G15" s="324" t="s">
        <v>171</v>
      </c>
      <c r="H15" s="324" t="s">
        <v>171</v>
      </c>
      <c r="I15" s="324" t="s">
        <v>171</v>
      </c>
      <c r="J15" s="324" t="s">
        <v>171</v>
      </c>
      <c r="K15" s="324" t="s">
        <v>171</v>
      </c>
      <c r="L15" s="324" t="s">
        <v>171</v>
      </c>
      <c r="M15" s="324" t="s">
        <v>171</v>
      </c>
      <c r="N15" s="324" t="s">
        <v>171</v>
      </c>
      <c r="O15" s="324" t="s">
        <v>171</v>
      </c>
      <c r="P15" s="324" t="s">
        <v>171</v>
      </c>
      <c r="Q15" s="325">
        <v>1393730.673581</v>
      </c>
      <c r="R15" s="326" t="s">
        <v>171</v>
      </c>
      <c r="S15" s="326">
        <v>1393730.673581</v>
      </c>
      <c r="T15" s="326" t="s">
        <v>171</v>
      </c>
      <c r="U15" s="326">
        <v>1393730.673581</v>
      </c>
      <c r="V15" s="289" t="s">
        <v>193</v>
      </c>
    </row>
    <row r="16" spans="1:24" ht="21.95" customHeight="1">
      <c r="A16" s="593" t="s">
        <v>194</v>
      </c>
      <c r="B16" s="1132" t="s">
        <v>171</v>
      </c>
      <c r="C16" s="324" t="s">
        <v>171</v>
      </c>
      <c r="D16" s="324" t="s">
        <v>171</v>
      </c>
      <c r="E16" s="324" t="s">
        <v>171</v>
      </c>
      <c r="F16" s="324" t="s">
        <v>171</v>
      </c>
      <c r="G16" s="324" t="s">
        <v>171</v>
      </c>
      <c r="H16" s="324" t="s">
        <v>171</v>
      </c>
      <c r="I16" s="324" t="s">
        <v>171</v>
      </c>
      <c r="J16" s="324" t="s">
        <v>171</v>
      </c>
      <c r="K16" s="324" t="s">
        <v>171</v>
      </c>
      <c r="L16" s="324" t="s">
        <v>171</v>
      </c>
      <c r="M16" s="324" t="s">
        <v>171</v>
      </c>
      <c r="N16" s="324" t="s">
        <v>171</v>
      </c>
      <c r="O16" s="324" t="s">
        <v>171</v>
      </c>
      <c r="P16" s="324" t="s">
        <v>171</v>
      </c>
      <c r="Q16" s="325">
        <v>448047.218811</v>
      </c>
      <c r="R16" s="326" t="s">
        <v>171</v>
      </c>
      <c r="S16" s="326">
        <v>448047.218811</v>
      </c>
      <c r="T16" s="326" t="s">
        <v>171</v>
      </c>
      <c r="U16" s="326">
        <v>448047.218811</v>
      </c>
      <c r="V16" s="289" t="s">
        <v>194</v>
      </c>
    </row>
    <row r="17" spans="1:24" ht="21.95" customHeight="1">
      <c r="A17" s="593" t="s">
        <v>195</v>
      </c>
      <c r="B17" s="1132" t="s">
        <v>171</v>
      </c>
      <c r="C17" s="324" t="s">
        <v>171</v>
      </c>
      <c r="D17" s="324" t="s">
        <v>171</v>
      </c>
      <c r="E17" s="324" t="s">
        <v>171</v>
      </c>
      <c r="F17" s="324" t="s">
        <v>171</v>
      </c>
      <c r="G17" s="324" t="s">
        <v>171</v>
      </c>
      <c r="H17" s="324" t="s">
        <v>171</v>
      </c>
      <c r="I17" s="324" t="s">
        <v>171</v>
      </c>
      <c r="J17" s="324" t="s">
        <v>171</v>
      </c>
      <c r="K17" s="324" t="s">
        <v>171</v>
      </c>
      <c r="L17" s="324" t="s">
        <v>171</v>
      </c>
      <c r="M17" s="324" t="s">
        <v>171</v>
      </c>
      <c r="N17" s="324" t="s">
        <v>171</v>
      </c>
      <c r="O17" s="324" t="s">
        <v>171</v>
      </c>
      <c r="P17" s="324" t="s">
        <v>171</v>
      </c>
      <c r="Q17" s="325">
        <v>36478.801460000002</v>
      </c>
      <c r="R17" s="326" t="s">
        <v>171</v>
      </c>
      <c r="S17" s="326">
        <v>36478.801460000002</v>
      </c>
      <c r="T17" s="326" t="s">
        <v>171</v>
      </c>
      <c r="U17" s="326">
        <v>36478.801460000002</v>
      </c>
      <c r="V17" s="289" t="s">
        <v>195</v>
      </c>
    </row>
    <row r="18" spans="1:24" ht="21.95" customHeight="1">
      <c r="A18" s="593" t="s">
        <v>196</v>
      </c>
      <c r="B18" s="1132" t="s">
        <v>171</v>
      </c>
      <c r="C18" s="324" t="s">
        <v>171</v>
      </c>
      <c r="D18" s="324" t="s">
        <v>171</v>
      </c>
      <c r="E18" s="324" t="s">
        <v>171</v>
      </c>
      <c r="F18" s="324">
        <v>0</v>
      </c>
      <c r="G18" s="324">
        <v>4765.5090360000004</v>
      </c>
      <c r="H18" s="324" t="s">
        <v>171</v>
      </c>
      <c r="I18" s="324" t="s">
        <v>171</v>
      </c>
      <c r="J18" s="324">
        <v>4765.5090360000004</v>
      </c>
      <c r="K18" s="324" t="s">
        <v>171</v>
      </c>
      <c r="L18" s="324" t="s">
        <v>171</v>
      </c>
      <c r="M18" s="324" t="s">
        <v>171</v>
      </c>
      <c r="N18" s="324" t="s">
        <v>171</v>
      </c>
      <c r="O18" s="324" t="s">
        <v>171</v>
      </c>
      <c r="P18" s="324">
        <v>115527.654542</v>
      </c>
      <c r="Q18" s="325">
        <v>977322.11735099996</v>
      </c>
      <c r="R18" s="326" t="s">
        <v>171</v>
      </c>
      <c r="S18" s="326">
        <v>1097615.2809289999</v>
      </c>
      <c r="T18" s="326" t="s">
        <v>171</v>
      </c>
      <c r="U18" s="326">
        <v>1097615.2809289999</v>
      </c>
      <c r="V18" s="289" t="s">
        <v>196</v>
      </c>
    </row>
    <row r="19" spans="1:24" ht="21.95" customHeight="1">
      <c r="A19" s="593" t="s">
        <v>197</v>
      </c>
      <c r="B19" s="1132" t="s">
        <v>171</v>
      </c>
      <c r="C19" s="324" t="s">
        <v>171</v>
      </c>
      <c r="D19" s="324" t="s">
        <v>171</v>
      </c>
      <c r="E19" s="324" t="s">
        <v>171</v>
      </c>
      <c r="F19" s="324" t="s">
        <v>171</v>
      </c>
      <c r="G19" s="324" t="s">
        <v>171</v>
      </c>
      <c r="H19" s="324" t="s">
        <v>171</v>
      </c>
      <c r="I19" s="324" t="s">
        <v>171</v>
      </c>
      <c r="J19" s="324" t="s">
        <v>171</v>
      </c>
      <c r="K19" s="324" t="s">
        <v>171</v>
      </c>
      <c r="L19" s="324" t="s">
        <v>171</v>
      </c>
      <c r="M19" s="324" t="s">
        <v>171</v>
      </c>
      <c r="N19" s="324" t="s">
        <v>171</v>
      </c>
      <c r="O19" s="324" t="s">
        <v>171</v>
      </c>
      <c r="P19" s="324" t="s">
        <v>171</v>
      </c>
      <c r="Q19" s="325">
        <v>486847.970042</v>
      </c>
      <c r="R19" s="326" t="s">
        <v>171</v>
      </c>
      <c r="S19" s="326">
        <v>486847.970042</v>
      </c>
      <c r="T19" s="326" t="s">
        <v>171</v>
      </c>
      <c r="U19" s="326">
        <v>486847.970042</v>
      </c>
      <c r="V19" s="289" t="s">
        <v>197</v>
      </c>
    </row>
    <row r="20" spans="1:24" ht="21.95" customHeight="1">
      <c r="A20" s="593" t="s">
        <v>198</v>
      </c>
      <c r="B20" s="1132" t="s">
        <v>171</v>
      </c>
      <c r="C20" s="324" t="s">
        <v>171</v>
      </c>
      <c r="D20" s="324" t="s">
        <v>171</v>
      </c>
      <c r="E20" s="324" t="s">
        <v>171</v>
      </c>
      <c r="F20" s="324" t="s">
        <v>171</v>
      </c>
      <c r="G20" s="324" t="s">
        <v>171</v>
      </c>
      <c r="H20" s="324" t="s">
        <v>171</v>
      </c>
      <c r="I20" s="324" t="s">
        <v>171</v>
      </c>
      <c r="J20" s="324" t="s">
        <v>171</v>
      </c>
      <c r="K20" s="324" t="s">
        <v>171</v>
      </c>
      <c r="L20" s="324" t="s">
        <v>171</v>
      </c>
      <c r="M20" s="324" t="s">
        <v>171</v>
      </c>
      <c r="N20" s="324" t="s">
        <v>171</v>
      </c>
      <c r="O20" s="324" t="s">
        <v>171</v>
      </c>
      <c r="P20" s="324" t="s">
        <v>171</v>
      </c>
      <c r="Q20" s="325">
        <v>187665</v>
      </c>
      <c r="R20" s="326" t="s">
        <v>171</v>
      </c>
      <c r="S20" s="326">
        <v>187665</v>
      </c>
      <c r="T20" s="326" t="s">
        <v>171</v>
      </c>
      <c r="U20" s="326">
        <v>187665</v>
      </c>
      <c r="V20" s="289" t="s">
        <v>198</v>
      </c>
    </row>
    <row r="21" spans="1:24" ht="21.95" customHeight="1">
      <c r="A21" s="1137" t="s">
        <v>199</v>
      </c>
      <c r="B21" s="1138">
        <v>157445.071</v>
      </c>
      <c r="C21" s="334" t="s">
        <v>171</v>
      </c>
      <c r="D21" s="334">
        <v>39892.553304000001</v>
      </c>
      <c r="E21" s="334">
        <v>197337.624304</v>
      </c>
      <c r="F21" s="334">
        <v>0</v>
      </c>
      <c r="G21" s="334">
        <v>4765.5090360000004</v>
      </c>
      <c r="H21" s="334" t="s">
        <v>171</v>
      </c>
      <c r="I21" s="334" t="s">
        <v>171</v>
      </c>
      <c r="J21" s="334">
        <v>4765.5090360000004</v>
      </c>
      <c r="K21" s="334" t="s">
        <v>171</v>
      </c>
      <c r="L21" s="334" t="s">
        <v>171</v>
      </c>
      <c r="M21" s="334" t="s">
        <v>171</v>
      </c>
      <c r="N21" s="334" t="s">
        <v>171</v>
      </c>
      <c r="O21" s="334" t="s">
        <v>171</v>
      </c>
      <c r="P21" s="334">
        <v>115527.654542</v>
      </c>
      <c r="Q21" s="335">
        <v>3530091.7812450002</v>
      </c>
      <c r="R21" s="336" t="s">
        <v>171</v>
      </c>
      <c r="S21" s="336">
        <v>3847722.5691269999</v>
      </c>
      <c r="T21" s="336" t="s">
        <v>171</v>
      </c>
      <c r="U21" s="336">
        <v>3847722.5691269999</v>
      </c>
      <c r="V21" s="332" t="s">
        <v>199</v>
      </c>
    </row>
    <row r="22" spans="1:24" ht="21.95" customHeight="1">
      <c r="A22" s="1139" t="s">
        <v>200</v>
      </c>
      <c r="B22" s="339">
        <v>157445.071</v>
      </c>
      <c r="C22" s="339">
        <v>312925.87582000002</v>
      </c>
      <c r="D22" s="339">
        <v>39892.553304000001</v>
      </c>
      <c r="E22" s="339">
        <v>510263.50012400001</v>
      </c>
      <c r="F22" s="339">
        <v>274489.79399999999</v>
      </c>
      <c r="G22" s="339">
        <v>18013762.225407999</v>
      </c>
      <c r="H22" s="339" t="s">
        <v>171</v>
      </c>
      <c r="I22" s="339">
        <v>226470</v>
      </c>
      <c r="J22" s="339">
        <v>18514722.019407999</v>
      </c>
      <c r="K22" s="339">
        <v>12221644.327470001</v>
      </c>
      <c r="L22" s="339">
        <v>47676.784182000003</v>
      </c>
      <c r="M22" s="339">
        <v>12269321.111652</v>
      </c>
      <c r="N22" s="339">
        <v>44778.002999999997</v>
      </c>
      <c r="O22" s="339">
        <v>15228671.494000001</v>
      </c>
      <c r="P22" s="339">
        <v>5347663.9470009999</v>
      </c>
      <c r="Q22" s="339">
        <v>3530091.7812450002</v>
      </c>
      <c r="R22" s="338">
        <v>99097.106274000005</v>
      </c>
      <c r="S22" s="338">
        <v>55544608.962704003</v>
      </c>
      <c r="T22" s="339">
        <v>23353.958953000001</v>
      </c>
      <c r="U22" s="339">
        <v>55567962.921657003</v>
      </c>
      <c r="V22" s="337" t="s">
        <v>200</v>
      </c>
    </row>
    <row r="23" spans="1:24" ht="9.9499999999999993" customHeight="1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1140"/>
      <c r="U23" s="1140"/>
      <c r="V23" s="249"/>
    </row>
    <row r="24" spans="1:24" ht="21" customHeight="1">
      <c r="A24" s="316" t="s">
        <v>807</v>
      </c>
      <c r="B24" s="341"/>
      <c r="C24" s="341"/>
      <c r="D24" s="341"/>
      <c r="E24" s="341"/>
      <c r="F24" s="341"/>
      <c r="G24" s="341"/>
      <c r="H24" s="342"/>
      <c r="I24" s="1141" t="s">
        <v>808</v>
      </c>
      <c r="J24" s="341"/>
      <c r="K24" s="250"/>
      <c r="L24" s="316" t="s">
        <v>807</v>
      </c>
      <c r="M24" s="250"/>
      <c r="N24" s="250"/>
      <c r="O24" s="250"/>
      <c r="P24" s="250"/>
      <c r="Q24" s="250"/>
      <c r="R24" s="250"/>
      <c r="S24" s="250"/>
      <c r="T24" s="249"/>
      <c r="U24" s="1140"/>
      <c r="V24" s="249"/>
      <c r="X24" s="412"/>
    </row>
    <row r="25" spans="1:24" ht="21" customHeight="1">
      <c r="A25" s="1142" t="s">
        <v>809</v>
      </c>
      <c r="B25" s="1143" t="s">
        <v>13</v>
      </c>
      <c r="C25" s="1143" t="s">
        <v>204</v>
      </c>
      <c r="D25" s="1143" t="s">
        <v>190</v>
      </c>
      <c r="E25" s="1143" t="s">
        <v>140</v>
      </c>
      <c r="F25" s="1143" t="s">
        <v>191</v>
      </c>
      <c r="G25" s="1143" t="s">
        <v>187</v>
      </c>
      <c r="H25" s="1144" t="s">
        <v>132</v>
      </c>
      <c r="I25" s="1144" t="s">
        <v>200</v>
      </c>
      <c r="J25" s="341"/>
      <c r="K25" s="250"/>
      <c r="L25" s="346" t="s">
        <v>810</v>
      </c>
      <c r="M25" s="347"/>
      <c r="N25" s="1145">
        <f>M26+O26+Q26+S26+U26</f>
        <v>19112559.590939</v>
      </c>
      <c r="O25" s="347"/>
      <c r="P25" s="347"/>
      <c r="Q25" s="347"/>
      <c r="R25" s="347"/>
      <c r="S25" s="347"/>
      <c r="T25" s="1140"/>
      <c r="U25" s="1140"/>
      <c r="V25" s="249"/>
      <c r="X25" s="412"/>
    </row>
    <row r="26" spans="1:24" ht="21" customHeight="1">
      <c r="A26" s="1146" t="s">
        <v>811</v>
      </c>
      <c r="B26" s="1147">
        <v>15228671.494000001</v>
      </c>
      <c r="C26" s="1147">
        <v>19112559.590999998</v>
      </c>
      <c r="D26" s="1147">
        <v>16873926.475000001</v>
      </c>
      <c r="E26" s="1147">
        <v>3727429.406</v>
      </c>
      <c r="F26" s="1147">
        <v>134642.25099999999</v>
      </c>
      <c r="G26" s="1147">
        <v>312925.87599999999</v>
      </c>
      <c r="H26" s="1148">
        <v>177807.829</v>
      </c>
      <c r="I26" s="1148">
        <v>55567962.921999998</v>
      </c>
      <c r="J26" s="341"/>
      <c r="K26" s="250"/>
      <c r="L26" s="352" t="s">
        <v>207</v>
      </c>
      <c r="M26" s="1149">
        <f>F22</f>
        <v>274489.79399999999</v>
      </c>
      <c r="N26" s="305" t="s">
        <v>208</v>
      </c>
      <c r="O26" s="1149">
        <f>G22</f>
        <v>18013762.225407999</v>
      </c>
      <c r="P26" s="1150" t="s">
        <v>812</v>
      </c>
      <c r="Q26" s="1149">
        <f>P8</f>
        <v>687149.74645099998</v>
      </c>
      <c r="R26" s="1150" t="s">
        <v>813</v>
      </c>
      <c r="S26" s="1151">
        <f>P18</f>
        <v>115527.654542</v>
      </c>
      <c r="T26" s="1150" t="s">
        <v>814</v>
      </c>
      <c r="U26" s="1151">
        <v>21630.170537999998</v>
      </c>
      <c r="V26" s="249"/>
      <c r="X26" s="412"/>
    </row>
    <row r="27" spans="1:24" ht="21" customHeight="1">
      <c r="A27" s="1152" t="s">
        <v>211</v>
      </c>
      <c r="B27" s="1153">
        <v>27.4055</v>
      </c>
      <c r="C27" s="1153">
        <v>34.3949</v>
      </c>
      <c r="D27" s="1153">
        <v>30.366299999999999</v>
      </c>
      <c r="E27" s="1153">
        <v>6.7079000000000004</v>
      </c>
      <c r="F27" s="1153">
        <v>0.24229999999999999</v>
      </c>
      <c r="G27" s="1153">
        <v>0.56310000000000004</v>
      </c>
      <c r="H27" s="1154">
        <v>0.32</v>
      </c>
      <c r="I27" s="1154">
        <v>100</v>
      </c>
      <c r="J27" s="341"/>
      <c r="K27" s="250"/>
      <c r="L27" s="346" t="s">
        <v>815</v>
      </c>
      <c r="M27" s="1155"/>
      <c r="N27" s="1145">
        <f>M28+O28+Q28+S28</f>
        <v>16873926.475494001</v>
      </c>
      <c r="O27" s="1155"/>
      <c r="P27" s="347"/>
      <c r="Q27" s="1155"/>
      <c r="R27" s="1155"/>
      <c r="S27" s="347"/>
      <c r="T27" s="1140"/>
      <c r="U27" s="1140"/>
      <c r="V27" s="249"/>
    </row>
    <row r="28" spans="1:24" ht="21" customHeight="1">
      <c r="A28" s="316" t="s">
        <v>213</v>
      </c>
      <c r="B28" s="341"/>
      <c r="C28" s="341"/>
      <c r="D28" s="341"/>
      <c r="E28" s="341"/>
      <c r="F28" s="341"/>
      <c r="G28" s="341"/>
      <c r="H28" s="341"/>
      <c r="I28" s="342"/>
      <c r="J28" s="1141" t="s">
        <v>808</v>
      </c>
      <c r="K28" s="250"/>
      <c r="L28" s="352" t="s">
        <v>214</v>
      </c>
      <c r="M28" s="1149">
        <f>I22</f>
        <v>226470</v>
      </c>
      <c r="N28" s="305" t="s">
        <v>215</v>
      </c>
      <c r="O28" s="1149">
        <f>K22</f>
        <v>12221644.327470001</v>
      </c>
      <c r="P28" s="1156" t="s">
        <v>816</v>
      </c>
      <c r="Q28" s="1149">
        <f>P10</f>
        <v>4425812.1480240002</v>
      </c>
      <c r="R28" s="1150" t="s">
        <v>817</v>
      </c>
      <c r="S28" s="1149">
        <f>T10</f>
        <v>0</v>
      </c>
      <c r="T28" s="249"/>
      <c r="U28" s="1140"/>
      <c r="V28" s="249"/>
    </row>
    <row r="29" spans="1:24" ht="21" customHeight="1">
      <c r="A29" s="1142" t="s">
        <v>809</v>
      </c>
      <c r="B29" s="1143" t="s">
        <v>13</v>
      </c>
      <c r="C29" s="1143" t="s">
        <v>204</v>
      </c>
      <c r="D29" s="1143" t="s">
        <v>190</v>
      </c>
      <c r="E29" s="1143" t="s">
        <v>140</v>
      </c>
      <c r="F29" s="1143" t="s">
        <v>191</v>
      </c>
      <c r="G29" s="1143" t="s">
        <v>187</v>
      </c>
      <c r="H29" s="1143" t="s">
        <v>183</v>
      </c>
      <c r="I29" s="1144" t="s">
        <v>132</v>
      </c>
      <c r="J29" s="1144" t="s">
        <v>200</v>
      </c>
      <c r="K29" s="250"/>
      <c r="L29" s="346" t="s">
        <v>818</v>
      </c>
      <c r="M29" s="1155"/>
      <c r="N29" s="1145">
        <f>M30+O30+Q30+S30</f>
        <v>3727429.405549</v>
      </c>
      <c r="O29" s="1155"/>
      <c r="P29" s="347"/>
      <c r="Q29" s="1155"/>
      <c r="R29" s="347"/>
      <c r="S29" s="1155"/>
      <c r="T29" s="249"/>
      <c r="U29" s="1140"/>
      <c r="V29" s="249"/>
    </row>
    <row r="30" spans="1:24" ht="21" customHeight="1">
      <c r="A30" s="1146" t="s">
        <v>811</v>
      </c>
      <c r="B30" s="1147">
        <v>15228671.494000001</v>
      </c>
      <c r="C30" s="1147">
        <v>18288252.019000001</v>
      </c>
      <c r="D30" s="1147">
        <v>12448114.327</v>
      </c>
      <c r="E30" s="1147">
        <v>3727429.406</v>
      </c>
      <c r="F30" s="1147">
        <v>92454.786999999997</v>
      </c>
      <c r="G30" s="1147">
        <v>312925.87599999999</v>
      </c>
      <c r="H30" s="1147">
        <v>5347663.9469999997</v>
      </c>
      <c r="I30" s="1148">
        <v>122451.065</v>
      </c>
      <c r="J30" s="1148">
        <v>55567962.921999998</v>
      </c>
      <c r="K30" s="250"/>
      <c r="L30" s="360" t="s">
        <v>218</v>
      </c>
      <c r="M30" s="1149">
        <f>E21</f>
        <v>197337.624304</v>
      </c>
      <c r="N30" s="1157" t="s">
        <v>219</v>
      </c>
      <c r="O30" s="1149">
        <f>Q22</f>
        <v>3530091.7812450002</v>
      </c>
      <c r="R30" s="1158"/>
      <c r="S30" s="1151"/>
      <c r="T30" s="249"/>
      <c r="U30" s="1140"/>
      <c r="V30" s="249"/>
    </row>
    <row r="31" spans="1:24" ht="21" customHeight="1">
      <c r="A31" s="1152" t="s">
        <v>211</v>
      </c>
      <c r="B31" s="1153">
        <v>27.4055</v>
      </c>
      <c r="C31" s="1153">
        <v>32.911499999999997</v>
      </c>
      <c r="D31" s="1153">
        <v>22.401599999999998</v>
      </c>
      <c r="E31" s="1153">
        <v>6.7079000000000004</v>
      </c>
      <c r="F31" s="1153">
        <v>0.16639999999999999</v>
      </c>
      <c r="G31" s="1153">
        <v>0.56310000000000004</v>
      </c>
      <c r="H31" s="1153">
        <v>9.6235999999999997</v>
      </c>
      <c r="I31" s="1154">
        <v>0.22040000000000001</v>
      </c>
      <c r="J31" s="1154">
        <v>100</v>
      </c>
      <c r="K31" s="250"/>
      <c r="L31" s="346" t="s">
        <v>819</v>
      </c>
      <c r="M31" s="1155"/>
      <c r="N31" s="1145">
        <f>M32+O32+Q32+S32</f>
        <v>134642.25095799999</v>
      </c>
      <c r="O31" s="1155"/>
      <c r="P31" s="347"/>
      <c r="Q31" s="1155"/>
      <c r="R31" s="347"/>
      <c r="S31" s="1155"/>
      <c r="T31" s="249"/>
      <c r="U31" s="1159"/>
      <c r="V31" s="249"/>
    </row>
    <row r="32" spans="1:24" ht="15" customHeight="1">
      <c r="A32" s="341"/>
      <c r="B32" s="1160"/>
      <c r="C32" s="1160"/>
      <c r="D32" s="1160"/>
      <c r="E32" s="1160"/>
      <c r="F32" s="1160"/>
      <c r="G32" s="1160"/>
      <c r="H32" s="1160"/>
      <c r="I32" s="1160"/>
      <c r="J32" s="341"/>
      <c r="K32" s="250"/>
      <c r="L32" s="352" t="s">
        <v>221</v>
      </c>
      <c r="M32" s="1149">
        <v>0</v>
      </c>
      <c r="N32" s="305" t="s">
        <v>222</v>
      </c>
      <c r="O32" s="1149">
        <f>L22</f>
        <v>47676.784182000003</v>
      </c>
      <c r="P32" s="1156" t="s">
        <v>820</v>
      </c>
      <c r="Q32" s="1149">
        <f>N22</f>
        <v>44778.002999999997</v>
      </c>
      <c r="R32" s="1161" t="s">
        <v>224</v>
      </c>
      <c r="S32" s="1149">
        <f>P9</f>
        <v>42187.463775999997</v>
      </c>
      <c r="T32" s="249"/>
      <c r="U32" s="1159"/>
      <c r="V32" s="249"/>
    </row>
    <row r="33" spans="1:22" ht="21" customHeight="1">
      <c r="A33" s="316" t="s">
        <v>821</v>
      </c>
      <c r="B33" s="1160"/>
      <c r="C33" s="1160"/>
      <c r="D33" s="1160"/>
      <c r="E33" s="1160"/>
      <c r="F33" s="1160"/>
      <c r="G33" s="1160"/>
      <c r="H33" s="342"/>
      <c r="I33" s="1141" t="s">
        <v>808</v>
      </c>
      <c r="J33" s="341"/>
      <c r="K33" s="1162"/>
      <c r="L33" s="1162"/>
      <c r="M33" s="1163"/>
      <c r="N33" s="250"/>
      <c r="O33" s="1163"/>
      <c r="P33" s="1164"/>
      <c r="Q33" s="1163"/>
      <c r="R33" s="1163"/>
      <c r="S33" s="250"/>
      <c r="T33" s="1159"/>
      <c r="U33" s="1159"/>
      <c r="V33" s="249"/>
    </row>
    <row r="34" spans="1:22" ht="21" customHeight="1">
      <c r="A34" s="1142" t="s">
        <v>809</v>
      </c>
      <c r="B34" s="1143" t="s">
        <v>13</v>
      </c>
      <c r="C34" s="1143" t="s">
        <v>204</v>
      </c>
      <c r="D34" s="1143" t="s">
        <v>190</v>
      </c>
      <c r="E34" s="1143" t="s">
        <v>140</v>
      </c>
      <c r="F34" s="1143" t="s">
        <v>191</v>
      </c>
      <c r="G34" s="1143" t="s">
        <v>187</v>
      </c>
      <c r="H34" s="1144" t="s">
        <v>132</v>
      </c>
      <c r="I34" s="1144" t="s">
        <v>200</v>
      </c>
      <c r="J34" s="341"/>
      <c r="K34" s="1162"/>
      <c r="L34" s="1165" t="s">
        <v>821</v>
      </c>
      <c r="M34" s="250"/>
      <c r="N34" s="1163"/>
      <c r="O34" s="1166"/>
      <c r="P34" s="1163"/>
      <c r="Q34" s="250"/>
      <c r="R34" s="250"/>
      <c r="S34" s="1163"/>
      <c r="T34" s="1159"/>
      <c r="U34" s="1159"/>
      <c r="V34" s="249"/>
    </row>
    <row r="35" spans="1:22" ht="21" customHeight="1">
      <c r="A35" s="1146" t="s">
        <v>811</v>
      </c>
      <c r="B35" s="1147">
        <v>15228671.494000001</v>
      </c>
      <c r="C35" s="1147">
        <v>18907697.306000002</v>
      </c>
      <c r="D35" s="1147">
        <v>16873895.533</v>
      </c>
      <c r="E35" s="1147">
        <v>3847722.5690000001</v>
      </c>
      <c r="F35" s="1147">
        <v>168287.63</v>
      </c>
      <c r="G35" s="1147">
        <v>312925.87599999999</v>
      </c>
      <c r="H35" s="1148">
        <v>228762.514</v>
      </c>
      <c r="I35" s="1148">
        <v>55567962.921999998</v>
      </c>
      <c r="J35" s="341"/>
      <c r="K35" s="1162"/>
      <c r="L35" s="368" t="s">
        <v>822</v>
      </c>
      <c r="M35" s="250"/>
      <c r="N35" s="1163"/>
      <c r="O35" s="1166"/>
      <c r="P35" s="1163"/>
      <c r="Q35" s="250"/>
      <c r="R35" s="250"/>
      <c r="S35" s="1163"/>
      <c r="T35" s="1159"/>
      <c r="U35" s="1159"/>
      <c r="V35" s="249"/>
    </row>
    <row r="36" spans="1:22" ht="21" customHeight="1">
      <c r="A36" s="1152" t="s">
        <v>211</v>
      </c>
      <c r="B36" s="1153">
        <v>27.405000000000001</v>
      </c>
      <c r="C36" s="1153">
        <v>34.026000000000003</v>
      </c>
      <c r="D36" s="1153">
        <v>30.366</v>
      </c>
      <c r="E36" s="1153">
        <v>6.9240000000000004</v>
      </c>
      <c r="F36" s="1153">
        <v>0.30299999999999999</v>
      </c>
      <c r="G36" s="1153">
        <v>0.56299999999999994</v>
      </c>
      <c r="H36" s="1154">
        <v>0.41199999999999998</v>
      </c>
      <c r="I36" s="1154">
        <v>100</v>
      </c>
      <c r="J36" s="341"/>
      <c r="K36" s="1162"/>
      <c r="L36" s="1163"/>
      <c r="M36" s="250"/>
      <c r="N36" s="1163"/>
      <c r="O36" s="1166"/>
      <c r="P36" s="1163"/>
      <c r="Q36" s="250"/>
      <c r="R36" s="250"/>
      <c r="S36" s="1163"/>
      <c r="T36" s="1159"/>
      <c r="U36" s="1159"/>
      <c r="V36" s="249"/>
    </row>
    <row r="37" spans="1:22" ht="12.95" customHeight="1">
      <c r="A37" s="305" t="s">
        <v>823</v>
      </c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49"/>
      <c r="U37" s="249"/>
      <c r="V37" s="249"/>
    </row>
    <row r="38" spans="1:22" ht="12.95" customHeight="1">
      <c r="A38" s="305" t="s">
        <v>1753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49"/>
      <c r="U38" s="249"/>
      <c r="V38" s="249"/>
    </row>
    <row r="39" spans="1:22" ht="12.95" customHeight="1">
      <c r="A39" s="305" t="s">
        <v>824</v>
      </c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49"/>
      <c r="U39" s="249"/>
      <c r="V39" s="249"/>
    </row>
    <row r="40" spans="1:22">
      <c r="A40" s="983"/>
    </row>
  </sheetData>
  <mergeCells count="12">
    <mergeCell ref="V4:V5"/>
    <mergeCell ref="A4:A5"/>
    <mergeCell ref="B4:E4"/>
    <mergeCell ref="F4:J4"/>
    <mergeCell ref="K4:M4"/>
    <mergeCell ref="N4:N5"/>
    <mergeCell ref="O4:O5"/>
    <mergeCell ref="P4:P5"/>
    <mergeCell ref="Q4:Q5"/>
    <mergeCell ref="R4:R5"/>
    <mergeCell ref="S4:S5"/>
    <mergeCell ref="U4:U5"/>
  </mergeCells>
  <phoneticPr fontId="3" type="noConversion"/>
  <printOptions horizontalCentered="1"/>
  <pageMargins left="0.59055118110236227" right="0.59055118110236227" top="0.98425196850393704" bottom="0.78740157480314965" header="0" footer="0"/>
  <pageSetup paperSize="9" scale="80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1" max="44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74"/>
  <sheetViews>
    <sheetView showGridLines="0" view="pageBreakPreview" zoomScale="96" zoomScaleNormal="100" zoomScaleSheetLayoutView="96" workbookViewId="0">
      <selection activeCell="B1" sqref="B1"/>
    </sheetView>
  </sheetViews>
  <sheetFormatPr defaultColWidth="10" defaultRowHeight="13.5"/>
  <cols>
    <col min="1" max="1" width="3.125" style="1168" customWidth="1"/>
    <col min="2" max="2" width="9.25" style="1258" customWidth="1"/>
    <col min="3" max="3" width="9.25" style="1254" customWidth="1"/>
    <col min="4" max="4" width="9.5" style="1258" customWidth="1"/>
    <col min="5" max="5" width="9.5" style="1254" customWidth="1"/>
    <col min="6" max="6" width="9.5" style="1258" customWidth="1"/>
    <col min="7" max="7" width="9.25" style="1254" customWidth="1"/>
    <col min="8" max="8" width="9.5" style="1258" customWidth="1"/>
    <col min="9" max="9" width="9.5" style="1254" customWidth="1"/>
    <col min="10" max="10" width="9.5" style="1258" customWidth="1"/>
    <col min="11" max="11" width="9.5" style="1254" customWidth="1"/>
    <col min="12" max="12" width="3.125" style="1258" customWidth="1"/>
    <col min="13" max="13" width="9.25" style="1168" customWidth="1"/>
    <col min="14" max="22" width="9.5" style="1168" customWidth="1"/>
    <col min="23" max="16384" width="10" style="1168"/>
  </cols>
  <sheetData>
    <row r="1" spans="1:24" s="1167" customFormat="1" ht="20.25">
      <c r="A1" s="548" t="s">
        <v>825</v>
      </c>
      <c r="B1" s="548"/>
      <c r="C1" s="531"/>
      <c r="D1" s="535"/>
      <c r="E1" s="531"/>
      <c r="F1" s="535"/>
      <c r="G1" s="531"/>
      <c r="H1" s="535"/>
      <c r="I1" s="531"/>
      <c r="J1" s="535"/>
      <c r="K1" s="531"/>
      <c r="L1" s="535"/>
      <c r="M1" s="14"/>
      <c r="N1" s="14"/>
      <c r="O1" s="14"/>
      <c r="P1" s="14"/>
      <c r="Q1" s="373"/>
      <c r="R1" s="373"/>
      <c r="S1" s="374"/>
      <c r="T1" s="374"/>
      <c r="U1" s="374"/>
      <c r="V1" s="374"/>
    </row>
    <row r="2" spans="1:24" ht="17.25">
      <c r="A2" s="252" t="s">
        <v>826</v>
      </c>
      <c r="B2" s="535"/>
      <c r="C2" s="531"/>
      <c r="D2" s="535"/>
      <c r="E2" s="531"/>
      <c r="F2" s="535"/>
      <c r="G2" s="531"/>
      <c r="H2" s="535"/>
      <c r="I2" s="531"/>
      <c r="J2" s="535"/>
      <c r="K2" s="531"/>
      <c r="L2" s="535"/>
      <c r="M2" s="14"/>
      <c r="N2" s="14"/>
      <c r="O2" s="14"/>
      <c r="P2" s="14"/>
      <c r="Q2" s="373"/>
      <c r="R2" s="373"/>
      <c r="S2" s="374"/>
      <c r="T2" s="374"/>
      <c r="U2" s="374"/>
      <c r="V2" s="374"/>
    </row>
    <row r="3" spans="1:24" s="1170" customFormat="1" ht="15" customHeight="1">
      <c r="A3" s="382"/>
      <c r="B3" s="1128" t="s">
        <v>231</v>
      </c>
      <c r="C3" s="995"/>
      <c r="D3" s="382"/>
      <c r="E3" s="995"/>
      <c r="F3" s="382"/>
      <c r="G3" s="995"/>
      <c r="H3" s="382"/>
      <c r="I3" s="995"/>
      <c r="J3" s="382"/>
      <c r="K3" s="1169" t="s">
        <v>827</v>
      </c>
      <c r="L3" s="382"/>
      <c r="M3" s="382"/>
      <c r="N3" s="382"/>
      <c r="O3" s="382"/>
      <c r="P3" s="382"/>
      <c r="Q3" s="376"/>
      <c r="R3" s="379"/>
      <c r="S3" s="380"/>
      <c r="T3" s="380"/>
      <c r="U3" s="380"/>
      <c r="V3" s="381" t="s">
        <v>827</v>
      </c>
    </row>
    <row r="4" spans="1:24" ht="20.100000000000001" customHeight="1">
      <c r="A4" s="383" t="s">
        <v>234</v>
      </c>
      <c r="B4" s="2901" t="s">
        <v>235</v>
      </c>
      <c r="C4" s="2901"/>
      <c r="D4" s="2901" t="s">
        <v>204</v>
      </c>
      <c r="E4" s="2901"/>
      <c r="F4" s="2901" t="s">
        <v>236</v>
      </c>
      <c r="G4" s="2901"/>
      <c r="H4" s="2901" t="s">
        <v>237</v>
      </c>
      <c r="I4" s="2901"/>
      <c r="J4" s="2901" t="s">
        <v>13</v>
      </c>
      <c r="K4" s="2901"/>
      <c r="L4" s="384" t="s">
        <v>234</v>
      </c>
      <c r="M4" s="2901" t="s">
        <v>235</v>
      </c>
      <c r="N4" s="2901"/>
      <c r="O4" s="2901" t="s">
        <v>238</v>
      </c>
      <c r="P4" s="2901"/>
      <c r="Q4" s="2902" t="s">
        <v>449</v>
      </c>
      <c r="R4" s="2903"/>
      <c r="S4" s="2903"/>
      <c r="T4" s="2903"/>
      <c r="U4" s="2960" t="s">
        <v>132</v>
      </c>
      <c r="V4" s="2961"/>
    </row>
    <row r="5" spans="1:24" s="1173" customFormat="1" ht="20.100000000000001" customHeight="1">
      <c r="A5" s="385" t="s">
        <v>240</v>
      </c>
      <c r="B5" s="386" t="s">
        <v>241</v>
      </c>
      <c r="C5" s="386" t="s">
        <v>811</v>
      </c>
      <c r="D5" s="386" t="s">
        <v>241</v>
      </c>
      <c r="E5" s="386" t="s">
        <v>811</v>
      </c>
      <c r="F5" s="386" t="s">
        <v>243</v>
      </c>
      <c r="G5" s="386" t="s">
        <v>811</v>
      </c>
      <c r="H5" s="386" t="s">
        <v>241</v>
      </c>
      <c r="I5" s="386" t="s">
        <v>811</v>
      </c>
      <c r="J5" s="386" t="s">
        <v>243</v>
      </c>
      <c r="K5" s="386" t="s">
        <v>811</v>
      </c>
      <c r="L5" s="387" t="s">
        <v>240</v>
      </c>
      <c r="M5" s="386" t="s">
        <v>243</v>
      </c>
      <c r="N5" s="386" t="s">
        <v>811</v>
      </c>
      <c r="O5" s="386" t="s">
        <v>243</v>
      </c>
      <c r="P5" s="386" t="s">
        <v>811</v>
      </c>
      <c r="Q5" s="388" t="s">
        <v>243</v>
      </c>
      <c r="R5" s="386" t="s">
        <v>811</v>
      </c>
      <c r="S5" s="386" t="s">
        <v>241</v>
      </c>
      <c r="T5" s="386" t="s">
        <v>811</v>
      </c>
      <c r="U5" s="1171" t="s">
        <v>241</v>
      </c>
      <c r="V5" s="1172" t="s">
        <v>811</v>
      </c>
      <c r="X5" s="412"/>
    </row>
    <row r="6" spans="1:24" s="1181" customFormat="1" ht="20.100000000000001" customHeight="1">
      <c r="A6" s="1174"/>
      <c r="B6" s="1175" t="s">
        <v>244</v>
      </c>
      <c r="C6" s="1176"/>
      <c r="D6" s="403" t="s">
        <v>245</v>
      </c>
      <c r="E6" s="398"/>
      <c r="F6" s="396" t="s">
        <v>246</v>
      </c>
      <c r="G6" s="397"/>
      <c r="H6" s="1175" t="s">
        <v>247</v>
      </c>
      <c r="I6" s="398"/>
      <c r="J6" s="403" t="s">
        <v>248</v>
      </c>
      <c r="K6" s="398"/>
      <c r="L6" s="1177"/>
      <c r="M6" s="403" t="s">
        <v>249</v>
      </c>
      <c r="N6" s="403"/>
      <c r="O6" s="403" t="s">
        <v>250</v>
      </c>
      <c r="P6" s="403"/>
      <c r="Q6" s="1178" t="s">
        <v>828</v>
      </c>
      <c r="R6" s="403"/>
      <c r="S6" s="402" t="s">
        <v>252</v>
      </c>
      <c r="T6" s="1179"/>
      <c r="U6" s="1180" t="s">
        <v>829</v>
      </c>
      <c r="V6" s="405"/>
    </row>
    <row r="7" spans="1:24" s="1181" customFormat="1" ht="20.100000000000001" customHeight="1">
      <c r="A7" s="391"/>
      <c r="B7" s="394" t="s">
        <v>254</v>
      </c>
      <c r="C7" s="395">
        <v>0</v>
      </c>
      <c r="D7" s="394" t="s">
        <v>255</v>
      </c>
      <c r="E7" s="395">
        <v>274489.79399999999</v>
      </c>
      <c r="F7" s="394" t="s">
        <v>830</v>
      </c>
      <c r="G7" s="395">
        <v>226470</v>
      </c>
      <c r="H7" s="394" t="s">
        <v>257</v>
      </c>
      <c r="I7" s="395">
        <v>131395.53099999999</v>
      </c>
      <c r="J7" s="394" t="s">
        <v>258</v>
      </c>
      <c r="K7" s="395">
        <v>507058</v>
      </c>
      <c r="L7" s="1182"/>
      <c r="M7" s="410" t="s">
        <v>267</v>
      </c>
      <c r="N7" s="394">
        <v>5963.9040000000005</v>
      </c>
      <c r="O7" s="410" t="s">
        <v>831</v>
      </c>
      <c r="P7" s="394">
        <v>835607.57939999993</v>
      </c>
      <c r="Q7" s="153" t="s">
        <v>261</v>
      </c>
      <c r="R7" s="394">
        <v>110176.6326</v>
      </c>
      <c r="S7" s="153" t="s">
        <v>262</v>
      </c>
      <c r="T7" s="1183">
        <v>53543.113119999995</v>
      </c>
      <c r="U7" s="413" t="s">
        <v>263</v>
      </c>
      <c r="V7" s="411">
        <v>4.0866E-2</v>
      </c>
    </row>
    <row r="8" spans="1:24" s="1181" customFormat="1" ht="20.100000000000001" customHeight="1">
      <c r="A8" s="391"/>
      <c r="B8" s="394" t="s">
        <v>264</v>
      </c>
      <c r="C8" s="393">
        <v>9582</v>
      </c>
      <c r="D8" s="394"/>
      <c r="E8" s="407"/>
      <c r="F8" s="394"/>
      <c r="G8" s="395"/>
      <c r="H8" s="394" t="s">
        <v>265</v>
      </c>
      <c r="I8" s="395">
        <v>147741</v>
      </c>
      <c r="J8" s="394" t="s">
        <v>266</v>
      </c>
      <c r="K8" s="395">
        <v>535088</v>
      </c>
      <c r="L8" s="1182"/>
      <c r="M8" s="394" t="s">
        <v>832</v>
      </c>
      <c r="N8" s="394">
        <v>45002.328000000001</v>
      </c>
      <c r="O8" s="394" t="s">
        <v>833</v>
      </c>
      <c r="P8" s="394">
        <v>1315825.0488</v>
      </c>
      <c r="Q8" s="153" t="s">
        <v>269</v>
      </c>
      <c r="R8" s="394">
        <v>0</v>
      </c>
      <c r="S8" s="413" t="s">
        <v>834</v>
      </c>
      <c r="T8" s="1184">
        <v>88370.349149999995</v>
      </c>
      <c r="U8" s="394"/>
      <c r="V8" s="411"/>
    </row>
    <row r="9" spans="1:24" s="1181" customFormat="1" ht="20.100000000000001" customHeight="1">
      <c r="A9" s="391"/>
      <c r="B9" s="394" t="s">
        <v>271</v>
      </c>
      <c r="C9" s="393">
        <v>16672</v>
      </c>
      <c r="D9" s="423"/>
      <c r="E9" s="437"/>
      <c r="F9" s="394"/>
      <c r="G9" s="395"/>
      <c r="H9" s="394" t="s">
        <v>272</v>
      </c>
      <c r="I9" s="395">
        <v>714946</v>
      </c>
      <c r="J9" s="394" t="s">
        <v>273</v>
      </c>
      <c r="K9" s="395">
        <v>778797</v>
      </c>
      <c r="L9" s="1182"/>
      <c r="M9" s="394" t="s">
        <v>284</v>
      </c>
      <c r="N9" s="394">
        <v>6396.66</v>
      </c>
      <c r="O9" s="394" t="s">
        <v>275</v>
      </c>
      <c r="P9" s="394">
        <v>515075.21199999994</v>
      </c>
      <c r="Q9" s="153" t="s">
        <v>276</v>
      </c>
      <c r="R9" s="394">
        <v>8566.6930439999996</v>
      </c>
      <c r="S9" s="413" t="s">
        <v>270</v>
      </c>
      <c r="T9" s="1184">
        <v>177255.52841999999</v>
      </c>
      <c r="U9" s="413" t="s">
        <v>835</v>
      </c>
      <c r="V9" s="411"/>
    </row>
    <row r="10" spans="1:24" s="1181" customFormat="1" ht="20.100000000000001" customHeight="1">
      <c r="A10" s="391"/>
      <c r="B10" s="394" t="s">
        <v>279</v>
      </c>
      <c r="C10" s="393">
        <v>4507</v>
      </c>
      <c r="D10" s="418" t="s">
        <v>280</v>
      </c>
      <c r="E10" s="1185">
        <f>SUM(E7:E8)</f>
        <v>274489.79399999999</v>
      </c>
      <c r="F10" s="418" t="s">
        <v>281</v>
      </c>
      <c r="G10" s="420">
        <f>SUM(G7:G9)</f>
        <v>226470</v>
      </c>
      <c r="H10" s="394" t="s">
        <v>836</v>
      </c>
      <c r="I10" s="395">
        <v>516174</v>
      </c>
      <c r="J10" s="394" t="s">
        <v>283</v>
      </c>
      <c r="K10" s="395">
        <v>1098254.3589999999</v>
      </c>
      <c r="L10" s="1182"/>
      <c r="M10" s="394" t="s">
        <v>294</v>
      </c>
      <c r="N10" s="394">
        <v>7684.7</v>
      </c>
      <c r="O10" s="418" t="s">
        <v>285</v>
      </c>
      <c r="P10" s="418">
        <f>SUM(P7:P9)</f>
        <v>2666507.8402</v>
      </c>
      <c r="Q10" s="413" t="s">
        <v>286</v>
      </c>
      <c r="R10" s="394">
        <v>228207.97330000001</v>
      </c>
      <c r="S10" s="153" t="s">
        <v>277</v>
      </c>
      <c r="T10" s="1184">
        <v>34625</v>
      </c>
      <c r="U10" s="153" t="s">
        <v>288</v>
      </c>
      <c r="V10" s="411">
        <v>80494.975493999998</v>
      </c>
    </row>
    <row r="11" spans="1:24" s="1181" customFormat="1" ht="20.100000000000001" customHeight="1">
      <c r="A11" s="391"/>
      <c r="B11" s="394" t="s">
        <v>289</v>
      </c>
      <c r="C11" s="393">
        <v>532.29999999999995</v>
      </c>
      <c r="D11" s="394" t="s">
        <v>290</v>
      </c>
      <c r="E11" s="407"/>
      <c r="F11" s="392" t="s">
        <v>291</v>
      </c>
      <c r="G11" s="395"/>
      <c r="H11" s="394" t="s">
        <v>837</v>
      </c>
      <c r="I11" s="395">
        <v>498200</v>
      </c>
      <c r="J11" s="394" t="s">
        <v>293</v>
      </c>
      <c r="K11" s="395">
        <v>1106382.723</v>
      </c>
      <c r="L11" s="1182"/>
      <c r="M11" s="410" t="s">
        <v>302</v>
      </c>
      <c r="N11" s="394">
        <v>2068.52</v>
      </c>
      <c r="O11" s="392" t="s">
        <v>838</v>
      </c>
      <c r="P11" s="394"/>
      <c r="Q11" s="424" t="s">
        <v>295</v>
      </c>
      <c r="R11" s="394">
        <v>19932.966820000001</v>
      </c>
      <c r="S11" s="153" t="s">
        <v>287</v>
      </c>
      <c r="T11" s="1184">
        <v>221.98192800000001</v>
      </c>
      <c r="U11" s="153"/>
      <c r="V11" s="411"/>
    </row>
    <row r="12" spans="1:24" s="1181" customFormat="1" ht="20.100000000000001" customHeight="1">
      <c r="A12" s="391"/>
      <c r="B12" s="394" t="s">
        <v>297</v>
      </c>
      <c r="C12" s="393">
        <v>17872</v>
      </c>
      <c r="D12" s="394" t="s">
        <v>839</v>
      </c>
      <c r="E12" s="407">
        <v>2822387.5839989996</v>
      </c>
      <c r="F12" s="394" t="s">
        <v>299</v>
      </c>
      <c r="G12" s="395">
        <v>29635.803</v>
      </c>
      <c r="H12" s="394" t="s">
        <v>300</v>
      </c>
      <c r="I12" s="395">
        <v>552513</v>
      </c>
      <c r="J12" s="394" t="s">
        <v>301</v>
      </c>
      <c r="K12" s="395">
        <v>783553.41099999996</v>
      </c>
      <c r="L12" s="1182"/>
      <c r="M12" s="394" t="s">
        <v>312</v>
      </c>
      <c r="N12" s="394">
        <v>3174.3519999999999</v>
      </c>
      <c r="O12" s="410" t="s">
        <v>840</v>
      </c>
      <c r="P12" s="394">
        <v>11239.86234</v>
      </c>
      <c r="Q12" s="153" t="s">
        <v>304</v>
      </c>
      <c r="R12" s="394">
        <v>508373.45939999999</v>
      </c>
      <c r="S12" s="153" t="s">
        <v>841</v>
      </c>
      <c r="T12" s="1184">
        <v>6467.1390000000001</v>
      </c>
      <c r="U12" s="153" t="s">
        <v>842</v>
      </c>
      <c r="V12" s="411"/>
    </row>
    <row r="13" spans="1:24" s="1181" customFormat="1" ht="20.100000000000001" customHeight="1">
      <c r="A13" s="391"/>
      <c r="B13" s="394" t="s">
        <v>307</v>
      </c>
      <c r="C13" s="393">
        <v>9702</v>
      </c>
      <c r="D13" s="394" t="s">
        <v>843</v>
      </c>
      <c r="E13" s="407">
        <v>1297110.27</v>
      </c>
      <c r="F13" s="392" t="s">
        <v>309</v>
      </c>
      <c r="G13" s="395">
        <v>15142.2</v>
      </c>
      <c r="H13" s="394" t="s">
        <v>310</v>
      </c>
      <c r="I13" s="395">
        <v>498671</v>
      </c>
      <c r="J13" s="394" t="s">
        <v>311</v>
      </c>
      <c r="K13" s="395">
        <v>307450.62800000003</v>
      </c>
      <c r="L13" s="1182"/>
      <c r="M13" s="394" t="s">
        <v>321</v>
      </c>
      <c r="N13" s="394">
        <v>21719.827000000001</v>
      </c>
      <c r="O13" s="394" t="s">
        <v>303</v>
      </c>
      <c r="P13" s="394">
        <v>441176.38339999999</v>
      </c>
      <c r="Q13" s="413" t="s">
        <v>314</v>
      </c>
      <c r="R13" s="394">
        <v>277301.56819999998</v>
      </c>
      <c r="S13" s="153" t="s">
        <v>305</v>
      </c>
      <c r="T13" s="1184">
        <v>42351.344619999996</v>
      </c>
      <c r="U13" s="153" t="s">
        <v>316</v>
      </c>
      <c r="V13" s="411">
        <v>574.03800000000001</v>
      </c>
    </row>
    <row r="14" spans="1:24" s="1181" customFormat="1" ht="20.100000000000001" customHeight="1">
      <c r="A14" s="1186"/>
      <c r="B14" s="427" t="s">
        <v>317</v>
      </c>
      <c r="C14" s="419">
        <f>SUM(C7:C13)</f>
        <v>58867.3</v>
      </c>
      <c r="D14" s="394" t="s">
        <v>844</v>
      </c>
      <c r="E14" s="407">
        <v>1185274.8318010001</v>
      </c>
      <c r="F14" s="394"/>
      <c r="G14" s="395"/>
      <c r="H14" s="394" t="s">
        <v>319</v>
      </c>
      <c r="I14" s="395">
        <v>190625.0001</v>
      </c>
      <c r="J14" s="394" t="s">
        <v>320</v>
      </c>
      <c r="K14" s="395">
        <v>0</v>
      </c>
      <c r="L14" s="1182"/>
      <c r="M14" s="394" t="s">
        <v>332</v>
      </c>
      <c r="N14" s="394">
        <v>6567.48</v>
      </c>
      <c r="O14" s="394" t="s">
        <v>313</v>
      </c>
      <c r="P14" s="394">
        <v>755215.44499999995</v>
      </c>
      <c r="Q14" s="153" t="s">
        <v>323</v>
      </c>
      <c r="R14" s="394">
        <v>5863.4443979999996</v>
      </c>
      <c r="S14" s="153" t="s">
        <v>315</v>
      </c>
      <c r="T14" s="1184">
        <v>1825.2</v>
      </c>
      <c r="U14" s="394" t="s">
        <v>845</v>
      </c>
      <c r="V14" s="411">
        <v>11439.188779999999</v>
      </c>
    </row>
    <row r="15" spans="1:24" s="1181" customFormat="1" ht="20.100000000000001" customHeight="1">
      <c r="A15" s="430" t="s">
        <v>326</v>
      </c>
      <c r="B15" s="394" t="s">
        <v>327</v>
      </c>
      <c r="C15" s="393"/>
      <c r="D15" s="394" t="s">
        <v>846</v>
      </c>
      <c r="E15" s="407">
        <v>1078245</v>
      </c>
      <c r="F15" s="394"/>
      <c r="G15" s="395"/>
      <c r="H15" s="394" t="s">
        <v>329</v>
      </c>
      <c r="I15" s="395">
        <v>78465</v>
      </c>
      <c r="J15" s="394" t="s">
        <v>330</v>
      </c>
      <c r="K15" s="395">
        <v>779698.95799999998</v>
      </c>
      <c r="L15" s="431" t="s">
        <v>331</v>
      </c>
      <c r="M15" s="442"/>
      <c r="N15" s="442"/>
      <c r="O15" s="394" t="s">
        <v>322</v>
      </c>
      <c r="P15" s="394">
        <v>996426.73479999998</v>
      </c>
      <c r="Q15" s="394" t="s">
        <v>334</v>
      </c>
      <c r="R15" s="394">
        <v>48307.187210000004</v>
      </c>
      <c r="S15" s="153" t="s">
        <v>324</v>
      </c>
      <c r="T15" s="1184">
        <v>2809.3838029999997</v>
      </c>
      <c r="U15" s="392" t="s">
        <v>336</v>
      </c>
      <c r="V15" s="411">
        <v>0</v>
      </c>
    </row>
    <row r="16" spans="1:24" s="1181" customFormat="1" ht="20.100000000000001" customHeight="1">
      <c r="A16" s="430" t="s">
        <v>337</v>
      </c>
      <c r="B16" s="394" t="s">
        <v>338</v>
      </c>
      <c r="C16" s="393">
        <v>51652.752</v>
      </c>
      <c r="D16" s="394" t="s">
        <v>847</v>
      </c>
      <c r="E16" s="407">
        <v>1317067.9640000002</v>
      </c>
      <c r="F16" s="1187"/>
      <c r="G16" s="1187"/>
      <c r="H16" s="394" t="s">
        <v>340</v>
      </c>
      <c r="I16" s="395">
        <v>629542.03567000001</v>
      </c>
      <c r="J16" s="394" t="s">
        <v>341</v>
      </c>
      <c r="K16" s="395">
        <v>1108858.263</v>
      </c>
      <c r="L16" s="431"/>
      <c r="M16" s="427" t="s">
        <v>317</v>
      </c>
      <c r="N16" s="418">
        <f>SUM(N7:N15)</f>
        <v>98577.771000000008</v>
      </c>
      <c r="O16" s="392" t="s">
        <v>333</v>
      </c>
      <c r="P16" s="394">
        <v>1798.3048999999999</v>
      </c>
      <c r="Q16" s="394" t="s">
        <v>343</v>
      </c>
      <c r="R16" s="394">
        <v>266639</v>
      </c>
      <c r="S16" s="153" t="s">
        <v>335</v>
      </c>
      <c r="T16" s="1184">
        <v>207219.867</v>
      </c>
      <c r="U16" s="392"/>
      <c r="V16" s="411"/>
    </row>
    <row r="17" spans="1:22" s="1181" customFormat="1" ht="20.100000000000001" customHeight="1">
      <c r="A17" s="430"/>
      <c r="B17" s="394" t="s">
        <v>345</v>
      </c>
      <c r="C17" s="393">
        <v>59510.146799999995</v>
      </c>
      <c r="D17" s="394" t="s">
        <v>848</v>
      </c>
      <c r="E17" s="407">
        <v>536272</v>
      </c>
      <c r="F17" s="392"/>
      <c r="G17" s="395"/>
      <c r="H17" s="394" t="s">
        <v>849</v>
      </c>
      <c r="I17" s="395">
        <v>479661.28</v>
      </c>
      <c r="J17" s="394" t="s">
        <v>348</v>
      </c>
      <c r="K17" s="395">
        <v>450695</v>
      </c>
      <c r="L17" s="431"/>
      <c r="M17" s="423"/>
      <c r="N17" s="1188"/>
      <c r="O17" s="394" t="s">
        <v>850</v>
      </c>
      <c r="P17" s="394">
        <v>586757.2132</v>
      </c>
      <c r="Q17" s="153" t="s">
        <v>350</v>
      </c>
      <c r="R17" s="394">
        <v>149436.2634</v>
      </c>
      <c r="S17" s="153" t="s">
        <v>851</v>
      </c>
      <c r="T17" s="1184">
        <v>16740.568319999998</v>
      </c>
      <c r="U17" s="392"/>
      <c r="V17" s="1189"/>
    </row>
    <row r="18" spans="1:22" s="1181" customFormat="1" ht="20.100000000000001" customHeight="1">
      <c r="A18" s="430"/>
      <c r="B18" s="394" t="s">
        <v>352</v>
      </c>
      <c r="C18" s="393">
        <v>48553.28688</v>
      </c>
      <c r="D18" s="394" t="s">
        <v>353</v>
      </c>
      <c r="E18" s="407">
        <v>392903</v>
      </c>
      <c r="F18" s="394"/>
      <c r="G18" s="395"/>
      <c r="H18" s="394" t="s">
        <v>354</v>
      </c>
      <c r="I18" s="395">
        <v>307247.08399999997</v>
      </c>
      <c r="J18" s="394" t="s">
        <v>355</v>
      </c>
      <c r="K18" s="395">
        <v>474881.65</v>
      </c>
      <c r="L18" s="431"/>
      <c r="M18" s="418" t="s">
        <v>364</v>
      </c>
      <c r="N18" s="418">
        <v>29348.827333999998</v>
      </c>
      <c r="O18" s="410" t="s">
        <v>852</v>
      </c>
      <c r="P18" s="394">
        <v>275883.2</v>
      </c>
      <c r="Q18" s="153" t="s">
        <v>357</v>
      </c>
      <c r="R18" s="394">
        <v>64103.721950000006</v>
      </c>
      <c r="S18" s="413" t="s">
        <v>853</v>
      </c>
      <c r="T18" s="1184">
        <v>11020.098779999998</v>
      </c>
      <c r="U18" s="392" t="s">
        <v>854</v>
      </c>
      <c r="V18" s="1189"/>
    </row>
    <row r="19" spans="1:22" s="1181" customFormat="1" ht="20.100000000000001" customHeight="1">
      <c r="A19" s="430" t="s">
        <v>359</v>
      </c>
      <c r="B19" s="394" t="s">
        <v>360</v>
      </c>
      <c r="C19" s="393">
        <v>81815.916280000005</v>
      </c>
      <c r="D19" s="394" t="s">
        <v>361</v>
      </c>
      <c r="E19" s="407">
        <v>1754960.919</v>
      </c>
      <c r="F19" s="392"/>
      <c r="G19" s="395"/>
      <c r="H19" s="394" t="s">
        <v>362</v>
      </c>
      <c r="I19" s="395">
        <v>80739.776000000013</v>
      </c>
      <c r="J19" s="394" t="s">
        <v>363</v>
      </c>
      <c r="K19" s="395">
        <v>449547.93</v>
      </c>
      <c r="L19" s="431"/>
      <c r="M19" s="423"/>
      <c r="N19" s="423"/>
      <c r="O19" s="392" t="s">
        <v>349</v>
      </c>
      <c r="P19" s="394">
        <v>453745.49360000005</v>
      </c>
      <c r="Q19" s="153" t="s">
        <v>366</v>
      </c>
      <c r="R19" s="394">
        <v>0</v>
      </c>
      <c r="S19" s="153" t="s">
        <v>351</v>
      </c>
      <c r="T19" s="1184">
        <v>126026.58</v>
      </c>
      <c r="U19" s="392" t="s">
        <v>190</v>
      </c>
      <c r="V19" s="411">
        <v>0</v>
      </c>
    </row>
    <row r="20" spans="1:22" s="1181" customFormat="1" ht="20.100000000000001" customHeight="1">
      <c r="A20" s="430"/>
      <c r="B20" s="394" t="s">
        <v>367</v>
      </c>
      <c r="C20" s="395">
        <v>0</v>
      </c>
      <c r="D20" s="394" t="s">
        <v>368</v>
      </c>
      <c r="E20" s="407">
        <v>2834417.057608</v>
      </c>
      <c r="F20" s="392"/>
      <c r="G20" s="395"/>
      <c r="H20" s="394" t="s">
        <v>369</v>
      </c>
      <c r="I20" s="395">
        <v>574906</v>
      </c>
      <c r="J20" s="394" t="s">
        <v>370</v>
      </c>
      <c r="K20" s="395">
        <v>312167.24099999998</v>
      </c>
      <c r="L20" s="431"/>
      <c r="M20" s="418" t="s">
        <v>379</v>
      </c>
      <c r="N20" s="418">
        <f>N18+N16</f>
        <v>127926.59833400001</v>
      </c>
      <c r="O20" s="392" t="s">
        <v>356</v>
      </c>
      <c r="P20" s="394">
        <v>251774.78590000002</v>
      </c>
      <c r="Q20" s="413" t="s">
        <v>372</v>
      </c>
      <c r="R20" s="394">
        <v>49629.623049999995</v>
      </c>
      <c r="S20" s="153" t="s">
        <v>855</v>
      </c>
      <c r="T20" s="1184">
        <v>55831.417390000002</v>
      </c>
      <c r="U20" s="392" t="s">
        <v>856</v>
      </c>
      <c r="V20" s="411">
        <v>21007.179530999998</v>
      </c>
    </row>
    <row r="21" spans="1:22" s="1181" customFormat="1" ht="20.100000000000001" customHeight="1">
      <c r="A21" s="430" t="s">
        <v>374</v>
      </c>
      <c r="B21" s="394" t="s">
        <v>375</v>
      </c>
      <c r="C21" s="393">
        <v>45730.469210000003</v>
      </c>
      <c r="D21" s="394" t="s">
        <v>376</v>
      </c>
      <c r="E21" s="407">
        <v>2128615.7588</v>
      </c>
      <c r="F21" s="392"/>
      <c r="G21" s="395"/>
      <c r="H21" s="394" t="s">
        <v>857</v>
      </c>
      <c r="I21" s="395">
        <v>31216.9</v>
      </c>
      <c r="J21" s="394" t="s">
        <v>378</v>
      </c>
      <c r="K21" s="395">
        <v>769879.56599999999</v>
      </c>
      <c r="L21" s="1190"/>
      <c r="M21" s="392" t="s">
        <v>384</v>
      </c>
      <c r="N21" s="394"/>
      <c r="O21" s="392" t="s">
        <v>365</v>
      </c>
      <c r="P21" s="394">
        <v>356230.87360000005</v>
      </c>
      <c r="Q21" s="153" t="s">
        <v>381</v>
      </c>
      <c r="R21" s="395">
        <v>2589.2477519999998</v>
      </c>
      <c r="S21" s="413"/>
      <c r="T21" s="1184"/>
      <c r="U21" s="392" t="s">
        <v>858</v>
      </c>
      <c r="V21" s="411">
        <v>2346.7794219999996</v>
      </c>
    </row>
    <row r="22" spans="1:22" s="1181" customFormat="1" ht="20.100000000000001" customHeight="1">
      <c r="A22" s="430" t="s">
        <v>337</v>
      </c>
      <c r="B22" s="394" t="s">
        <v>271</v>
      </c>
      <c r="C22" s="436">
        <v>25663.304649999998</v>
      </c>
      <c r="D22" s="394"/>
      <c r="E22" s="407"/>
      <c r="F22" s="394"/>
      <c r="G22" s="395"/>
      <c r="H22" s="394"/>
      <c r="I22" s="395"/>
      <c r="J22" s="394" t="s">
        <v>383</v>
      </c>
      <c r="K22" s="395">
        <v>781001.625</v>
      </c>
      <c r="L22" s="431"/>
      <c r="M22" s="394" t="s">
        <v>391</v>
      </c>
      <c r="N22" s="439">
        <v>1373299.727317</v>
      </c>
      <c r="O22" s="392" t="s">
        <v>371</v>
      </c>
      <c r="P22" s="394">
        <v>335020.7</v>
      </c>
      <c r="Q22" s="153" t="s">
        <v>386</v>
      </c>
      <c r="R22" s="395">
        <v>622849</v>
      </c>
      <c r="S22" s="413" t="s">
        <v>859</v>
      </c>
      <c r="T22" s="1184"/>
      <c r="U22" s="1191"/>
      <c r="V22" s="455"/>
    </row>
    <row r="23" spans="1:22" s="1181" customFormat="1" ht="20.100000000000001" customHeight="1">
      <c r="A23" s="430" t="s">
        <v>388</v>
      </c>
      <c r="B23" s="418" t="s">
        <v>389</v>
      </c>
      <c r="C23" s="419">
        <f>SUM(C16:C22)</f>
        <v>312925.87582000002</v>
      </c>
      <c r="D23" s="423"/>
      <c r="E23" s="437"/>
      <c r="F23" s="423"/>
      <c r="G23" s="438"/>
      <c r="H23" s="1187"/>
      <c r="I23" s="1187"/>
      <c r="J23" s="394" t="s">
        <v>390</v>
      </c>
      <c r="K23" s="395">
        <v>476778.505</v>
      </c>
      <c r="L23" s="431"/>
      <c r="M23" s="394" t="s">
        <v>399</v>
      </c>
      <c r="N23" s="439">
        <v>424150.47496199998</v>
      </c>
      <c r="O23" s="392" t="s">
        <v>860</v>
      </c>
      <c r="P23" s="394">
        <v>3.7693600000000003</v>
      </c>
      <c r="Q23" s="153" t="s">
        <v>393</v>
      </c>
      <c r="R23" s="394">
        <v>175286.6672</v>
      </c>
      <c r="S23" s="402" t="s">
        <v>382</v>
      </c>
      <c r="T23" s="1184">
        <v>15149.331900000001</v>
      </c>
      <c r="U23" s="1191"/>
      <c r="V23" s="455"/>
    </row>
    <row r="24" spans="1:22" s="1181" customFormat="1" ht="20.100000000000001" customHeight="1">
      <c r="A24" s="430" t="s">
        <v>395</v>
      </c>
      <c r="B24" s="394" t="s">
        <v>396</v>
      </c>
      <c r="C24" s="393">
        <v>10543.725970000001</v>
      </c>
      <c r="D24" s="423"/>
      <c r="E24" s="437"/>
      <c r="F24" s="423"/>
      <c r="G24" s="438"/>
      <c r="H24" s="392" t="s">
        <v>861</v>
      </c>
      <c r="I24" s="394"/>
      <c r="J24" s="394" t="s">
        <v>398</v>
      </c>
      <c r="K24" s="395">
        <v>778961</v>
      </c>
      <c r="L24" s="431"/>
      <c r="M24" s="392" t="s">
        <v>406</v>
      </c>
      <c r="N24" s="394">
        <v>584773.12935099995</v>
      </c>
      <c r="O24" s="392" t="s">
        <v>380</v>
      </c>
      <c r="P24" s="394">
        <v>279829.08799999999</v>
      </c>
      <c r="Q24" s="153" t="s">
        <v>401</v>
      </c>
      <c r="R24" s="394">
        <v>153843.82860000001</v>
      </c>
      <c r="S24" s="153" t="s">
        <v>387</v>
      </c>
      <c r="T24" s="1184">
        <v>6959.3362440000001</v>
      </c>
      <c r="U24" s="1191"/>
      <c r="V24" s="455"/>
    </row>
    <row r="25" spans="1:22" s="1181" customFormat="1" ht="20.100000000000001" customHeight="1">
      <c r="A25" s="430" t="s">
        <v>403</v>
      </c>
      <c r="B25" s="442"/>
      <c r="C25" s="393"/>
      <c r="D25" s="1192"/>
      <c r="E25" s="1193"/>
      <c r="F25" s="1192"/>
      <c r="G25" s="1193"/>
      <c r="H25" s="392" t="s">
        <v>862</v>
      </c>
      <c r="I25" s="394">
        <v>39757.487789999999</v>
      </c>
      <c r="J25" s="394" t="s">
        <v>405</v>
      </c>
      <c r="K25" s="395">
        <v>0</v>
      </c>
      <c r="L25" s="431"/>
      <c r="M25" s="394" t="s">
        <v>197</v>
      </c>
      <c r="N25" s="394">
        <v>252531.53316399999</v>
      </c>
      <c r="O25" s="392" t="s">
        <v>385</v>
      </c>
      <c r="P25" s="394">
        <v>1193059</v>
      </c>
      <c r="Q25" s="153" t="s">
        <v>407</v>
      </c>
      <c r="R25" s="394">
        <v>79546.376000000004</v>
      </c>
      <c r="S25" s="153" t="s">
        <v>394</v>
      </c>
      <c r="T25" s="1184">
        <v>151.00187199999999</v>
      </c>
      <c r="U25" s="1191"/>
      <c r="V25" s="455"/>
    </row>
    <row r="26" spans="1:22" s="1181" customFormat="1" ht="20.100000000000001" customHeight="1">
      <c r="A26" s="425"/>
      <c r="B26" s="418" t="s">
        <v>364</v>
      </c>
      <c r="C26" s="419">
        <f>SUM(C24:C25)</f>
        <v>10543.725970000001</v>
      </c>
      <c r="D26" s="418" t="s">
        <v>408</v>
      </c>
      <c r="E26" s="419">
        <f>SUM(E12:E22)</f>
        <v>15347254.385207999</v>
      </c>
      <c r="F26" s="418" t="s">
        <v>409</v>
      </c>
      <c r="G26" s="420">
        <f>SUM(G12:G16)</f>
        <v>44778.002999999997</v>
      </c>
      <c r="H26" s="418" t="s">
        <v>410</v>
      </c>
      <c r="I26" s="420">
        <f>SUM(I7:I25)</f>
        <v>5471801.0945599992</v>
      </c>
      <c r="J26" s="394" t="s">
        <v>411</v>
      </c>
      <c r="K26" s="395">
        <v>757717.69</v>
      </c>
      <c r="L26" s="431" t="s">
        <v>403</v>
      </c>
      <c r="M26" s="394" t="s">
        <v>195</v>
      </c>
      <c r="N26" s="394">
        <v>36478.801460000002</v>
      </c>
      <c r="O26" s="392" t="s">
        <v>392</v>
      </c>
      <c r="P26" s="394">
        <v>393086.16480000003</v>
      </c>
      <c r="Q26" s="153" t="s">
        <v>413</v>
      </c>
      <c r="R26" s="394">
        <v>256937.59390000001</v>
      </c>
      <c r="S26" s="153" t="s">
        <v>863</v>
      </c>
      <c r="T26" s="1184">
        <v>19927.79376</v>
      </c>
      <c r="U26" s="1191"/>
      <c r="V26" s="455"/>
    </row>
    <row r="27" spans="1:22" s="1181" customFormat="1" ht="20.100000000000001" customHeight="1">
      <c r="A27" s="1186"/>
      <c r="B27" s="423"/>
      <c r="C27" s="438"/>
      <c r="D27" s="1194"/>
      <c r="E27" s="1195"/>
      <c r="F27" s="1194"/>
      <c r="G27" s="1194"/>
      <c r="H27" s="394" t="s">
        <v>864</v>
      </c>
      <c r="I27" s="438"/>
      <c r="J27" s="394" t="s">
        <v>414</v>
      </c>
      <c r="K27" s="395">
        <v>755603.71100000001</v>
      </c>
      <c r="L27" s="1182"/>
      <c r="M27" s="394"/>
      <c r="N27" s="394"/>
      <c r="O27" s="392" t="s">
        <v>400</v>
      </c>
      <c r="P27" s="394">
        <v>458353.70180000004</v>
      </c>
      <c r="Q27" s="153" t="s">
        <v>417</v>
      </c>
      <c r="R27" s="394">
        <v>352565.60200000001</v>
      </c>
      <c r="S27" s="153"/>
      <c r="T27" s="1184"/>
      <c r="U27" s="1191"/>
      <c r="V27" s="455"/>
    </row>
    <row r="28" spans="1:22" s="1181" customFormat="1" ht="20.100000000000001" customHeight="1">
      <c r="A28" s="391"/>
      <c r="B28" s="418" t="s">
        <v>379</v>
      </c>
      <c r="C28" s="419">
        <f>C14+C23+C26</f>
        <v>382336.90179000003</v>
      </c>
      <c r="D28" s="418" t="s">
        <v>419</v>
      </c>
      <c r="E28" s="419">
        <f>E26+E10</f>
        <v>15621744.179207999</v>
      </c>
      <c r="F28" s="1196"/>
      <c r="G28" s="1197"/>
      <c r="H28" s="392" t="s">
        <v>420</v>
      </c>
      <c r="I28" s="395">
        <v>352023.136</v>
      </c>
      <c r="J28" s="394" t="s">
        <v>421</v>
      </c>
      <c r="K28" s="395">
        <v>655388.64500000002</v>
      </c>
      <c r="L28" s="1182"/>
      <c r="M28" s="394"/>
      <c r="N28" s="394"/>
      <c r="O28" s="392"/>
      <c r="P28" s="394"/>
      <c r="Q28" s="153" t="s">
        <v>422</v>
      </c>
      <c r="R28" s="394">
        <v>109151.2227</v>
      </c>
      <c r="S28" s="413" t="s">
        <v>865</v>
      </c>
      <c r="T28" s="1184"/>
      <c r="U28" s="1191"/>
      <c r="V28" s="455"/>
    </row>
    <row r="29" spans="1:22" s="1181" customFormat="1" ht="20.100000000000001" customHeight="1">
      <c r="A29" s="391"/>
      <c r="B29" s="402"/>
      <c r="C29" s="395"/>
      <c r="D29" s="392"/>
      <c r="E29" s="438"/>
      <c r="F29" s="1198"/>
      <c r="G29" s="1197"/>
      <c r="H29" s="418" t="s">
        <v>424</v>
      </c>
      <c r="I29" s="420">
        <f>I28</f>
        <v>352023.136</v>
      </c>
      <c r="J29" s="394" t="s">
        <v>425</v>
      </c>
      <c r="K29" s="395">
        <v>782187.58900000004</v>
      </c>
      <c r="L29" s="1182"/>
      <c r="M29" s="446"/>
      <c r="N29" s="446"/>
      <c r="O29" s="392" t="s">
        <v>861</v>
      </c>
      <c r="P29" s="394"/>
      <c r="Q29" s="153" t="s">
        <v>426</v>
      </c>
      <c r="R29" s="394">
        <v>225009.32550000001</v>
      </c>
      <c r="S29" s="394" t="s">
        <v>866</v>
      </c>
      <c r="T29" s="394">
        <v>28692.67324</v>
      </c>
      <c r="U29" s="454"/>
      <c r="V29" s="455"/>
    </row>
    <row r="30" spans="1:22" s="1181" customFormat="1" ht="20.100000000000001" customHeight="1">
      <c r="A30" s="391"/>
      <c r="B30" s="392" t="s">
        <v>384</v>
      </c>
      <c r="C30" s="395"/>
      <c r="D30" s="394"/>
      <c r="E30" s="395"/>
      <c r="F30" s="394"/>
      <c r="G30" s="394"/>
      <c r="H30" s="394"/>
      <c r="I30" s="406"/>
      <c r="J30" s="394" t="s">
        <v>427</v>
      </c>
      <c r="K30" s="395">
        <v>0</v>
      </c>
      <c r="L30" s="1182"/>
      <c r="M30" s="1199"/>
      <c r="N30" s="1194"/>
      <c r="O30" s="423" t="s">
        <v>867</v>
      </c>
      <c r="P30" s="1188">
        <v>7919.2963920000002</v>
      </c>
      <c r="Q30" s="153" t="s">
        <v>428</v>
      </c>
      <c r="R30" s="394">
        <v>359471.61499999999</v>
      </c>
      <c r="S30" s="402"/>
      <c r="T30" s="394"/>
      <c r="U30" s="446"/>
      <c r="V30" s="455"/>
    </row>
    <row r="31" spans="1:22" s="1181" customFormat="1" ht="20.100000000000001" customHeight="1">
      <c r="A31" s="391"/>
      <c r="B31" s="394" t="s">
        <v>391</v>
      </c>
      <c r="C31" s="395">
        <v>20430.946263999998</v>
      </c>
      <c r="D31" s="394" t="s">
        <v>406</v>
      </c>
      <c r="E31" s="395">
        <v>227062.788</v>
      </c>
      <c r="F31" s="394" t="s">
        <v>197</v>
      </c>
      <c r="G31" s="394">
        <v>234316.43687799998</v>
      </c>
      <c r="H31" s="394" t="s">
        <v>429</v>
      </c>
      <c r="I31" s="438"/>
      <c r="J31" s="423" t="s">
        <v>430</v>
      </c>
      <c r="K31" s="395">
        <v>778720</v>
      </c>
      <c r="L31" s="1182"/>
      <c r="M31" s="446"/>
      <c r="N31" s="446"/>
      <c r="O31" s="1200"/>
      <c r="P31" s="1200"/>
      <c r="Q31" s="153"/>
      <c r="R31" s="394"/>
      <c r="S31" s="402" t="s">
        <v>868</v>
      </c>
      <c r="T31" s="1184"/>
      <c r="U31" s="446"/>
      <c r="V31" s="455"/>
    </row>
    <row r="32" spans="1:22" s="1181" customFormat="1" ht="20.100000000000001" customHeight="1">
      <c r="A32" s="391"/>
      <c r="B32" s="394" t="s">
        <v>194</v>
      </c>
      <c r="C32" s="395">
        <v>23896.743848999999</v>
      </c>
      <c r="D32" s="394" t="s">
        <v>431</v>
      </c>
      <c r="E32" s="395">
        <v>165486.20000000001</v>
      </c>
      <c r="F32" s="394" t="s">
        <v>198</v>
      </c>
      <c r="G32" s="394">
        <v>187665</v>
      </c>
      <c r="H32" s="392" t="s">
        <v>869</v>
      </c>
      <c r="I32" s="395">
        <v>6588.9040000000005</v>
      </c>
      <c r="J32" s="423"/>
      <c r="K32" s="438"/>
      <c r="L32" s="408"/>
      <c r="M32" s="394"/>
      <c r="N32" s="394"/>
      <c r="O32" s="1201"/>
      <c r="P32" s="1202"/>
      <c r="Q32" s="416"/>
      <c r="R32" s="394"/>
      <c r="S32" s="394" t="s">
        <v>870</v>
      </c>
      <c r="T32" s="1184">
        <v>26664.09043</v>
      </c>
      <c r="U32" s="1203"/>
      <c r="V32" s="455"/>
    </row>
    <row r="33" spans="1:22" s="1181" customFormat="1" ht="20.100000000000001" customHeight="1">
      <c r="A33" s="456"/>
      <c r="B33" s="457" t="s">
        <v>433</v>
      </c>
      <c r="C33" s="458">
        <f>SUM(C31:C32)+SUM(E31:E33)+SUM(G31:G32)</f>
        <v>858858.11499099992</v>
      </c>
      <c r="D33" s="1204"/>
      <c r="E33" s="460"/>
      <c r="F33" s="1204"/>
      <c r="G33" s="460"/>
      <c r="H33" s="457" t="s">
        <v>434</v>
      </c>
      <c r="I33" s="458">
        <f>I32</f>
        <v>6588.9040000000005</v>
      </c>
      <c r="J33" s="457" t="s">
        <v>435</v>
      </c>
      <c r="K33" s="461">
        <f>SUM(K7:K32)</f>
        <v>15228671.493999999</v>
      </c>
      <c r="L33" s="462"/>
      <c r="M33" s="457" t="s">
        <v>433</v>
      </c>
      <c r="N33" s="457">
        <f>SUM(N22:N29)</f>
        <v>2671233.6662540003</v>
      </c>
      <c r="O33" s="457" t="s">
        <v>410</v>
      </c>
      <c r="P33" s="457">
        <f>SUM(P12:P32)</f>
        <v>6797520.0170920007</v>
      </c>
      <c r="Q33" s="1205"/>
      <c r="R33" s="459"/>
      <c r="S33" s="457" t="s">
        <v>424</v>
      </c>
      <c r="T33" s="457">
        <f>SUM(R6:R33)+SUM(T6:T32)</f>
        <v>4995640.811001</v>
      </c>
      <c r="U33" s="1206" t="s">
        <v>434</v>
      </c>
      <c r="V33" s="1207">
        <f>SUM(V7:V21)</f>
        <v>115862.202093</v>
      </c>
    </row>
    <row r="34" spans="1:22" s="1181" customFormat="1" ht="9.9499999999999993" customHeight="1">
      <c r="A34" s="466"/>
      <c r="B34" s="466"/>
      <c r="C34" s="466"/>
      <c r="D34" s="466"/>
      <c r="E34" s="466"/>
      <c r="F34" s="466"/>
      <c r="G34" s="466"/>
      <c r="H34" s="466"/>
      <c r="I34" s="466"/>
      <c r="J34" s="470"/>
      <c r="K34" s="1208"/>
      <c r="L34" s="466"/>
      <c r="M34" s="466"/>
      <c r="N34" s="466"/>
      <c r="O34" s="466"/>
      <c r="P34" s="466"/>
      <c r="Q34" s="470"/>
      <c r="R34" s="470"/>
      <c r="S34" s="470"/>
      <c r="T34" s="470"/>
      <c r="U34" s="470"/>
      <c r="V34" s="543"/>
    </row>
    <row r="35" spans="1:22" s="1181" customFormat="1" ht="20.100000000000001" customHeight="1">
      <c r="A35" s="466"/>
      <c r="B35" s="2962" t="s">
        <v>871</v>
      </c>
      <c r="C35" s="2962"/>
      <c r="D35" s="466"/>
      <c r="E35" s="466"/>
      <c r="F35" s="1041"/>
      <c r="G35" s="466"/>
      <c r="H35" s="1041"/>
      <c r="I35" s="466"/>
      <c r="J35" s="470"/>
      <c r="K35" s="1209" t="s">
        <v>872</v>
      </c>
      <c r="L35" s="543"/>
      <c r="M35" s="466"/>
      <c r="N35" s="466"/>
      <c r="O35" s="466"/>
      <c r="P35" s="466"/>
      <c r="Q35" s="470"/>
      <c r="R35" s="470"/>
      <c r="S35" s="543"/>
      <c r="T35" s="1210"/>
      <c r="U35" s="1209"/>
      <c r="V35" s="1209" t="s">
        <v>872</v>
      </c>
    </row>
    <row r="36" spans="1:22" s="1181" customFormat="1" ht="20.100000000000001" customHeight="1">
      <c r="A36" s="466"/>
      <c r="B36" s="2963" t="s">
        <v>438</v>
      </c>
      <c r="C36" s="2910"/>
      <c r="D36" s="2964"/>
      <c r="E36" s="2909" t="s">
        <v>439</v>
      </c>
      <c r="F36" s="2910"/>
      <c r="G36" s="2910"/>
      <c r="H36" s="2910"/>
      <c r="I36" s="2910"/>
      <c r="J36" s="2910"/>
      <c r="K36" s="2910"/>
      <c r="L36" s="1211"/>
      <c r="M36" s="2965" t="s">
        <v>439</v>
      </c>
      <c r="N36" s="2966"/>
      <c r="O36" s="1212" t="s">
        <v>440</v>
      </c>
      <c r="P36" s="2913" t="s">
        <v>441</v>
      </c>
      <c r="Q36" s="2914"/>
      <c r="R36" s="2914"/>
      <c r="S36" s="2914"/>
      <c r="T36" s="2914"/>
      <c r="U36" s="2915"/>
      <c r="V36" s="1213" t="s">
        <v>184</v>
      </c>
    </row>
    <row r="37" spans="1:22" s="1181" customFormat="1" ht="20.100000000000001" customHeight="1">
      <c r="A37" s="466"/>
      <c r="B37" s="482" t="s">
        <v>442</v>
      </c>
      <c r="C37" s="483" t="s">
        <v>443</v>
      </c>
      <c r="D37" s="483" t="s">
        <v>444</v>
      </c>
      <c r="E37" s="483" t="s">
        <v>445</v>
      </c>
      <c r="F37" s="483" t="s">
        <v>446</v>
      </c>
      <c r="G37" s="483" t="s">
        <v>447</v>
      </c>
      <c r="H37" s="483" t="s">
        <v>448</v>
      </c>
      <c r="I37" s="483" t="s">
        <v>449</v>
      </c>
      <c r="J37" s="483" t="s">
        <v>117</v>
      </c>
      <c r="K37" s="483" t="s">
        <v>443</v>
      </c>
      <c r="L37" s="406"/>
      <c r="M37" s="484" t="s">
        <v>132</v>
      </c>
      <c r="N37" s="484" t="s">
        <v>444</v>
      </c>
      <c r="O37" s="1214" t="s">
        <v>450</v>
      </c>
      <c r="P37" s="482" t="s">
        <v>446</v>
      </c>
      <c r="Q37" s="483" t="s">
        <v>451</v>
      </c>
      <c r="R37" s="483" t="s">
        <v>449</v>
      </c>
      <c r="S37" s="483" t="s">
        <v>443</v>
      </c>
      <c r="T37" s="1215" t="s">
        <v>132</v>
      </c>
      <c r="U37" s="1216" t="s">
        <v>450</v>
      </c>
      <c r="V37" s="1217"/>
    </row>
    <row r="38" spans="1:22" s="1181" customFormat="1" ht="20.100000000000001" customHeight="1">
      <c r="A38" s="466"/>
      <c r="B38" s="1218">
        <f>G12</f>
        <v>29635.803</v>
      </c>
      <c r="C38" s="396">
        <v>0</v>
      </c>
      <c r="D38" s="1219">
        <f>C38+B38</f>
        <v>29635.803</v>
      </c>
      <c r="E38" s="396">
        <f>C23</f>
        <v>312925.87582000002</v>
      </c>
      <c r="F38" s="396">
        <f>E28</f>
        <v>15621744.179207999</v>
      </c>
      <c r="G38" s="396">
        <f>G13</f>
        <v>15142.2</v>
      </c>
      <c r="H38" s="396">
        <f>I26+G10</f>
        <v>5698271.0945599992</v>
      </c>
      <c r="I38" s="1220">
        <f>I29</f>
        <v>352023.136</v>
      </c>
      <c r="J38" s="396">
        <f>K33</f>
        <v>15228671.493999999</v>
      </c>
      <c r="K38" s="1221">
        <f>C14+C24+C31+C32+E31+G31+G32+E32</f>
        <v>928269.140961</v>
      </c>
      <c r="L38" s="406"/>
      <c r="M38" s="494">
        <f>I33</f>
        <v>6588.9040000000005</v>
      </c>
      <c r="N38" s="494">
        <f>SUM(E38:M38)</f>
        <v>38163636.024549</v>
      </c>
      <c r="O38" s="1222">
        <f>N38+D38</f>
        <v>38193271.827549003</v>
      </c>
      <c r="P38" s="1218">
        <f>P10</f>
        <v>2666507.8402</v>
      </c>
      <c r="Q38" s="396">
        <f>P33</f>
        <v>6797520.0170920007</v>
      </c>
      <c r="R38" s="1219">
        <f>T33</f>
        <v>4995640.811001</v>
      </c>
      <c r="S38" s="396">
        <f>N20+N33</f>
        <v>2799160.2645880003</v>
      </c>
      <c r="T38" s="1223">
        <f>V33</f>
        <v>115862.202093</v>
      </c>
      <c r="U38" s="1224">
        <f>SUM(P38:T38)</f>
        <v>17374691.134973999</v>
      </c>
      <c r="V38" s="1225">
        <f>O38+U38</f>
        <v>55567962.962522998</v>
      </c>
    </row>
    <row r="39" spans="1:22" s="1230" customFormat="1" ht="20.100000000000001" customHeight="1">
      <c r="A39" s="499"/>
      <c r="B39" s="1226">
        <f t="shared" ref="B39:K39" si="0">B38/$V$38*100</f>
        <v>5.3332534467724568E-2</v>
      </c>
      <c r="C39" s="1227">
        <f t="shared" si="0"/>
        <v>0</v>
      </c>
      <c r="D39" s="1227">
        <f t="shared" si="0"/>
        <v>5.3332534467724568E-2</v>
      </c>
      <c r="E39" s="1227">
        <f t="shared" si="0"/>
        <v>0.56314080836659119</v>
      </c>
      <c r="F39" s="1227">
        <f t="shared" si="0"/>
        <v>28.112860983843973</v>
      </c>
      <c r="G39" s="1227">
        <f t="shared" si="0"/>
        <v>2.7249874194978922E-2</v>
      </c>
      <c r="H39" s="1227">
        <f t="shared" si="0"/>
        <v>10.254597776785726</v>
      </c>
      <c r="I39" s="1227">
        <f t="shared" si="0"/>
        <v>0.63350016310192414</v>
      </c>
      <c r="J39" s="1227">
        <f t="shared" si="0"/>
        <v>27.405488130401238</v>
      </c>
      <c r="K39" s="1227">
        <f t="shared" si="0"/>
        <v>1.6705113728697552</v>
      </c>
      <c r="L39" s="502"/>
      <c r="M39" s="503">
        <f t="shared" ref="M39:V39" si="1">M38/$V$38*100</f>
        <v>1.1857379052105599E-2</v>
      </c>
      <c r="N39" s="503">
        <f t="shared" si="1"/>
        <v>68.679206488616302</v>
      </c>
      <c r="O39" s="1228">
        <f t="shared" si="1"/>
        <v>68.732539023084044</v>
      </c>
      <c r="P39" s="1226">
        <f t="shared" si="1"/>
        <v>4.7986424155918534</v>
      </c>
      <c r="Q39" s="1227">
        <f t="shared" si="1"/>
        <v>12.232804037960667</v>
      </c>
      <c r="R39" s="1227">
        <f t="shared" si="1"/>
        <v>8.9901456606754451</v>
      </c>
      <c r="S39" s="1227">
        <f t="shared" si="1"/>
        <v>5.0373634651244155</v>
      </c>
      <c r="T39" s="1227">
        <f t="shared" si="1"/>
        <v>0.20850539756359535</v>
      </c>
      <c r="U39" s="504">
        <f t="shared" si="1"/>
        <v>31.267460976915974</v>
      </c>
      <c r="V39" s="1229">
        <f t="shared" si="1"/>
        <v>100</v>
      </c>
    </row>
    <row r="40" spans="1:22" s="1181" customFormat="1" ht="15" customHeight="1">
      <c r="A40" s="507"/>
      <c r="B40" s="1231" t="s">
        <v>873</v>
      </c>
      <c r="C40" s="466"/>
      <c r="D40" s="466"/>
      <c r="E40" s="466"/>
      <c r="F40" s="466"/>
      <c r="G40" s="466"/>
      <c r="H40" s="466"/>
      <c r="I40" s="466"/>
      <c r="J40" s="466"/>
      <c r="K40" s="466"/>
      <c r="L40" s="543"/>
      <c r="M40" s="1232" t="s">
        <v>874</v>
      </c>
      <c r="N40" s="466"/>
      <c r="O40" s="466"/>
      <c r="P40" s="466"/>
      <c r="Q40" s="510"/>
      <c r="R40" s="466"/>
      <c r="S40" s="511"/>
      <c r="T40" s="511"/>
      <c r="U40" s="511"/>
      <c r="V40" s="543"/>
    </row>
    <row r="41" spans="1:22" s="1181" customFormat="1" ht="15" customHeight="1">
      <c r="A41" s="1233"/>
      <c r="B41" s="1234"/>
      <c r="C41" s="1233"/>
      <c r="D41" s="1233"/>
      <c r="E41" s="1233"/>
      <c r="F41" s="1233"/>
      <c r="G41" s="1233"/>
      <c r="H41" s="1233"/>
      <c r="I41" s="1233"/>
      <c r="J41" s="1233"/>
      <c r="K41" s="1233"/>
      <c r="L41" s="1235"/>
      <c r="M41" s="1236"/>
      <c r="N41" s="1237"/>
      <c r="O41" s="1237"/>
      <c r="P41" s="1237"/>
      <c r="Q41" s="1238"/>
      <c r="R41" s="1239"/>
      <c r="S41" s="1238"/>
      <c r="T41" s="1238"/>
      <c r="U41" s="1238"/>
    </row>
    <row r="42" spans="1:22" s="1181" customFormat="1" ht="8.1" customHeight="1">
      <c r="A42" s="1240"/>
      <c r="B42" s="1241"/>
      <c r="C42" s="1233"/>
      <c r="D42" s="1233"/>
      <c r="E42" s="1233"/>
      <c r="F42" s="1233"/>
      <c r="G42" s="1233"/>
      <c r="H42" s="1233"/>
      <c r="I42" s="1233"/>
      <c r="J42" s="1233"/>
      <c r="K42" s="1233"/>
      <c r="L42" s="1235"/>
      <c r="M42" s="1237"/>
      <c r="N42" s="1237"/>
      <c r="O42" s="1237"/>
      <c r="P42" s="1237"/>
      <c r="Q42" s="1238"/>
      <c r="R42" s="1239"/>
      <c r="S42" s="1242"/>
      <c r="T42" s="1242"/>
      <c r="U42" s="1242"/>
    </row>
    <row r="43" spans="1:22" s="1244" customFormat="1" ht="12" customHeight="1">
      <c r="A43" s="1243"/>
      <c r="B43" s="1241"/>
      <c r="C43" s="1233"/>
      <c r="D43" s="1233"/>
      <c r="E43" s="1233"/>
      <c r="F43" s="1233"/>
      <c r="G43" s="1233"/>
      <c r="H43" s="1233"/>
      <c r="I43" s="1233"/>
      <c r="J43" s="1233"/>
      <c r="K43" s="1233"/>
      <c r="L43" s="1235"/>
      <c r="M43" s="1237"/>
      <c r="N43" s="1237"/>
      <c r="O43" s="1237"/>
      <c r="P43" s="1237"/>
      <c r="Q43" s="1238"/>
      <c r="R43" s="1239"/>
      <c r="S43" s="1242"/>
      <c r="T43" s="1242"/>
      <c r="U43" s="1242"/>
    </row>
    <row r="44" spans="1:22" s="1245" customFormat="1" ht="9.6" customHeight="1">
      <c r="C44" s="1246"/>
      <c r="E44" s="1246"/>
      <c r="G44" s="1246"/>
      <c r="H44" s="1247"/>
      <c r="I44" s="1246"/>
      <c r="K44" s="1248"/>
      <c r="L44" s="1249"/>
      <c r="M44" s="1181"/>
      <c r="N44" s="1181"/>
      <c r="O44" s="1181"/>
      <c r="P44" s="1181"/>
      <c r="Q44" s="1250"/>
      <c r="R44" s="1251"/>
      <c r="S44" s="1233"/>
      <c r="T44" s="1252"/>
      <c r="U44" s="1252"/>
    </row>
    <row r="45" spans="1:22" s="1245" customFormat="1" ht="15.75" customHeight="1">
      <c r="B45" s="1253"/>
      <c r="C45" s="1254"/>
      <c r="E45" s="1246"/>
      <c r="G45" s="1246"/>
      <c r="H45" s="1247"/>
      <c r="I45" s="1246"/>
      <c r="K45" s="1248"/>
      <c r="L45" s="1249"/>
      <c r="M45" s="1181"/>
      <c r="N45" s="1181"/>
      <c r="O45" s="1181"/>
      <c r="P45" s="1181"/>
      <c r="Q45" s="1251"/>
      <c r="R45" s="1255"/>
      <c r="S45" s="1256"/>
      <c r="T45" s="1257"/>
      <c r="U45" s="1257"/>
    </row>
    <row r="46" spans="1:22" ht="9.75" customHeight="1">
      <c r="B46" s="1253"/>
      <c r="D46" s="1254"/>
      <c r="K46" s="1248"/>
      <c r="L46" s="1249"/>
      <c r="M46" s="1245"/>
      <c r="N46" s="1245"/>
      <c r="O46" s="1245"/>
      <c r="P46" s="1245"/>
      <c r="Q46" s="1251"/>
      <c r="R46" s="1255"/>
      <c r="S46" s="1259"/>
      <c r="T46" s="1260"/>
      <c r="U46" s="1260"/>
    </row>
    <row r="47" spans="1:22" ht="14.25">
      <c r="B47" s="1261"/>
      <c r="H47" s="1262"/>
      <c r="L47" s="1249"/>
      <c r="M47" s="1245"/>
      <c r="N47" s="1245"/>
      <c r="O47" s="1245"/>
      <c r="P47" s="1245"/>
      <c r="Q47" s="1181"/>
      <c r="R47" s="1181"/>
      <c r="S47" s="1263"/>
      <c r="T47" s="1260"/>
      <c r="U47" s="1260"/>
    </row>
    <row r="48" spans="1:22">
      <c r="B48" s="1264"/>
      <c r="D48" s="1254"/>
      <c r="Q48" s="1181"/>
      <c r="R48" s="1181"/>
      <c r="T48" s="1260"/>
      <c r="U48" s="1260"/>
    </row>
    <row r="49" spans="2:21">
      <c r="B49" s="1261"/>
      <c r="Q49" s="1181"/>
      <c r="R49" s="1181"/>
      <c r="T49" s="1260"/>
      <c r="U49" s="1260"/>
    </row>
    <row r="50" spans="2:21">
      <c r="Q50" s="1244"/>
      <c r="R50" s="1244"/>
      <c r="T50" s="1260"/>
      <c r="U50" s="1260"/>
    </row>
    <row r="51" spans="2:21">
      <c r="L51" s="1244"/>
      <c r="T51" s="1260"/>
      <c r="U51" s="1260"/>
    </row>
    <row r="52" spans="2:21">
      <c r="T52" s="1260"/>
      <c r="U52" s="1260"/>
    </row>
    <row r="53" spans="2:21">
      <c r="T53" s="1260"/>
      <c r="U53" s="1260"/>
    </row>
    <row r="54" spans="2:21">
      <c r="T54" s="1260"/>
      <c r="U54" s="1260"/>
    </row>
    <row r="55" spans="2:21">
      <c r="T55" s="1260"/>
      <c r="U55" s="1260"/>
    </row>
    <row r="56" spans="2:21">
      <c r="T56" s="1260"/>
      <c r="U56" s="1260"/>
    </row>
    <row r="57" spans="2:21">
      <c r="T57" s="1260"/>
      <c r="U57" s="1260"/>
    </row>
    <row r="58" spans="2:21">
      <c r="I58" s="1265"/>
      <c r="T58" s="1260"/>
      <c r="U58" s="1260"/>
    </row>
    <row r="59" spans="2:21">
      <c r="M59" s="1181"/>
      <c r="N59" s="1266"/>
      <c r="O59" s="1266"/>
      <c r="P59" s="1266"/>
      <c r="T59" s="1260"/>
      <c r="U59" s="1260"/>
    </row>
    <row r="60" spans="2:21">
      <c r="M60" s="1181"/>
      <c r="N60" s="1181"/>
      <c r="O60" s="1181"/>
      <c r="P60" s="1181"/>
      <c r="T60" s="1260"/>
      <c r="U60" s="1260"/>
    </row>
    <row r="61" spans="2:21">
      <c r="M61" s="1267"/>
      <c r="N61" s="1267"/>
      <c r="O61" s="1267"/>
      <c r="P61" s="1267"/>
      <c r="T61" s="1260"/>
      <c r="U61" s="1260"/>
    </row>
    <row r="62" spans="2:21">
      <c r="M62" s="1268"/>
      <c r="N62" s="1267"/>
      <c r="O62" s="1267"/>
      <c r="P62" s="1267"/>
      <c r="T62" s="1260"/>
      <c r="U62" s="1260"/>
    </row>
    <row r="63" spans="2:21">
      <c r="M63" s="1267"/>
      <c r="N63" s="1267"/>
      <c r="O63" s="1267"/>
      <c r="P63" s="1267"/>
      <c r="T63" s="1260"/>
      <c r="U63" s="1260"/>
    </row>
    <row r="64" spans="2:21">
      <c r="M64" s="1268"/>
      <c r="N64" s="1260"/>
      <c r="O64" s="1260"/>
      <c r="P64" s="1260"/>
      <c r="T64" s="1260"/>
      <c r="U64" s="1260"/>
    </row>
    <row r="65" spans="13:21">
      <c r="M65" s="1260"/>
      <c r="N65" s="1260"/>
      <c r="O65" s="1260"/>
      <c r="P65" s="1260"/>
      <c r="T65" s="1260"/>
      <c r="U65" s="1260"/>
    </row>
    <row r="66" spans="13:21">
      <c r="M66" s="1260"/>
      <c r="N66" s="1260"/>
      <c r="O66" s="1260"/>
      <c r="P66" s="1260"/>
      <c r="T66" s="1260"/>
      <c r="U66" s="1260"/>
    </row>
    <row r="67" spans="13:21">
      <c r="M67" s="1260"/>
      <c r="N67" s="1260"/>
      <c r="O67" s="1260"/>
      <c r="P67" s="1260"/>
      <c r="T67" s="1260"/>
      <c r="U67" s="1260"/>
    </row>
    <row r="68" spans="13:21">
      <c r="M68" s="1260"/>
      <c r="N68" s="1260"/>
      <c r="O68" s="1260"/>
      <c r="P68" s="1260"/>
    </row>
    <row r="69" spans="13:21">
      <c r="M69" s="1269"/>
      <c r="N69" s="1260"/>
      <c r="O69" s="1260"/>
      <c r="P69" s="1260"/>
    </row>
    <row r="70" spans="13:21">
      <c r="M70" s="1270"/>
    </row>
    <row r="71" spans="13:21">
      <c r="M71" s="1270"/>
    </row>
    <row r="72" spans="13:21">
      <c r="M72" s="1270"/>
    </row>
    <row r="73" spans="13:21">
      <c r="M73" s="1270"/>
    </row>
    <row r="74" spans="13:21">
      <c r="M74" s="1271"/>
    </row>
  </sheetData>
  <mergeCells count="14">
    <mergeCell ref="O4:P4"/>
    <mergeCell ref="Q4:T4"/>
    <mergeCell ref="U4:V4"/>
    <mergeCell ref="B35:C35"/>
    <mergeCell ref="B36:D36"/>
    <mergeCell ref="E36:K36"/>
    <mergeCell ref="M36:N36"/>
    <mergeCell ref="P36:U36"/>
    <mergeCell ref="B4:C4"/>
    <mergeCell ref="D4:E4"/>
    <mergeCell ref="F4:G4"/>
    <mergeCell ref="H4:I4"/>
    <mergeCell ref="J4:K4"/>
    <mergeCell ref="M4:N4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/>
  <colBreaks count="1" manualBreakCount="1">
    <brk id="11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A37"/>
  <sheetViews>
    <sheetView view="pageBreakPreview" zoomScale="80" zoomScaleNormal="100" zoomScaleSheetLayoutView="80" workbookViewId="0"/>
  </sheetViews>
  <sheetFormatPr defaultColWidth="10" defaultRowHeight="13.5"/>
  <cols>
    <col min="1" max="1" width="12.5" style="313" customWidth="1"/>
    <col min="2" max="7" width="11.5" style="313" customWidth="1"/>
    <col min="8" max="8" width="12.125" style="313" customWidth="1"/>
    <col min="9" max="9" width="9.375" style="313" customWidth="1"/>
    <col min="10" max="11" width="10.25" style="313" customWidth="1"/>
    <col min="12" max="12" width="8.25" style="313" customWidth="1"/>
    <col min="13" max="13" width="9.375" style="313" customWidth="1"/>
    <col min="14" max="14" width="10.25" style="313" customWidth="1"/>
    <col min="15" max="16" width="8.25" style="313" customWidth="1"/>
    <col min="17" max="17" width="7.625" style="313" customWidth="1"/>
    <col min="18" max="18" width="11.625" style="313" customWidth="1"/>
    <col min="19" max="19" width="11.25" style="313" customWidth="1"/>
    <col min="20" max="25" width="11" style="313" customWidth="1"/>
    <col min="26" max="26" width="12.125" style="313" customWidth="1"/>
    <col min="27" max="33" width="12.75" style="313" customWidth="1"/>
    <col min="34" max="34" width="11.125" style="313" customWidth="1"/>
    <col min="35" max="40" width="11.75" style="313" customWidth="1"/>
    <col min="41" max="41" width="11.875" style="313" customWidth="1"/>
    <col min="42" max="44" width="11.625" style="313" customWidth="1"/>
    <col min="45" max="45" width="12.125" style="313" customWidth="1"/>
    <col min="46" max="47" width="11.625" style="313" customWidth="1"/>
    <col min="48" max="48" width="11.625" style="1347" customWidth="1"/>
    <col min="49" max="49" width="11.75" style="313" customWidth="1"/>
    <col min="50" max="50" width="11.875" style="313" customWidth="1"/>
    <col min="51" max="51" width="12" style="313" bestFit="1" customWidth="1"/>
    <col min="52" max="52" width="10.25" style="313" bestFit="1" customWidth="1"/>
    <col min="53" max="16384" width="10" style="313"/>
  </cols>
  <sheetData>
    <row r="1" spans="1:53" s="251" customFormat="1" ht="20.25" customHeight="1">
      <c r="A1" s="548" t="s">
        <v>875</v>
      </c>
      <c r="B1" s="1049"/>
      <c r="C1" s="249"/>
      <c r="D1" s="249"/>
      <c r="E1" s="249"/>
      <c r="F1" s="249"/>
      <c r="G1" s="249"/>
      <c r="H1" s="249"/>
      <c r="I1" s="1272"/>
      <c r="J1" s="1272"/>
      <c r="K1" s="249"/>
      <c r="L1" s="249"/>
      <c r="M1" s="249"/>
      <c r="N1" s="249"/>
      <c r="O1" s="249"/>
      <c r="P1" s="249"/>
      <c r="Q1" s="249"/>
      <c r="R1" s="249"/>
      <c r="S1" s="548" t="s">
        <v>876</v>
      </c>
      <c r="T1" s="937"/>
      <c r="U1" s="249"/>
      <c r="V1" s="249"/>
      <c r="W1" s="249"/>
      <c r="X1" s="250"/>
      <c r="Y1" s="250"/>
      <c r="Z1" s="250"/>
      <c r="AA1" s="249"/>
      <c r="AB1" s="249"/>
      <c r="AC1" s="249"/>
      <c r="AD1" s="249"/>
      <c r="AE1" s="249"/>
      <c r="AF1" s="249"/>
      <c r="AG1" s="249"/>
      <c r="AH1" s="548" t="s">
        <v>877</v>
      </c>
      <c r="AI1" s="549"/>
      <c r="AJ1" s="249"/>
      <c r="AK1" s="1273"/>
      <c r="AL1" s="249"/>
      <c r="AM1" s="249"/>
      <c r="AN1" s="249"/>
      <c r="AO1" s="249"/>
      <c r="AP1" s="1272"/>
      <c r="AQ1" s="249"/>
      <c r="AR1" s="249"/>
      <c r="AS1" s="629"/>
      <c r="AT1" s="629"/>
      <c r="AU1" s="629"/>
      <c r="AV1" s="1274"/>
      <c r="AW1" s="249"/>
      <c r="AX1" s="1275"/>
    </row>
    <row r="2" spans="1:53" s="254" customFormat="1" ht="17.25">
      <c r="A2" s="252" t="s">
        <v>878</v>
      </c>
      <c r="B2" s="252"/>
      <c r="C2" s="252"/>
      <c r="D2" s="252"/>
      <c r="E2" s="252"/>
      <c r="F2" s="252"/>
      <c r="G2" s="252"/>
      <c r="H2" s="252"/>
      <c r="I2" s="1272"/>
      <c r="J2" s="252"/>
      <c r="K2" s="252"/>
      <c r="L2" s="252"/>
      <c r="M2" s="252"/>
      <c r="N2" s="252"/>
      <c r="O2" s="252"/>
      <c r="P2" s="252"/>
      <c r="Q2" s="252"/>
      <c r="R2" s="252"/>
      <c r="S2" s="252" t="s">
        <v>879</v>
      </c>
      <c r="T2" s="252"/>
      <c r="U2" s="252"/>
      <c r="V2" s="252"/>
      <c r="W2" s="252"/>
      <c r="X2" s="250"/>
      <c r="Y2" s="250"/>
      <c r="Z2" s="250"/>
      <c r="AA2" s="252"/>
      <c r="AB2" s="252"/>
      <c r="AC2" s="252"/>
      <c r="AD2" s="252"/>
      <c r="AE2" s="252"/>
      <c r="AF2" s="252"/>
      <c r="AG2" s="252"/>
      <c r="AH2" s="252" t="s">
        <v>880</v>
      </c>
      <c r="AI2" s="252"/>
      <c r="AJ2" s="250"/>
      <c r="AK2" s="252"/>
      <c r="AL2" s="252"/>
      <c r="AM2" s="252"/>
      <c r="AN2" s="252"/>
      <c r="AO2" s="1276"/>
      <c r="AP2" s="252"/>
      <c r="AQ2" s="252"/>
      <c r="AR2" s="252"/>
      <c r="AS2" s="629"/>
      <c r="AT2" s="629"/>
      <c r="AU2" s="629"/>
      <c r="AV2" s="1277"/>
      <c r="AW2" s="252"/>
      <c r="AX2" s="1275"/>
    </row>
    <row r="3" spans="1:53" s="251" customFormat="1" ht="15" customHeight="1">
      <c r="A3" s="249"/>
      <c r="B3" s="1278"/>
      <c r="C3" s="1279"/>
      <c r="D3" s="250"/>
      <c r="E3" s="250"/>
      <c r="F3" s="250"/>
      <c r="G3" s="250"/>
      <c r="H3" s="1279"/>
      <c r="I3" s="250"/>
      <c r="J3" s="250"/>
      <c r="K3" s="250"/>
      <c r="L3" s="250"/>
      <c r="M3" s="1280"/>
      <c r="N3" s="250"/>
      <c r="O3" s="250"/>
      <c r="P3" s="250"/>
      <c r="Q3" s="250"/>
      <c r="R3" s="1141" t="s">
        <v>881</v>
      </c>
      <c r="S3" s="250"/>
      <c r="T3" s="250"/>
      <c r="U3" s="249"/>
      <c r="V3" s="250"/>
      <c r="W3" s="250"/>
      <c r="X3" s="249"/>
      <c r="Y3" s="258"/>
      <c r="Z3" s="250"/>
      <c r="AA3" s="249"/>
      <c r="AB3" s="249"/>
      <c r="AC3" s="258"/>
      <c r="AD3" s="249"/>
      <c r="AE3" s="249"/>
      <c r="AF3" s="249"/>
      <c r="AG3" s="1141" t="s">
        <v>881</v>
      </c>
      <c r="AH3" s="1281"/>
      <c r="AI3" s="249"/>
      <c r="AJ3" s="249"/>
      <c r="AK3" s="249"/>
      <c r="AL3" s="249"/>
      <c r="AM3" s="249"/>
      <c r="AN3" s="249"/>
      <c r="AO3" s="249"/>
      <c r="AP3" s="249"/>
      <c r="AQ3" s="258"/>
      <c r="AR3" s="258"/>
      <c r="AS3" s="249"/>
      <c r="AT3" s="249"/>
      <c r="AU3" s="249"/>
      <c r="AV3" s="1274"/>
      <c r="AW3" s="1141" t="s">
        <v>881</v>
      </c>
      <c r="AX3" s="1275"/>
    </row>
    <row r="4" spans="1:53" s="1046" customFormat="1" ht="23.1" customHeight="1">
      <c r="A4" s="2967" t="s">
        <v>65</v>
      </c>
      <c r="B4" s="2969" t="s">
        <v>882</v>
      </c>
      <c r="C4" s="2970"/>
      <c r="D4" s="2970"/>
      <c r="E4" s="2970"/>
      <c r="F4" s="2970"/>
      <c r="G4" s="2970"/>
      <c r="H4" s="2971"/>
      <c r="I4" s="2969" t="s">
        <v>460</v>
      </c>
      <c r="J4" s="2970"/>
      <c r="K4" s="2970"/>
      <c r="L4" s="2970"/>
      <c r="M4" s="2970"/>
      <c r="N4" s="2970"/>
      <c r="O4" s="2970"/>
      <c r="P4" s="2970"/>
      <c r="Q4" s="2970"/>
      <c r="R4" s="2971"/>
      <c r="S4" s="2967" t="s">
        <v>65</v>
      </c>
      <c r="T4" s="2969" t="s">
        <v>883</v>
      </c>
      <c r="U4" s="2970"/>
      <c r="V4" s="2970"/>
      <c r="W4" s="2970"/>
      <c r="X4" s="2970"/>
      <c r="Y4" s="2970"/>
      <c r="Z4" s="2971"/>
      <c r="AA4" s="2969" t="s">
        <v>884</v>
      </c>
      <c r="AB4" s="2970"/>
      <c r="AC4" s="2970"/>
      <c r="AD4" s="2970"/>
      <c r="AE4" s="2970"/>
      <c r="AF4" s="2970"/>
      <c r="AG4" s="2971"/>
      <c r="AH4" s="2967" t="s">
        <v>65</v>
      </c>
      <c r="AI4" s="2969" t="s">
        <v>885</v>
      </c>
      <c r="AJ4" s="2970"/>
      <c r="AK4" s="2970"/>
      <c r="AL4" s="2970"/>
      <c r="AM4" s="2970"/>
      <c r="AN4" s="2970"/>
      <c r="AO4" s="2971"/>
      <c r="AP4" s="2969" t="s">
        <v>886</v>
      </c>
      <c r="AQ4" s="2970"/>
      <c r="AR4" s="2970"/>
      <c r="AS4" s="2971"/>
      <c r="AT4" s="2972" t="s">
        <v>468</v>
      </c>
      <c r="AU4" s="2973"/>
      <c r="AV4" s="2974"/>
      <c r="AW4" s="1282" t="s">
        <v>887</v>
      </c>
      <c r="AX4" s="1283"/>
      <c r="AY4" s="1284"/>
      <c r="AZ4" s="1284"/>
      <c r="BA4" s="1284"/>
    </row>
    <row r="5" spans="1:53" s="1291" customFormat="1" ht="23.1" customHeight="1">
      <c r="A5" s="2968"/>
      <c r="B5" s="1285" t="s">
        <v>888</v>
      </c>
      <c r="C5" s="1038" t="s">
        <v>128</v>
      </c>
      <c r="D5" s="1038" t="s">
        <v>127</v>
      </c>
      <c r="E5" s="1038" t="s">
        <v>120</v>
      </c>
      <c r="F5" s="1038" t="s">
        <v>470</v>
      </c>
      <c r="G5" s="1038" t="s">
        <v>471</v>
      </c>
      <c r="H5" s="1040" t="s">
        <v>161</v>
      </c>
      <c r="I5" s="1285" t="s">
        <v>888</v>
      </c>
      <c r="J5" s="1286" t="s">
        <v>128</v>
      </c>
      <c r="K5" s="1287" t="s">
        <v>127</v>
      </c>
      <c r="L5" s="1038" t="s">
        <v>120</v>
      </c>
      <c r="M5" s="1038" t="s">
        <v>475</v>
      </c>
      <c r="N5" s="1038" t="s">
        <v>470</v>
      </c>
      <c r="O5" s="1038" t="s">
        <v>473</v>
      </c>
      <c r="P5" s="1038" t="s">
        <v>471</v>
      </c>
      <c r="Q5" s="1287" t="s">
        <v>474</v>
      </c>
      <c r="R5" s="1040" t="s">
        <v>161</v>
      </c>
      <c r="S5" s="2968"/>
      <c r="T5" s="1285" t="s">
        <v>888</v>
      </c>
      <c r="U5" s="1038" t="s">
        <v>127</v>
      </c>
      <c r="V5" s="1287" t="s">
        <v>120</v>
      </c>
      <c r="W5" s="1038" t="s">
        <v>475</v>
      </c>
      <c r="X5" s="1038" t="s">
        <v>470</v>
      </c>
      <c r="Y5" s="1038" t="s">
        <v>471</v>
      </c>
      <c r="Z5" s="1040" t="s">
        <v>161</v>
      </c>
      <c r="AA5" s="1285" t="s">
        <v>888</v>
      </c>
      <c r="AB5" s="1038" t="s">
        <v>118</v>
      </c>
      <c r="AC5" s="1038" t="s">
        <v>120</v>
      </c>
      <c r="AD5" s="1038" t="s">
        <v>470</v>
      </c>
      <c r="AE5" s="1038" t="s">
        <v>889</v>
      </c>
      <c r="AF5" s="1038" t="s">
        <v>471</v>
      </c>
      <c r="AG5" s="1040" t="s">
        <v>161</v>
      </c>
      <c r="AH5" s="2968"/>
      <c r="AI5" s="1285" t="s">
        <v>888</v>
      </c>
      <c r="AJ5" s="1038" t="s">
        <v>128</v>
      </c>
      <c r="AK5" s="1038" t="s">
        <v>127</v>
      </c>
      <c r="AL5" s="1038" t="s">
        <v>120</v>
      </c>
      <c r="AM5" s="1038" t="s">
        <v>470</v>
      </c>
      <c r="AN5" s="1038" t="s">
        <v>471</v>
      </c>
      <c r="AO5" s="1040" t="s">
        <v>161</v>
      </c>
      <c r="AP5" s="1288" t="s">
        <v>130</v>
      </c>
      <c r="AQ5" s="1038" t="s">
        <v>13</v>
      </c>
      <c r="AR5" s="1038" t="s">
        <v>471</v>
      </c>
      <c r="AS5" s="1287" t="s">
        <v>161</v>
      </c>
      <c r="AT5" s="1285" t="s">
        <v>162</v>
      </c>
      <c r="AU5" s="1289" t="s">
        <v>478</v>
      </c>
      <c r="AV5" s="1040" t="s">
        <v>471</v>
      </c>
      <c r="AW5" s="1290" t="s">
        <v>161</v>
      </c>
      <c r="AX5" s="1284"/>
      <c r="AY5" s="1284"/>
      <c r="AZ5" s="1284"/>
      <c r="BA5" s="1284"/>
    </row>
    <row r="6" spans="1:53" s="1299" customFormat="1" ht="24.95" customHeight="1">
      <c r="A6" s="1292">
        <v>2011</v>
      </c>
      <c r="B6" s="1293">
        <v>46.042000000000002</v>
      </c>
      <c r="C6" s="1294">
        <v>2514.777</v>
      </c>
      <c r="D6" s="1294">
        <v>53439.165999999997</v>
      </c>
      <c r="E6" s="1294">
        <v>1325.6949999999999</v>
      </c>
      <c r="F6" s="1294">
        <v>3821.2640000000001</v>
      </c>
      <c r="G6" s="1295">
        <v>0</v>
      </c>
      <c r="H6" s="1296">
        <v>61146.944000000003</v>
      </c>
      <c r="I6" s="1293">
        <v>20.655999999999999</v>
      </c>
      <c r="J6" s="1294">
        <v>3018.9009999999998</v>
      </c>
      <c r="K6" s="1294">
        <v>33309.057000000001</v>
      </c>
      <c r="L6" s="1294">
        <v>744.24699999999996</v>
      </c>
      <c r="M6" s="1294">
        <v>2232.6179999999999</v>
      </c>
      <c r="N6" s="1294">
        <v>13997.094999999999</v>
      </c>
      <c r="O6" s="1294">
        <v>495.01499999999999</v>
      </c>
      <c r="P6" s="1295">
        <v>0</v>
      </c>
      <c r="Q6" s="1295" t="s">
        <v>171</v>
      </c>
      <c r="R6" s="1296">
        <v>53817.589</v>
      </c>
      <c r="S6" s="1297">
        <v>2011</v>
      </c>
      <c r="T6" s="1293">
        <v>4.1470000000000002</v>
      </c>
      <c r="U6" s="1294">
        <v>33725.148999999998</v>
      </c>
      <c r="V6" s="1294">
        <v>2613.0729999999999</v>
      </c>
      <c r="W6" s="1294" t="s">
        <v>171</v>
      </c>
      <c r="X6" s="1294">
        <v>18472.431</v>
      </c>
      <c r="Y6" s="1295">
        <v>0</v>
      </c>
      <c r="Z6" s="1296">
        <v>54814.800999999999</v>
      </c>
      <c r="AA6" s="1293">
        <v>0.104</v>
      </c>
      <c r="AB6" s="1295">
        <v>33550.373</v>
      </c>
      <c r="AC6" s="1294">
        <v>2001.8620000000001</v>
      </c>
      <c r="AD6" s="1294">
        <v>24781.435000000001</v>
      </c>
      <c r="AE6" s="1294">
        <v>0</v>
      </c>
      <c r="AF6" s="1295">
        <v>0</v>
      </c>
      <c r="AG6" s="1296">
        <v>60333.773999999998</v>
      </c>
      <c r="AH6" s="1297">
        <v>2011</v>
      </c>
      <c r="AI6" s="1293">
        <v>30.271000000000001</v>
      </c>
      <c r="AJ6" s="1294">
        <v>2970.3040000000001</v>
      </c>
      <c r="AK6" s="1294">
        <v>36988.118000000002</v>
      </c>
      <c r="AL6" s="1294">
        <v>3052.7550000000001</v>
      </c>
      <c r="AM6" s="1294">
        <v>10595.861000000001</v>
      </c>
      <c r="AN6" s="1295">
        <v>0</v>
      </c>
      <c r="AO6" s="1296">
        <v>53637.309000000001</v>
      </c>
      <c r="AP6" s="1293">
        <v>4713.7539999999999</v>
      </c>
      <c r="AQ6" s="1294">
        <v>154723.10699999999</v>
      </c>
      <c r="AR6" s="1295">
        <v>0</v>
      </c>
      <c r="AS6" s="1298">
        <v>159436.85999999999</v>
      </c>
      <c r="AT6" s="1293" t="s">
        <v>171</v>
      </c>
      <c r="AU6" s="1294">
        <v>221.94499999999999</v>
      </c>
      <c r="AV6" s="1296">
        <v>0</v>
      </c>
      <c r="AW6" s="1296">
        <v>53484.142</v>
      </c>
      <c r="AX6" s="1283"/>
    </row>
    <row r="7" spans="1:53" s="1299" customFormat="1" ht="24.95" customHeight="1">
      <c r="A7" s="1292">
        <v>2012</v>
      </c>
      <c r="B7" s="1293">
        <v>55.41</v>
      </c>
      <c r="C7" s="1294">
        <v>2628.9520000000002</v>
      </c>
      <c r="D7" s="1294">
        <v>55948.31</v>
      </c>
      <c r="E7" s="1294">
        <v>181.38</v>
      </c>
      <c r="F7" s="1294">
        <v>4557.7690000000002</v>
      </c>
      <c r="G7" s="1294">
        <v>43.069000000000003</v>
      </c>
      <c r="H7" s="1296">
        <v>63414.889000000003</v>
      </c>
      <c r="I7" s="1293">
        <v>12.141999999999999</v>
      </c>
      <c r="J7" s="1294">
        <v>3038.578</v>
      </c>
      <c r="K7" s="1294">
        <v>31140.932000000001</v>
      </c>
      <c r="L7" s="1294">
        <v>901.42700000000002</v>
      </c>
      <c r="M7" s="1294">
        <v>3452.866</v>
      </c>
      <c r="N7" s="1294">
        <v>13342.591</v>
      </c>
      <c r="O7" s="1294">
        <v>474.15899999999999</v>
      </c>
      <c r="P7" s="1294">
        <v>14.301</v>
      </c>
      <c r="Q7" s="1295" t="s">
        <v>171</v>
      </c>
      <c r="R7" s="1296">
        <v>52376.995000000003</v>
      </c>
      <c r="S7" s="1297">
        <v>2012</v>
      </c>
      <c r="T7" s="1293">
        <v>4.399</v>
      </c>
      <c r="U7" s="1294">
        <v>32737.005000000001</v>
      </c>
      <c r="V7" s="1294">
        <v>3604.5889999999999</v>
      </c>
      <c r="W7" s="1294" t="s">
        <v>171</v>
      </c>
      <c r="X7" s="1294">
        <v>19736.949000000001</v>
      </c>
      <c r="Y7" s="1294">
        <v>7.6660000000000004</v>
      </c>
      <c r="Z7" s="1296">
        <v>56090.607000000004</v>
      </c>
      <c r="AA7" s="1293">
        <v>8.5999999999999993E-2</v>
      </c>
      <c r="AB7" s="1295">
        <v>33611.699000000001</v>
      </c>
      <c r="AC7" s="1294">
        <v>2668.3560000000002</v>
      </c>
      <c r="AD7" s="1294">
        <v>27015.444</v>
      </c>
      <c r="AE7" s="1294">
        <v>0</v>
      </c>
      <c r="AF7" s="1294">
        <v>85.072999999999993</v>
      </c>
      <c r="AG7" s="1296">
        <v>63380.659</v>
      </c>
      <c r="AH7" s="1297">
        <v>2012</v>
      </c>
      <c r="AI7" s="1293">
        <v>28.478000000000002</v>
      </c>
      <c r="AJ7" s="1294">
        <v>3100.232</v>
      </c>
      <c r="AK7" s="1294">
        <v>37124.012000000002</v>
      </c>
      <c r="AL7" s="1294">
        <v>6368.17</v>
      </c>
      <c r="AM7" s="1294">
        <v>10977.781999999999</v>
      </c>
      <c r="AN7" s="1294">
        <v>42.344000000000001</v>
      </c>
      <c r="AO7" s="1296">
        <v>57641.016000000003</v>
      </c>
      <c r="AP7" s="1293">
        <v>5029.1279999999997</v>
      </c>
      <c r="AQ7" s="1294">
        <v>150327.29300000001</v>
      </c>
      <c r="AR7" s="1294">
        <v>5.3970000000000002</v>
      </c>
      <c r="AS7" s="1298">
        <v>155361.818</v>
      </c>
      <c r="AT7" s="1293" t="s">
        <v>171</v>
      </c>
      <c r="AU7" s="1294">
        <v>233.172</v>
      </c>
      <c r="AV7" s="1296">
        <v>0</v>
      </c>
      <c r="AW7" s="1296">
        <v>61063.211000000003</v>
      </c>
      <c r="AX7" s="1283"/>
    </row>
    <row r="8" spans="1:53" s="1299" customFormat="1" ht="24.95" customHeight="1">
      <c r="A8" s="1292">
        <v>2013</v>
      </c>
      <c r="B8" s="1293">
        <v>57.085000000000001</v>
      </c>
      <c r="C8" s="1294">
        <v>2386.636</v>
      </c>
      <c r="D8" s="1294">
        <v>55719.498</v>
      </c>
      <c r="E8" s="1294">
        <v>0</v>
      </c>
      <c r="F8" s="1294">
        <v>4208.7669999999998</v>
      </c>
      <c r="G8" s="1294">
        <v>73.751999999999995</v>
      </c>
      <c r="H8" s="1296">
        <v>62445.737999999998</v>
      </c>
      <c r="I8" s="1293">
        <v>18.853999999999999</v>
      </c>
      <c r="J8" s="1294">
        <v>2923.1550000000002</v>
      </c>
      <c r="K8" s="1294">
        <v>33270.624000000003</v>
      </c>
      <c r="L8" s="1294">
        <v>951.12800000000004</v>
      </c>
      <c r="M8" s="1294">
        <v>3525.8890000000001</v>
      </c>
      <c r="N8" s="1294">
        <v>17272.375</v>
      </c>
      <c r="O8" s="1294">
        <v>485.79500000000002</v>
      </c>
      <c r="P8" s="1294">
        <v>16.559000000000001</v>
      </c>
      <c r="Q8" s="1295" t="s">
        <v>171</v>
      </c>
      <c r="R8" s="1296">
        <v>58464.379000000001</v>
      </c>
      <c r="S8" s="1297">
        <v>2013</v>
      </c>
      <c r="T8" s="1293">
        <v>4.1749999999999998</v>
      </c>
      <c r="U8" s="1294">
        <v>33883.991999999998</v>
      </c>
      <c r="V8" s="1294">
        <v>3677.0569999999998</v>
      </c>
      <c r="W8" s="1294" t="s">
        <v>171</v>
      </c>
      <c r="X8" s="1294">
        <v>20479.723000000002</v>
      </c>
      <c r="Y8" s="1294">
        <v>26.893000000000001</v>
      </c>
      <c r="Z8" s="1296">
        <v>58071.839999999997</v>
      </c>
      <c r="AA8" s="1293">
        <v>4.3999999999999997E-2</v>
      </c>
      <c r="AB8" s="1295">
        <v>33274.832000000002</v>
      </c>
      <c r="AC8" s="1294">
        <v>2488.9229999999998</v>
      </c>
      <c r="AD8" s="1294">
        <v>32230.273000000001</v>
      </c>
      <c r="AE8" s="1294">
        <v>0</v>
      </c>
      <c r="AF8" s="1294">
        <v>112.565</v>
      </c>
      <c r="AG8" s="1296">
        <v>68106.638000000006</v>
      </c>
      <c r="AH8" s="1297">
        <v>2013</v>
      </c>
      <c r="AI8" s="1293">
        <v>27.460999999999999</v>
      </c>
      <c r="AJ8" s="1294">
        <v>2744.6979999999999</v>
      </c>
      <c r="AK8" s="1294">
        <v>36915.398999999998</v>
      </c>
      <c r="AL8" s="1294">
        <v>6835.808</v>
      </c>
      <c r="AM8" s="1294">
        <v>10369.628000000001</v>
      </c>
      <c r="AN8" s="1294">
        <v>154.04300000000001</v>
      </c>
      <c r="AO8" s="1296">
        <v>57047.038</v>
      </c>
      <c r="AP8" s="1293">
        <v>5567.8980000000001</v>
      </c>
      <c r="AQ8" s="1294">
        <v>138783.90100000001</v>
      </c>
      <c r="AR8" s="1294">
        <v>21.923999999999999</v>
      </c>
      <c r="AS8" s="1298">
        <v>144373.723</v>
      </c>
      <c r="AT8" s="1293" t="s">
        <v>171</v>
      </c>
      <c r="AU8" s="1294">
        <v>247.23099999999999</v>
      </c>
      <c r="AV8" s="1296">
        <v>0</v>
      </c>
      <c r="AW8" s="1296">
        <v>68391.183000000005</v>
      </c>
      <c r="AX8" s="1283"/>
    </row>
    <row r="9" spans="1:53" s="1299" customFormat="1" ht="24.95" customHeight="1">
      <c r="A9" s="1292">
        <v>2014</v>
      </c>
      <c r="B9" s="1293">
        <v>66.341999999999999</v>
      </c>
      <c r="C9" s="1294">
        <v>2528.75</v>
      </c>
      <c r="D9" s="1294">
        <v>62103.972000000002</v>
      </c>
      <c r="E9" s="1294">
        <v>0</v>
      </c>
      <c r="F9" s="1294">
        <v>2649.6260000000002</v>
      </c>
      <c r="G9" s="1294">
        <v>86.153000000000006</v>
      </c>
      <c r="H9" s="1296">
        <v>67434.842999999993</v>
      </c>
      <c r="I9" s="1293">
        <v>17.678999999999998</v>
      </c>
      <c r="J9" s="1294">
        <v>2787.7240000000002</v>
      </c>
      <c r="K9" s="1294">
        <v>33380.192999999999</v>
      </c>
      <c r="L9" s="1294">
        <v>823.94399999999996</v>
      </c>
      <c r="M9" s="1294">
        <v>568.12300000000005</v>
      </c>
      <c r="N9" s="1294">
        <v>14615.418</v>
      </c>
      <c r="O9" s="1294">
        <v>414.10300000000001</v>
      </c>
      <c r="P9" s="1294">
        <v>15.891999999999999</v>
      </c>
      <c r="Q9" s="1295" t="s">
        <v>171</v>
      </c>
      <c r="R9" s="1296">
        <v>52623.076999999997</v>
      </c>
      <c r="S9" s="1297">
        <v>2014</v>
      </c>
      <c r="T9" s="1293">
        <v>4.359</v>
      </c>
      <c r="U9" s="1294">
        <v>32715.522000000001</v>
      </c>
      <c r="V9" s="1294">
        <v>1943.2909999999999</v>
      </c>
      <c r="W9" s="1294" t="s">
        <v>171</v>
      </c>
      <c r="X9" s="1294">
        <v>15558.026</v>
      </c>
      <c r="Y9" s="1300">
        <v>60.908999999999999</v>
      </c>
      <c r="Z9" s="1296">
        <v>50282.106</v>
      </c>
      <c r="AA9" s="1293">
        <v>2.5999999999999999E-2</v>
      </c>
      <c r="AB9" s="1295">
        <v>31469.154999999999</v>
      </c>
      <c r="AC9" s="1294">
        <v>1378.259</v>
      </c>
      <c r="AD9" s="1294">
        <v>26019.1</v>
      </c>
      <c r="AE9" s="1294">
        <v>0</v>
      </c>
      <c r="AF9" s="1294">
        <v>102.717</v>
      </c>
      <c r="AG9" s="1296">
        <v>58969.256999999998</v>
      </c>
      <c r="AH9" s="1297">
        <v>2014</v>
      </c>
      <c r="AI9" s="1293">
        <v>25.574999999999999</v>
      </c>
      <c r="AJ9" s="1294">
        <v>3189.585</v>
      </c>
      <c r="AK9" s="1294">
        <v>35590.49</v>
      </c>
      <c r="AL9" s="1294">
        <v>2692.9650000000001</v>
      </c>
      <c r="AM9" s="1294">
        <v>9290.1919999999991</v>
      </c>
      <c r="AN9" s="1294">
        <v>282.21499999999997</v>
      </c>
      <c r="AO9" s="1296">
        <v>51071.021999999997</v>
      </c>
      <c r="AP9" s="1293">
        <v>5858.5290000000005</v>
      </c>
      <c r="AQ9" s="1294">
        <v>156406.14300000001</v>
      </c>
      <c r="AR9" s="1294">
        <v>22.414000000000001</v>
      </c>
      <c r="AS9" s="1298">
        <v>162287.08600000001</v>
      </c>
      <c r="AT9" s="1293" t="s">
        <v>171</v>
      </c>
      <c r="AU9" s="1294">
        <v>245.53100000000001</v>
      </c>
      <c r="AV9" s="1296">
        <v>0</v>
      </c>
      <c r="AW9" s="1296">
        <v>79056.445999999996</v>
      </c>
      <c r="AX9" s="1283"/>
    </row>
    <row r="10" spans="1:53" s="1299" customFormat="1" ht="24.95" customHeight="1">
      <c r="A10" s="1292">
        <v>2015</v>
      </c>
      <c r="B10" s="1293">
        <v>72.599999999999994</v>
      </c>
      <c r="C10" s="1294">
        <v>2378.4679999999998</v>
      </c>
      <c r="D10" s="1294">
        <v>66531.301999999996</v>
      </c>
      <c r="E10" s="1294">
        <v>0</v>
      </c>
      <c r="F10" s="1294">
        <v>1897.6410000000001</v>
      </c>
      <c r="G10" s="1300">
        <v>108.989</v>
      </c>
      <c r="H10" s="1296">
        <v>70989</v>
      </c>
      <c r="I10" s="1293">
        <v>19.416</v>
      </c>
      <c r="J10" s="1294">
        <v>2527.27</v>
      </c>
      <c r="K10" s="1294">
        <v>32259.079000000002</v>
      </c>
      <c r="L10" s="1294">
        <v>796.59299999999996</v>
      </c>
      <c r="M10" s="1294">
        <v>222.47200000000001</v>
      </c>
      <c r="N10" s="1294">
        <v>9839.0509999999995</v>
      </c>
      <c r="O10" s="1294">
        <v>401.20299999999997</v>
      </c>
      <c r="P10" s="1300">
        <v>24.335000000000001</v>
      </c>
      <c r="Q10" s="1295" t="s">
        <v>171</v>
      </c>
      <c r="R10" s="1296">
        <v>46089.419000000002</v>
      </c>
      <c r="S10" s="1297">
        <v>2015</v>
      </c>
      <c r="T10" s="1293">
        <v>4.4390000000000001</v>
      </c>
      <c r="U10" s="1294">
        <v>32462.137999999999</v>
      </c>
      <c r="V10" s="1294">
        <v>3578.1619999999998</v>
      </c>
      <c r="W10" s="1294" t="s">
        <v>171</v>
      </c>
      <c r="X10" s="1294">
        <v>11923.366</v>
      </c>
      <c r="Y10" s="1300">
        <v>121.565</v>
      </c>
      <c r="Z10" s="1296">
        <v>48089.671000000002</v>
      </c>
      <c r="AA10" s="1293">
        <v>4.9000000000000002E-2</v>
      </c>
      <c r="AB10" s="1295">
        <v>31911.609</v>
      </c>
      <c r="AC10" s="1294">
        <v>1333.203</v>
      </c>
      <c r="AD10" s="1294">
        <v>15389.791999999999</v>
      </c>
      <c r="AE10" s="1294">
        <v>0</v>
      </c>
      <c r="AF10" s="1294">
        <v>93.165999999999997</v>
      </c>
      <c r="AG10" s="1296">
        <v>48727.819000000003</v>
      </c>
      <c r="AH10" s="1297">
        <v>2015</v>
      </c>
      <c r="AI10" s="1293">
        <v>32.335000000000001</v>
      </c>
      <c r="AJ10" s="1294">
        <v>2532.5300000000002</v>
      </c>
      <c r="AK10" s="1294">
        <v>36731.296000000002</v>
      </c>
      <c r="AL10" s="1294">
        <v>3114.047</v>
      </c>
      <c r="AM10" s="1294">
        <v>6873.018</v>
      </c>
      <c r="AN10" s="1294">
        <v>254.619</v>
      </c>
      <c r="AO10" s="1296">
        <v>49537.845000000001</v>
      </c>
      <c r="AP10" s="1293">
        <v>4295.4430000000002</v>
      </c>
      <c r="AQ10" s="1294">
        <v>164762.416</v>
      </c>
      <c r="AR10" s="1294">
        <v>21.76</v>
      </c>
      <c r="AS10" s="1298">
        <v>169079.61900000001</v>
      </c>
      <c r="AT10" s="1293" t="s">
        <v>171</v>
      </c>
      <c r="AU10" s="1294">
        <v>245.39599999999999</v>
      </c>
      <c r="AV10" s="1296">
        <v>0</v>
      </c>
      <c r="AW10" s="1296">
        <v>95332.01</v>
      </c>
      <c r="AX10" s="1283"/>
    </row>
    <row r="11" spans="1:53" s="1299" customFormat="1" ht="24.95" customHeight="1">
      <c r="A11" s="1292">
        <v>2016</v>
      </c>
      <c r="B11" s="1293">
        <v>74.054000000000002</v>
      </c>
      <c r="C11" s="1294">
        <v>2102.002</v>
      </c>
      <c r="D11" s="1294">
        <v>67215.070999999996</v>
      </c>
      <c r="E11" s="1294" t="s">
        <v>171</v>
      </c>
      <c r="F11" s="1294">
        <v>2188.9360000000001</v>
      </c>
      <c r="G11" s="1300">
        <v>116.35</v>
      </c>
      <c r="H11" s="1296">
        <v>71696.413</v>
      </c>
      <c r="I11" s="1293">
        <v>20.439</v>
      </c>
      <c r="J11" s="1294">
        <v>2733.8249999999998</v>
      </c>
      <c r="K11" s="1294">
        <v>31415.306</v>
      </c>
      <c r="L11" s="1294">
        <v>790.37300000000005</v>
      </c>
      <c r="M11" s="1294">
        <v>368.541</v>
      </c>
      <c r="N11" s="1294">
        <v>9428.0630000000001</v>
      </c>
      <c r="O11" s="1294">
        <v>323.666</v>
      </c>
      <c r="P11" s="1300">
        <v>72.16</v>
      </c>
      <c r="Q11" s="1295" t="s">
        <v>171</v>
      </c>
      <c r="R11" s="1296">
        <v>45152.374000000003</v>
      </c>
      <c r="S11" s="1297">
        <v>2016</v>
      </c>
      <c r="T11" s="1293">
        <v>3.601</v>
      </c>
      <c r="U11" s="1294">
        <v>32984.152999999998</v>
      </c>
      <c r="V11" s="1294">
        <v>5186.616</v>
      </c>
      <c r="W11" s="1294" t="s">
        <v>171</v>
      </c>
      <c r="X11" s="1294">
        <v>11778.402</v>
      </c>
      <c r="Y11" s="1300">
        <v>523.47799999999995</v>
      </c>
      <c r="Z11" s="1296">
        <v>50476.25</v>
      </c>
      <c r="AA11" s="1293">
        <v>2.1000000000000001E-2</v>
      </c>
      <c r="AB11" s="1295">
        <v>32791.167000000001</v>
      </c>
      <c r="AC11" s="1294">
        <v>1347.9680000000001</v>
      </c>
      <c r="AD11" s="1294">
        <v>15786.338</v>
      </c>
      <c r="AE11" s="1294" t="s">
        <v>171</v>
      </c>
      <c r="AF11" s="1294">
        <v>96.926000000000002</v>
      </c>
      <c r="AG11" s="1296">
        <v>50022.421000000002</v>
      </c>
      <c r="AH11" s="1297">
        <v>2016</v>
      </c>
      <c r="AI11" s="1293">
        <v>24.678000000000001</v>
      </c>
      <c r="AJ11" s="1294">
        <v>2924.8539999999998</v>
      </c>
      <c r="AK11" s="1294">
        <v>35745.790999999997</v>
      </c>
      <c r="AL11" s="1294">
        <v>5729.8119999999999</v>
      </c>
      <c r="AM11" s="1294">
        <v>7295.64</v>
      </c>
      <c r="AN11" s="1294">
        <v>269.09800000000001</v>
      </c>
      <c r="AO11" s="1296">
        <v>51989.874000000003</v>
      </c>
      <c r="AP11" s="1293">
        <v>4707.8909999999996</v>
      </c>
      <c r="AQ11" s="1294">
        <v>161995.10399999999</v>
      </c>
      <c r="AR11" s="1294">
        <v>19.355</v>
      </c>
      <c r="AS11" s="1298">
        <v>166722.35</v>
      </c>
      <c r="AT11" s="1293">
        <v>4.1349999999999998</v>
      </c>
      <c r="AU11" s="1294">
        <v>249.53</v>
      </c>
      <c r="AV11" s="1296">
        <v>0.69599999999999995</v>
      </c>
      <c r="AW11" s="1296">
        <v>104126.81200000001</v>
      </c>
      <c r="AX11" s="1283"/>
    </row>
    <row r="12" spans="1:53" s="1299" customFormat="1" ht="24.95" customHeight="1">
      <c r="A12" s="1292">
        <v>2017</v>
      </c>
      <c r="B12" s="1293">
        <v>74.572999999999993</v>
      </c>
      <c r="C12" s="1294">
        <v>792.03700000000003</v>
      </c>
      <c r="D12" s="1294">
        <v>66787.452999999994</v>
      </c>
      <c r="E12" s="1294" t="s">
        <v>171</v>
      </c>
      <c r="F12" s="1294">
        <v>2261.3420000000001</v>
      </c>
      <c r="G12" s="1294">
        <v>716.27099999999996</v>
      </c>
      <c r="H12" s="1296">
        <v>70631.676000000007</v>
      </c>
      <c r="I12" s="1293">
        <v>31.233000000000001</v>
      </c>
      <c r="J12" s="1294">
        <v>1094.624</v>
      </c>
      <c r="K12" s="1294">
        <v>40717.374000000003</v>
      </c>
      <c r="L12" s="1294">
        <v>804.32399999999996</v>
      </c>
      <c r="M12" s="1294">
        <v>220.18299999999999</v>
      </c>
      <c r="N12" s="1294">
        <v>9734.2450000000008</v>
      </c>
      <c r="O12" s="1294">
        <v>245.249</v>
      </c>
      <c r="P12" s="1298">
        <v>107.03700000000001</v>
      </c>
      <c r="Q12" s="1295" t="s">
        <v>171</v>
      </c>
      <c r="R12" s="1296">
        <v>52954.269</v>
      </c>
      <c r="S12" s="1297">
        <v>2017</v>
      </c>
      <c r="T12" s="1293">
        <v>3.4449999999999998</v>
      </c>
      <c r="U12" s="1294">
        <v>38748.675999999999</v>
      </c>
      <c r="V12" s="1294">
        <v>1081.5509999999999</v>
      </c>
      <c r="W12" s="1294" t="s">
        <v>171</v>
      </c>
      <c r="X12" s="1294">
        <v>6637.5990000000002</v>
      </c>
      <c r="Y12" s="1294">
        <v>1458.818</v>
      </c>
      <c r="Z12" s="1296">
        <v>47930.09</v>
      </c>
      <c r="AA12" s="1293">
        <v>3.08</v>
      </c>
      <c r="AB12" s="1295">
        <v>37857.171000000002</v>
      </c>
      <c r="AC12" s="1294">
        <v>1252.7149999999999</v>
      </c>
      <c r="AD12" s="1294">
        <v>10793.852000000001</v>
      </c>
      <c r="AE12" s="1294" t="s">
        <v>171</v>
      </c>
      <c r="AF12" s="1294">
        <v>92.084000000000003</v>
      </c>
      <c r="AG12" s="1296">
        <v>49998.900999999998</v>
      </c>
      <c r="AH12" s="1297">
        <v>2017</v>
      </c>
      <c r="AI12" s="1293">
        <v>23.472000000000001</v>
      </c>
      <c r="AJ12" s="1294">
        <v>2539.9499999999998</v>
      </c>
      <c r="AK12" s="1294">
        <v>38649.213000000003</v>
      </c>
      <c r="AL12" s="1294">
        <v>2086.1779999999999</v>
      </c>
      <c r="AM12" s="1294">
        <v>7529.52</v>
      </c>
      <c r="AN12" s="1294">
        <v>291.11200000000002</v>
      </c>
      <c r="AO12" s="1296">
        <v>51119.445</v>
      </c>
      <c r="AP12" s="1293">
        <v>5123.6689999999999</v>
      </c>
      <c r="AQ12" s="1294">
        <v>148426.72500000001</v>
      </c>
      <c r="AR12" s="1294">
        <v>27.341999999999999</v>
      </c>
      <c r="AS12" s="1298">
        <v>153577.736</v>
      </c>
      <c r="AT12" s="1293">
        <v>3.036</v>
      </c>
      <c r="AU12" s="1294">
        <v>268.09699999999998</v>
      </c>
      <c r="AV12" s="1296">
        <v>0.81699999999999995</v>
      </c>
      <c r="AW12" s="1296">
        <v>127046.039</v>
      </c>
      <c r="AX12" s="1283"/>
    </row>
    <row r="13" spans="1:53" ht="24.95" customHeight="1">
      <c r="A13" s="1292">
        <v>2018</v>
      </c>
      <c r="B13" s="1293">
        <v>62.978000000000002</v>
      </c>
      <c r="C13" s="1294">
        <v>484.02</v>
      </c>
      <c r="D13" s="1294">
        <v>64262.953999999998</v>
      </c>
      <c r="E13" s="1294" t="s">
        <v>171</v>
      </c>
      <c r="F13" s="1294">
        <v>2082.89</v>
      </c>
      <c r="G13" s="1294">
        <v>1071.08</v>
      </c>
      <c r="H13" s="1296">
        <v>67963.922000000006</v>
      </c>
      <c r="I13" s="1293">
        <v>30.242000000000001</v>
      </c>
      <c r="J13" s="1294" t="s">
        <v>171</v>
      </c>
      <c r="K13" s="1294">
        <v>36877.211000000003</v>
      </c>
      <c r="L13" s="1294">
        <v>820.596</v>
      </c>
      <c r="M13" s="1294" t="s">
        <v>171</v>
      </c>
      <c r="N13" s="1294">
        <v>9780.7119999999995</v>
      </c>
      <c r="O13" s="1294">
        <v>254.357</v>
      </c>
      <c r="P13" s="1298">
        <v>178.74100000000001</v>
      </c>
      <c r="Q13" s="1295">
        <v>0</v>
      </c>
      <c r="R13" s="1296">
        <v>47941.858999999997</v>
      </c>
      <c r="S13" s="1297">
        <v>2018</v>
      </c>
      <c r="T13" s="1293">
        <v>3.3780000000000001</v>
      </c>
      <c r="U13" s="1294">
        <v>38847.637000000002</v>
      </c>
      <c r="V13" s="1294">
        <v>1268.903</v>
      </c>
      <c r="W13" s="1294" t="s">
        <v>171</v>
      </c>
      <c r="X13" s="1294">
        <v>9923.4320000000007</v>
      </c>
      <c r="Y13" s="1294">
        <v>1859.6949999999999</v>
      </c>
      <c r="Z13" s="1296">
        <v>51903.044000000002</v>
      </c>
      <c r="AA13" s="1293">
        <v>11.026999999999999</v>
      </c>
      <c r="AB13" s="1295">
        <v>41118.974000000002</v>
      </c>
      <c r="AC13" s="1294">
        <v>1275.4939999999999</v>
      </c>
      <c r="AD13" s="1294">
        <v>15546.737999999999</v>
      </c>
      <c r="AE13" s="1294" t="s">
        <v>171</v>
      </c>
      <c r="AF13" s="1294">
        <v>222.447</v>
      </c>
      <c r="AG13" s="1296">
        <v>58174.68</v>
      </c>
      <c r="AH13" s="1297">
        <v>2018</v>
      </c>
      <c r="AI13" s="1293">
        <v>24.617000000000001</v>
      </c>
      <c r="AJ13" s="1294">
        <v>2193.02</v>
      </c>
      <c r="AK13" s="1294">
        <v>39033.794999999998</v>
      </c>
      <c r="AL13" s="1294">
        <v>2480.2539999999999</v>
      </c>
      <c r="AM13" s="1294">
        <v>9446.0709999999999</v>
      </c>
      <c r="AN13" s="1294">
        <v>300.95699999999999</v>
      </c>
      <c r="AO13" s="1296">
        <v>53478.714</v>
      </c>
      <c r="AP13" s="1293">
        <v>5052.9780000000001</v>
      </c>
      <c r="AQ13" s="1294">
        <v>133505.261</v>
      </c>
      <c r="AR13" s="1294">
        <v>29.998999999999999</v>
      </c>
      <c r="AS13" s="1298">
        <v>138588.23800000001</v>
      </c>
      <c r="AT13" s="1293">
        <v>2.0139999999999998</v>
      </c>
      <c r="AU13" s="1294">
        <v>274.09699999999998</v>
      </c>
      <c r="AV13" s="1296">
        <v>0.88400000000000001</v>
      </c>
      <c r="AW13" s="1301">
        <v>152319.05600000001</v>
      </c>
    </row>
    <row r="14" spans="1:53" ht="24.95" customHeight="1">
      <c r="A14" s="1292">
        <v>2019</v>
      </c>
      <c r="B14" s="1293">
        <v>65.435000000000002</v>
      </c>
      <c r="C14" s="1294">
        <v>0</v>
      </c>
      <c r="D14" s="1294">
        <v>60418.531999999999</v>
      </c>
      <c r="E14" s="1294" t="s">
        <v>171</v>
      </c>
      <c r="F14" s="1294">
        <v>2310.3200000000002</v>
      </c>
      <c r="G14" s="1294">
        <v>1251.232</v>
      </c>
      <c r="H14" s="1296">
        <v>64045.519</v>
      </c>
      <c r="I14" s="1293">
        <v>32.445</v>
      </c>
      <c r="J14" s="1294" t="s">
        <v>171</v>
      </c>
      <c r="K14" s="1294">
        <v>36321.862999999998</v>
      </c>
      <c r="L14" s="1294" t="s">
        <v>171</v>
      </c>
      <c r="M14" s="1294" t="s">
        <v>171</v>
      </c>
      <c r="N14" s="1294">
        <v>8078.0339999999997</v>
      </c>
      <c r="O14" s="1294">
        <v>298.04899999999998</v>
      </c>
      <c r="P14" s="1298">
        <v>984.87800000000004</v>
      </c>
      <c r="Q14" s="1295">
        <v>0</v>
      </c>
      <c r="R14" s="1296">
        <v>45715.269</v>
      </c>
      <c r="S14" s="1297">
        <v>2019</v>
      </c>
      <c r="T14" s="1293">
        <v>3.3180000000000001</v>
      </c>
      <c r="U14" s="1294">
        <v>35149.332000000002</v>
      </c>
      <c r="V14" s="1294">
        <v>595.12699999999995</v>
      </c>
      <c r="W14" s="1294" t="s">
        <v>171</v>
      </c>
      <c r="X14" s="1294">
        <v>9450.1869999999999</v>
      </c>
      <c r="Y14" s="1294">
        <v>1304.46</v>
      </c>
      <c r="Z14" s="1296">
        <v>46502.423000000003</v>
      </c>
      <c r="AA14" s="1293">
        <v>16.37</v>
      </c>
      <c r="AB14" s="1295">
        <v>38439.284</v>
      </c>
      <c r="AC14" s="1294" t="s">
        <v>171</v>
      </c>
      <c r="AD14" s="1294">
        <v>11349.085999999999</v>
      </c>
      <c r="AE14" s="1294" t="s">
        <v>171</v>
      </c>
      <c r="AF14" s="1294">
        <v>1526.2550000000001</v>
      </c>
      <c r="AG14" s="1296">
        <v>51330.995000000003</v>
      </c>
      <c r="AH14" s="1297">
        <v>2019</v>
      </c>
      <c r="AI14" s="1293">
        <v>23.991</v>
      </c>
      <c r="AJ14" s="1294">
        <v>2592.2249999999999</v>
      </c>
      <c r="AK14" s="1294">
        <v>38864.358</v>
      </c>
      <c r="AL14" s="1294">
        <v>1247.3510000000001</v>
      </c>
      <c r="AM14" s="1294">
        <v>7861.058</v>
      </c>
      <c r="AN14" s="1294">
        <v>324.06299999999999</v>
      </c>
      <c r="AO14" s="1296">
        <v>50913.046000000002</v>
      </c>
      <c r="AP14" s="1293">
        <v>4331.4780000000001</v>
      </c>
      <c r="AQ14" s="1294">
        <v>145909.66899999999</v>
      </c>
      <c r="AR14" s="1294">
        <v>36.176000000000002</v>
      </c>
      <c r="AS14" s="1298">
        <v>150277.323</v>
      </c>
      <c r="AT14" s="1293">
        <v>3.6030000000000002</v>
      </c>
      <c r="AU14" s="1294">
        <v>280.863</v>
      </c>
      <c r="AV14" s="1296">
        <v>0.89800000000000002</v>
      </c>
      <c r="AW14" s="1301">
        <v>153970.36600000001</v>
      </c>
    </row>
    <row r="15" spans="1:53" ht="24.95" customHeight="1">
      <c r="A15" s="1292">
        <v>2020</v>
      </c>
      <c r="B15" s="1293">
        <v>59.287999999999997</v>
      </c>
      <c r="C15" s="1294">
        <v>0</v>
      </c>
      <c r="D15" s="1294">
        <v>47988.072</v>
      </c>
      <c r="E15" s="1294" t="s">
        <v>171</v>
      </c>
      <c r="F15" s="1294">
        <v>2190.502</v>
      </c>
      <c r="G15" s="1294">
        <v>1537.5619999999999</v>
      </c>
      <c r="H15" s="1296">
        <v>51775.423999999999</v>
      </c>
      <c r="I15" s="1293">
        <v>28.513000000000002</v>
      </c>
      <c r="J15" s="1294" t="s">
        <v>171</v>
      </c>
      <c r="K15" s="1294">
        <v>35342.285000000003</v>
      </c>
      <c r="L15" s="1294" t="s">
        <v>171</v>
      </c>
      <c r="M15" s="1294" t="s">
        <v>171</v>
      </c>
      <c r="N15" s="1294">
        <v>12425.683000000001</v>
      </c>
      <c r="O15" s="1294">
        <v>125.312</v>
      </c>
      <c r="P15" s="1294">
        <v>889.04</v>
      </c>
      <c r="Q15" s="1298">
        <v>70.838999999999999</v>
      </c>
      <c r="R15" s="1296">
        <v>48881.673000000003</v>
      </c>
      <c r="S15" s="1297">
        <v>2020</v>
      </c>
      <c r="T15" s="1293">
        <v>3.1869999999999998</v>
      </c>
      <c r="U15" s="1294">
        <v>29624.652999999998</v>
      </c>
      <c r="V15" s="1294" t="s">
        <v>171</v>
      </c>
      <c r="W15" s="1294">
        <v>586.62699999999995</v>
      </c>
      <c r="X15" s="1294">
        <v>6933.0349999999999</v>
      </c>
      <c r="Y15" s="1294">
        <v>2827.4349999999999</v>
      </c>
      <c r="Z15" s="1296">
        <v>39974.936999999998</v>
      </c>
      <c r="AA15" s="1293">
        <v>8.4870000000000001</v>
      </c>
      <c r="AB15" s="1295">
        <v>29481.531999999999</v>
      </c>
      <c r="AC15" s="1294" t="s">
        <v>171</v>
      </c>
      <c r="AD15" s="1294">
        <v>12575.949000000001</v>
      </c>
      <c r="AE15" s="1294" t="s">
        <v>171</v>
      </c>
      <c r="AF15" s="1294">
        <v>1363.492</v>
      </c>
      <c r="AG15" s="1296">
        <v>43429.459000000003</v>
      </c>
      <c r="AH15" s="1297">
        <v>2020</v>
      </c>
      <c r="AI15" s="1293">
        <v>13.747</v>
      </c>
      <c r="AJ15" s="1294">
        <v>2094.21</v>
      </c>
      <c r="AK15" s="1294">
        <v>34277.47</v>
      </c>
      <c r="AL15" s="1294">
        <v>1503.944</v>
      </c>
      <c r="AM15" s="1294">
        <v>7321.2809999999999</v>
      </c>
      <c r="AN15" s="1294">
        <v>355.47800000000001</v>
      </c>
      <c r="AO15" s="1296">
        <v>45566.13</v>
      </c>
      <c r="AP15" s="1293">
        <v>4384.2349999999997</v>
      </c>
      <c r="AQ15" s="1294">
        <v>160183.72099999999</v>
      </c>
      <c r="AR15" s="1294">
        <v>42.177</v>
      </c>
      <c r="AS15" s="1296">
        <v>164610.133</v>
      </c>
      <c r="AT15" s="1293">
        <v>4.1680000000000001</v>
      </c>
      <c r="AU15" s="1294">
        <v>279.36099999999999</v>
      </c>
      <c r="AV15" s="1296">
        <v>0.96099999999999997</v>
      </c>
      <c r="AW15" s="1301">
        <v>157639.91500000001</v>
      </c>
    </row>
    <row r="16" spans="1:53" ht="24.95" customHeight="1">
      <c r="A16" s="1292">
        <v>2021</v>
      </c>
      <c r="B16" s="1293">
        <v>56.793999999999997</v>
      </c>
      <c r="C16" s="1294" t="s">
        <v>171</v>
      </c>
      <c r="D16" s="1294">
        <v>41986.322</v>
      </c>
      <c r="E16" s="1294" t="s">
        <v>171</v>
      </c>
      <c r="F16" s="1294">
        <v>2333.3510000000001</v>
      </c>
      <c r="G16" s="1294">
        <v>2314.181</v>
      </c>
      <c r="H16" s="1296">
        <v>46690.648000000001</v>
      </c>
      <c r="I16" s="1293">
        <v>29.62</v>
      </c>
      <c r="J16" s="1294" t="s">
        <v>171</v>
      </c>
      <c r="K16" s="1294">
        <v>31851.216</v>
      </c>
      <c r="L16" s="1294" t="s">
        <v>171</v>
      </c>
      <c r="M16" s="1294" t="s">
        <v>171</v>
      </c>
      <c r="N16" s="1294">
        <v>15483.540999999999</v>
      </c>
      <c r="O16" s="1294">
        <v>192.464</v>
      </c>
      <c r="P16" s="1298">
        <v>962.79600000000005</v>
      </c>
      <c r="Q16" s="1298">
        <v>65.846000000000004</v>
      </c>
      <c r="R16" s="1296">
        <v>48585.482000000004</v>
      </c>
      <c r="S16" s="1297">
        <f t="shared" ref="S16:S31" si="0">A16</f>
        <v>2021</v>
      </c>
      <c r="T16" s="1293">
        <v>8.4689999999999994</v>
      </c>
      <c r="U16" s="1294">
        <v>31593.4</v>
      </c>
      <c r="V16" s="1294" t="s">
        <v>171</v>
      </c>
      <c r="W16" s="1294">
        <v>1176.921</v>
      </c>
      <c r="X16" s="1294">
        <v>11307.679</v>
      </c>
      <c r="Y16" s="1294">
        <v>2950.8409999999999</v>
      </c>
      <c r="Z16" s="1296">
        <v>47037.31</v>
      </c>
      <c r="AA16" s="1293">
        <v>13.449</v>
      </c>
      <c r="AB16" s="1295">
        <v>33367.184999999998</v>
      </c>
      <c r="AC16" s="1294" t="s">
        <v>171</v>
      </c>
      <c r="AD16" s="1294">
        <v>16083.901</v>
      </c>
      <c r="AE16" s="1294" t="s">
        <v>171</v>
      </c>
      <c r="AF16" s="1294">
        <v>1516.671</v>
      </c>
      <c r="AG16" s="1296">
        <v>50981.205999999998</v>
      </c>
      <c r="AH16" s="1297">
        <f t="shared" ref="AH16:AH31" si="1">A16</f>
        <v>2021</v>
      </c>
      <c r="AI16" s="1293">
        <v>4.4489999999999998</v>
      </c>
      <c r="AJ16" s="1294">
        <v>1853.7829999999999</v>
      </c>
      <c r="AK16" s="1294">
        <v>31767.486000000001</v>
      </c>
      <c r="AL16" s="1294">
        <v>1493.8530000000001</v>
      </c>
      <c r="AM16" s="1294">
        <v>8400.0339999999997</v>
      </c>
      <c r="AN16" s="1294">
        <v>523.68499999999995</v>
      </c>
      <c r="AO16" s="1296">
        <v>44043.290999999997</v>
      </c>
      <c r="AP16" s="1293">
        <v>4646.37</v>
      </c>
      <c r="AQ16" s="1294">
        <v>158015.23000000001</v>
      </c>
      <c r="AR16" s="1294">
        <v>71.704999999999998</v>
      </c>
      <c r="AS16" s="1298">
        <v>162733.30600000001</v>
      </c>
      <c r="AT16" s="1293">
        <v>2.758</v>
      </c>
      <c r="AU16" s="1294">
        <v>298.233</v>
      </c>
      <c r="AV16" s="1296">
        <v>0.94799999999999995</v>
      </c>
      <c r="AW16" s="1301">
        <v>176436.30600000001</v>
      </c>
    </row>
    <row r="17" spans="1:50" s="1310" customFormat="1" ht="24.95" customHeight="1">
      <c r="A17" s="1302" t="s">
        <v>795</v>
      </c>
      <c r="B17" s="1303">
        <v>56.793999999999997</v>
      </c>
      <c r="C17" s="1304" t="s">
        <v>171</v>
      </c>
      <c r="D17" s="1304">
        <v>41986.322</v>
      </c>
      <c r="E17" s="1304" t="s">
        <v>171</v>
      </c>
      <c r="F17" s="1304">
        <v>2333.3510000000001</v>
      </c>
      <c r="G17" s="1304">
        <v>2314.181</v>
      </c>
      <c r="H17" s="1305">
        <v>46690.648000000001</v>
      </c>
      <c r="I17" s="1303">
        <v>29.62</v>
      </c>
      <c r="J17" s="1304" t="s">
        <v>171</v>
      </c>
      <c r="K17" s="1304">
        <v>31851.216</v>
      </c>
      <c r="L17" s="1304" t="s">
        <v>171</v>
      </c>
      <c r="M17" s="1304" t="s">
        <v>171</v>
      </c>
      <c r="N17" s="1304">
        <v>15483.540999999999</v>
      </c>
      <c r="O17" s="1304">
        <v>192.464</v>
      </c>
      <c r="P17" s="1306">
        <v>962.79600000000005</v>
      </c>
      <c r="Q17" s="1306">
        <v>65.846000000000004</v>
      </c>
      <c r="R17" s="1305">
        <v>48585.482000000004</v>
      </c>
      <c r="S17" s="1307" t="str">
        <f t="shared" si="0"/>
        <v>2021.01~12</v>
      </c>
      <c r="T17" s="1303">
        <v>8.4689999999999994</v>
      </c>
      <c r="U17" s="1304">
        <v>31593.4</v>
      </c>
      <c r="V17" s="1304" t="s">
        <v>171</v>
      </c>
      <c r="W17" s="1304">
        <v>1176.921</v>
      </c>
      <c r="X17" s="1304">
        <v>11307.679</v>
      </c>
      <c r="Y17" s="1304">
        <v>2950.8409999999999</v>
      </c>
      <c r="Z17" s="1305">
        <v>47037.31</v>
      </c>
      <c r="AA17" s="1303">
        <v>13.449</v>
      </c>
      <c r="AB17" s="1308">
        <v>33367.184999999998</v>
      </c>
      <c r="AC17" s="1304" t="s">
        <v>171</v>
      </c>
      <c r="AD17" s="1304">
        <v>16083.901</v>
      </c>
      <c r="AE17" s="1304" t="s">
        <v>171</v>
      </c>
      <c r="AF17" s="1304">
        <v>1516.671</v>
      </c>
      <c r="AG17" s="1305">
        <v>50981.205999999998</v>
      </c>
      <c r="AH17" s="1307" t="str">
        <f t="shared" si="1"/>
        <v>2021.01~12</v>
      </c>
      <c r="AI17" s="1303">
        <v>4.4489999999999998</v>
      </c>
      <c r="AJ17" s="1304">
        <v>1853.7829999999999</v>
      </c>
      <c r="AK17" s="1304">
        <v>31767.486000000001</v>
      </c>
      <c r="AL17" s="1304">
        <v>1493.8530000000001</v>
      </c>
      <c r="AM17" s="1304">
        <v>8400.0339999999997</v>
      </c>
      <c r="AN17" s="1304">
        <v>523.68499999999995</v>
      </c>
      <c r="AO17" s="1305">
        <v>44043.290999999997</v>
      </c>
      <c r="AP17" s="1303">
        <v>4646.37</v>
      </c>
      <c r="AQ17" s="1304">
        <v>158015.23000000001</v>
      </c>
      <c r="AR17" s="1304">
        <v>71.704999999999998</v>
      </c>
      <c r="AS17" s="1306">
        <v>162733.30600000001</v>
      </c>
      <c r="AT17" s="1303">
        <v>2.758</v>
      </c>
      <c r="AU17" s="1304">
        <v>298.233</v>
      </c>
      <c r="AV17" s="1305">
        <v>0.94799999999999995</v>
      </c>
      <c r="AW17" s="1309">
        <v>176436.30600000001</v>
      </c>
    </row>
    <row r="18" spans="1:50" s="1097" customFormat="1" ht="24.95" customHeight="1">
      <c r="A18" s="1311">
        <v>2021.12</v>
      </c>
      <c r="B18" s="1303">
        <v>5.32</v>
      </c>
      <c r="C18" s="1304" t="s">
        <v>171</v>
      </c>
      <c r="D18" s="1304">
        <v>3853.3330000000001</v>
      </c>
      <c r="E18" s="1304" t="s">
        <v>171</v>
      </c>
      <c r="F18" s="1304">
        <v>432.78</v>
      </c>
      <c r="G18" s="1304">
        <v>145.13200000000001</v>
      </c>
      <c r="H18" s="1305">
        <v>4436.5649999999996</v>
      </c>
      <c r="I18" s="1303">
        <v>2.2879999999999998</v>
      </c>
      <c r="J18" s="1304" t="s">
        <v>171</v>
      </c>
      <c r="K18" s="1304">
        <v>2862.3330000000001</v>
      </c>
      <c r="L18" s="1304" t="s">
        <v>171</v>
      </c>
      <c r="M18" s="1304" t="s">
        <v>171</v>
      </c>
      <c r="N18" s="1304">
        <v>1423.9190000000001</v>
      </c>
      <c r="O18" s="1304">
        <v>13.541</v>
      </c>
      <c r="P18" s="1306">
        <v>98.352999999999994</v>
      </c>
      <c r="Q18" s="1306">
        <v>4.843</v>
      </c>
      <c r="R18" s="1305">
        <v>4405.2780000000002</v>
      </c>
      <c r="S18" s="1312">
        <f t="shared" si="0"/>
        <v>2021.12</v>
      </c>
      <c r="T18" s="1303">
        <v>0.97099999999999997</v>
      </c>
      <c r="U18" s="1304">
        <v>2849.1089999999999</v>
      </c>
      <c r="V18" s="1304" t="s">
        <v>171</v>
      </c>
      <c r="W18" s="1304">
        <v>59.994</v>
      </c>
      <c r="X18" s="1304">
        <v>749.89</v>
      </c>
      <c r="Y18" s="1304">
        <v>315.06900000000002</v>
      </c>
      <c r="Z18" s="1305">
        <v>3975.0320000000002</v>
      </c>
      <c r="AA18" s="1303">
        <v>1.1759999999999999</v>
      </c>
      <c r="AB18" s="1308">
        <v>3127.3670000000002</v>
      </c>
      <c r="AC18" s="1304" t="s">
        <v>171</v>
      </c>
      <c r="AD18" s="1304">
        <v>1180.672</v>
      </c>
      <c r="AE18" s="1304" t="s">
        <v>171</v>
      </c>
      <c r="AF18" s="1304">
        <v>151.261</v>
      </c>
      <c r="AG18" s="1305">
        <v>4460.4740000000002</v>
      </c>
      <c r="AH18" s="1312">
        <f t="shared" si="1"/>
        <v>2021.12</v>
      </c>
      <c r="AI18" s="1303">
        <v>0</v>
      </c>
      <c r="AJ18" s="1304">
        <v>1E-3</v>
      </c>
      <c r="AK18" s="1304">
        <v>2834.433</v>
      </c>
      <c r="AL18" s="1304">
        <v>78.287999999999997</v>
      </c>
      <c r="AM18" s="1304">
        <v>744.30899999999997</v>
      </c>
      <c r="AN18" s="1304">
        <v>53.472000000000001</v>
      </c>
      <c r="AO18" s="1305">
        <v>3710.502</v>
      </c>
      <c r="AP18" s="1303">
        <v>380.79</v>
      </c>
      <c r="AQ18" s="1304">
        <v>16531.642</v>
      </c>
      <c r="AR18" s="1304">
        <v>5.1059999999999999</v>
      </c>
      <c r="AS18" s="1306">
        <v>16917.538</v>
      </c>
      <c r="AT18" s="1303" t="s">
        <v>171</v>
      </c>
      <c r="AU18" s="1304">
        <v>27.545999999999999</v>
      </c>
      <c r="AV18" s="1305">
        <v>7.8E-2</v>
      </c>
      <c r="AW18" s="1309">
        <v>15440.596</v>
      </c>
    </row>
    <row r="19" spans="1:50" s="1320" customFormat="1" ht="24.95" customHeight="1">
      <c r="A19" s="1313" t="s">
        <v>796</v>
      </c>
      <c r="B19" s="1314">
        <v>47.164000000000001</v>
      </c>
      <c r="C19" s="1315" t="s">
        <v>171</v>
      </c>
      <c r="D19" s="1315">
        <v>40015.218000000001</v>
      </c>
      <c r="E19" s="1315" t="s">
        <v>171</v>
      </c>
      <c r="F19" s="1315">
        <v>2685.2849999999999</v>
      </c>
      <c r="G19" s="1315">
        <v>2124.7530000000002</v>
      </c>
      <c r="H19" s="1316">
        <v>44872.42</v>
      </c>
      <c r="I19" s="1314">
        <v>32.249000000000002</v>
      </c>
      <c r="J19" s="1315" t="s">
        <v>171</v>
      </c>
      <c r="K19" s="1315">
        <v>31693.412</v>
      </c>
      <c r="L19" s="1315" t="s">
        <v>171</v>
      </c>
      <c r="M19" s="1315" t="s">
        <v>171</v>
      </c>
      <c r="N19" s="1315">
        <v>13988.120999999999</v>
      </c>
      <c r="O19" s="1315">
        <v>255.976</v>
      </c>
      <c r="P19" s="1317">
        <v>1075.9849999999999</v>
      </c>
      <c r="Q19" s="1317">
        <v>68.94</v>
      </c>
      <c r="R19" s="1316">
        <v>47114.682000000001</v>
      </c>
      <c r="S19" s="1313" t="str">
        <f t="shared" si="0"/>
        <v>2022.01~12</v>
      </c>
      <c r="T19" s="1314">
        <v>9.3889999999999993</v>
      </c>
      <c r="U19" s="1315">
        <v>29220.476999999999</v>
      </c>
      <c r="V19" s="1315" t="s">
        <v>171</v>
      </c>
      <c r="W19" s="1315">
        <v>1377.345</v>
      </c>
      <c r="X19" s="1315">
        <v>10209.954</v>
      </c>
      <c r="Y19" s="1315">
        <v>2797.4639999999999</v>
      </c>
      <c r="Z19" s="1316">
        <v>43614.629000000001</v>
      </c>
      <c r="AA19" s="1314">
        <v>11.554</v>
      </c>
      <c r="AB19" s="1318">
        <v>33526.22</v>
      </c>
      <c r="AC19" s="1315" t="s">
        <v>171</v>
      </c>
      <c r="AD19" s="1315">
        <v>16657.468000000001</v>
      </c>
      <c r="AE19" s="1315" t="s">
        <v>171</v>
      </c>
      <c r="AF19" s="1315">
        <v>1724.873</v>
      </c>
      <c r="AG19" s="1316">
        <v>51920.114999999998</v>
      </c>
      <c r="AH19" s="1313" t="str">
        <f t="shared" si="1"/>
        <v>2022.01~12</v>
      </c>
      <c r="AI19" s="1314">
        <v>0</v>
      </c>
      <c r="AJ19" s="1315">
        <v>1870.76</v>
      </c>
      <c r="AK19" s="1315">
        <v>27944.675999999999</v>
      </c>
      <c r="AL19" s="1315">
        <v>351.79300000000001</v>
      </c>
      <c r="AM19" s="1315">
        <v>8701.5580000000009</v>
      </c>
      <c r="AN19" s="1315">
        <v>649.74099999999999</v>
      </c>
      <c r="AO19" s="1316">
        <v>39518.527999999998</v>
      </c>
      <c r="AP19" s="1314">
        <v>4943.2579999999998</v>
      </c>
      <c r="AQ19" s="1315">
        <v>176054.01199999999</v>
      </c>
      <c r="AR19" s="1315">
        <v>88.923000000000002</v>
      </c>
      <c r="AS19" s="1317">
        <v>181086.193</v>
      </c>
      <c r="AT19" s="1314" t="s">
        <v>171</v>
      </c>
      <c r="AU19" s="1315">
        <v>314.07</v>
      </c>
      <c r="AV19" s="1316" t="s">
        <v>171</v>
      </c>
      <c r="AW19" s="1319">
        <v>185951.36199999999</v>
      </c>
    </row>
    <row r="20" spans="1:50" s="1321" customFormat="1" ht="24.95" customHeight="1">
      <c r="A20" s="1311">
        <v>2022.01</v>
      </c>
      <c r="B20" s="1293">
        <v>5.0439999999999996</v>
      </c>
      <c r="C20" s="1294" t="s">
        <v>171</v>
      </c>
      <c r="D20" s="1294">
        <v>4251.8739999999998</v>
      </c>
      <c r="E20" s="1294" t="s">
        <v>171</v>
      </c>
      <c r="F20" s="1294">
        <v>469.37900000000002</v>
      </c>
      <c r="G20" s="1294">
        <v>145.749</v>
      </c>
      <c r="H20" s="1296">
        <v>4872.0460000000003</v>
      </c>
      <c r="I20" s="1293">
        <v>1.9610000000000001</v>
      </c>
      <c r="J20" s="1294" t="s">
        <v>171</v>
      </c>
      <c r="K20" s="1294">
        <v>3224.2159999999999</v>
      </c>
      <c r="L20" s="1294" t="s">
        <v>171</v>
      </c>
      <c r="M20" s="1294" t="s">
        <v>171</v>
      </c>
      <c r="N20" s="1294">
        <v>1411.819</v>
      </c>
      <c r="O20" s="1294">
        <v>26.396999999999998</v>
      </c>
      <c r="P20" s="1298">
        <v>81.852000000000004</v>
      </c>
      <c r="Q20" s="1298">
        <v>6.7809999999999997</v>
      </c>
      <c r="R20" s="1296">
        <v>4753.027</v>
      </c>
      <c r="S20" s="1311">
        <f t="shared" si="0"/>
        <v>2022.01</v>
      </c>
      <c r="T20" s="1293">
        <v>1.357</v>
      </c>
      <c r="U20" s="1294">
        <v>2959.308</v>
      </c>
      <c r="V20" s="1294" t="s">
        <v>171</v>
      </c>
      <c r="W20" s="1294">
        <v>12.561</v>
      </c>
      <c r="X20" s="1294">
        <v>809.09</v>
      </c>
      <c r="Y20" s="1294">
        <v>329.73599999999999</v>
      </c>
      <c r="Z20" s="1296">
        <v>4112.0519999999997</v>
      </c>
      <c r="AA20" s="1293">
        <v>0.92200000000000004</v>
      </c>
      <c r="AB20" s="1295">
        <v>2959.3829999999998</v>
      </c>
      <c r="AC20" s="1294" t="s">
        <v>171</v>
      </c>
      <c r="AD20" s="1294">
        <v>1183.7929999999999</v>
      </c>
      <c r="AE20" s="1294" t="s">
        <v>171</v>
      </c>
      <c r="AF20" s="1294">
        <v>162.357</v>
      </c>
      <c r="AG20" s="1296">
        <v>4306.4560000000001</v>
      </c>
      <c r="AH20" s="1311">
        <f t="shared" si="1"/>
        <v>2022.01</v>
      </c>
      <c r="AI20" s="1293">
        <v>0</v>
      </c>
      <c r="AJ20" s="1294">
        <v>0</v>
      </c>
      <c r="AK20" s="1294">
        <v>2762.4879999999998</v>
      </c>
      <c r="AL20" s="1294">
        <v>351.79300000000001</v>
      </c>
      <c r="AM20" s="1294">
        <v>851.10500000000002</v>
      </c>
      <c r="AN20" s="1294">
        <v>55.43</v>
      </c>
      <c r="AO20" s="1296">
        <v>4020.8159999999998</v>
      </c>
      <c r="AP20" s="1293">
        <v>373.44400000000002</v>
      </c>
      <c r="AQ20" s="1294">
        <v>16103.26</v>
      </c>
      <c r="AR20" s="1294">
        <v>6.2210000000000001</v>
      </c>
      <c r="AS20" s="1298">
        <v>16482.925999999999</v>
      </c>
      <c r="AT20" s="1293" t="s">
        <v>171</v>
      </c>
      <c r="AU20" s="1294">
        <v>28.329000000000001</v>
      </c>
      <c r="AV20" s="1296" t="s">
        <v>171</v>
      </c>
      <c r="AW20" s="1301">
        <v>16216.65</v>
      </c>
    </row>
    <row r="21" spans="1:50" s="1097" customFormat="1" ht="24.95" customHeight="1">
      <c r="A21" s="1311">
        <v>2022.02</v>
      </c>
      <c r="B21" s="1293">
        <v>3.661</v>
      </c>
      <c r="C21" s="1294" t="s">
        <v>171</v>
      </c>
      <c r="D21" s="1294">
        <v>3336.319</v>
      </c>
      <c r="E21" s="1294" t="s">
        <v>171</v>
      </c>
      <c r="F21" s="1294">
        <v>412.19299999999998</v>
      </c>
      <c r="G21" s="1294">
        <v>160.547</v>
      </c>
      <c r="H21" s="1296">
        <v>3912.7190000000001</v>
      </c>
      <c r="I21" s="1293">
        <v>2.3570000000000002</v>
      </c>
      <c r="J21" s="1294" t="s">
        <v>171</v>
      </c>
      <c r="K21" s="1294">
        <v>2604.366</v>
      </c>
      <c r="L21" s="1294" t="s">
        <v>171</v>
      </c>
      <c r="M21" s="1294" t="s">
        <v>171</v>
      </c>
      <c r="N21" s="1294">
        <v>1115.2080000000001</v>
      </c>
      <c r="O21" s="1294">
        <v>33.01</v>
      </c>
      <c r="P21" s="1298">
        <v>58.037999999999997</v>
      </c>
      <c r="Q21" s="1298">
        <v>6.0789999999999997</v>
      </c>
      <c r="R21" s="1296">
        <v>3819.0569999999998</v>
      </c>
      <c r="S21" s="1311">
        <f t="shared" si="0"/>
        <v>2022.02</v>
      </c>
      <c r="T21" s="1293">
        <v>1.26</v>
      </c>
      <c r="U21" s="1294">
        <v>2747.9549999999999</v>
      </c>
      <c r="V21" s="1294" t="s">
        <v>171</v>
      </c>
      <c r="W21" s="1294">
        <v>32.85</v>
      </c>
      <c r="X21" s="1294">
        <v>719.05899999999997</v>
      </c>
      <c r="Y21" s="1294">
        <v>293.52100000000002</v>
      </c>
      <c r="Z21" s="1296">
        <v>3794.645</v>
      </c>
      <c r="AA21" s="1293">
        <v>0.88700000000000001</v>
      </c>
      <c r="AB21" s="1295">
        <v>2594.8090000000002</v>
      </c>
      <c r="AC21" s="1294" t="s">
        <v>171</v>
      </c>
      <c r="AD21" s="1294">
        <v>1248.845</v>
      </c>
      <c r="AE21" s="1294" t="s">
        <v>171</v>
      </c>
      <c r="AF21" s="1294">
        <v>144.803</v>
      </c>
      <c r="AG21" s="1296">
        <v>3989.3440000000001</v>
      </c>
      <c r="AH21" s="1311">
        <f t="shared" si="1"/>
        <v>2022.02</v>
      </c>
      <c r="AI21" s="1293">
        <v>0</v>
      </c>
      <c r="AJ21" s="1294">
        <v>0</v>
      </c>
      <c r="AK21" s="1294">
        <v>2319.3130000000001</v>
      </c>
      <c r="AL21" s="1294" t="s">
        <v>171</v>
      </c>
      <c r="AM21" s="1294">
        <v>746.524</v>
      </c>
      <c r="AN21" s="1294">
        <v>51.959000000000003</v>
      </c>
      <c r="AO21" s="1296">
        <v>3117.7959999999998</v>
      </c>
      <c r="AP21" s="1293">
        <v>360.99799999999999</v>
      </c>
      <c r="AQ21" s="1294">
        <v>13989.89</v>
      </c>
      <c r="AR21" s="1294">
        <v>7.1369999999999996</v>
      </c>
      <c r="AS21" s="1294">
        <v>14358.025</v>
      </c>
      <c r="AT21" s="1293" t="s">
        <v>171</v>
      </c>
      <c r="AU21" s="1294">
        <v>25.119</v>
      </c>
      <c r="AV21" s="1296" t="s">
        <v>171</v>
      </c>
      <c r="AW21" s="1296">
        <v>15470.798000000001</v>
      </c>
    </row>
    <row r="22" spans="1:50" s="1097" customFormat="1" ht="24.95" customHeight="1">
      <c r="A22" s="1311">
        <v>2022.03</v>
      </c>
      <c r="B22" s="1293">
        <v>2.879</v>
      </c>
      <c r="C22" s="1294" t="s">
        <v>171</v>
      </c>
      <c r="D22" s="1294">
        <v>2472.8049999999998</v>
      </c>
      <c r="E22" s="1294" t="s">
        <v>171</v>
      </c>
      <c r="F22" s="1294">
        <v>287.166</v>
      </c>
      <c r="G22" s="1294">
        <v>180.96</v>
      </c>
      <c r="H22" s="1296">
        <v>2943.8090000000002</v>
      </c>
      <c r="I22" s="1293">
        <v>2.2749999999999999</v>
      </c>
      <c r="J22" s="1294" t="s">
        <v>171</v>
      </c>
      <c r="K22" s="1294">
        <v>2677.933</v>
      </c>
      <c r="L22" s="1294" t="s">
        <v>171</v>
      </c>
      <c r="M22" s="1294" t="s">
        <v>171</v>
      </c>
      <c r="N22" s="1294">
        <v>1411.518</v>
      </c>
      <c r="O22" s="1294">
        <v>34.048000000000002</v>
      </c>
      <c r="P22" s="1298">
        <v>56.314</v>
      </c>
      <c r="Q22" s="1298">
        <v>3.9209999999999998</v>
      </c>
      <c r="R22" s="1296">
        <v>4186.0079999999998</v>
      </c>
      <c r="S22" s="1311">
        <f t="shared" si="0"/>
        <v>2022.03</v>
      </c>
      <c r="T22" s="1293">
        <v>0.93799999999999994</v>
      </c>
      <c r="U22" s="1294">
        <v>2376.203</v>
      </c>
      <c r="V22" s="1294" t="s">
        <v>171</v>
      </c>
      <c r="W22" s="1294">
        <v>175.084</v>
      </c>
      <c r="X22" s="1294">
        <v>898.21299999999997</v>
      </c>
      <c r="Y22" s="1294">
        <v>331.99599999999998</v>
      </c>
      <c r="Z22" s="1296">
        <v>3782.4349999999999</v>
      </c>
      <c r="AA22" s="1293">
        <v>0.11799999999999999</v>
      </c>
      <c r="AB22" s="1295">
        <v>2095.2020000000002</v>
      </c>
      <c r="AC22" s="1294" t="s">
        <v>171</v>
      </c>
      <c r="AD22" s="1294">
        <v>1653.5719999999999</v>
      </c>
      <c r="AE22" s="1294" t="s">
        <v>171</v>
      </c>
      <c r="AF22" s="1294">
        <v>144.61799999999999</v>
      </c>
      <c r="AG22" s="1296">
        <v>3893.509</v>
      </c>
      <c r="AH22" s="1311">
        <f t="shared" si="1"/>
        <v>2022.03</v>
      </c>
      <c r="AI22" s="1293">
        <v>0</v>
      </c>
      <c r="AJ22" s="1294">
        <v>0.14000000000000001</v>
      </c>
      <c r="AK22" s="1294">
        <v>1886.3320000000001</v>
      </c>
      <c r="AL22" s="1294" t="s">
        <v>171</v>
      </c>
      <c r="AM22" s="1294">
        <v>832.68399999999997</v>
      </c>
      <c r="AN22" s="1294">
        <v>42.543999999999997</v>
      </c>
      <c r="AO22" s="1296">
        <v>2761.7</v>
      </c>
      <c r="AP22" s="1293">
        <v>407.70499999999998</v>
      </c>
      <c r="AQ22" s="1294">
        <v>13866.525</v>
      </c>
      <c r="AR22" s="1294">
        <v>7.3979999999999997</v>
      </c>
      <c r="AS22" s="1298">
        <v>14281.629000000001</v>
      </c>
      <c r="AT22" s="1293" t="s">
        <v>171</v>
      </c>
      <c r="AU22" s="1294">
        <v>26.167999999999999</v>
      </c>
      <c r="AV22" s="1296" t="s">
        <v>171</v>
      </c>
      <c r="AW22" s="1296">
        <v>17783.895</v>
      </c>
    </row>
    <row r="23" spans="1:50" s="1097" customFormat="1" ht="24.95" customHeight="1">
      <c r="A23" s="1311">
        <v>2022.04</v>
      </c>
      <c r="B23" s="1293">
        <v>3.7170000000000001</v>
      </c>
      <c r="C23" s="1294" t="s">
        <v>171</v>
      </c>
      <c r="D23" s="1294">
        <v>3223.2620000000002</v>
      </c>
      <c r="E23" s="1294" t="s">
        <v>171</v>
      </c>
      <c r="F23" s="1294">
        <v>105.4</v>
      </c>
      <c r="G23" s="1294">
        <v>116.593</v>
      </c>
      <c r="H23" s="1296">
        <v>3448.9720000000002</v>
      </c>
      <c r="I23" s="1293">
        <v>1.7190000000000001</v>
      </c>
      <c r="J23" s="1294" t="s">
        <v>171</v>
      </c>
      <c r="K23" s="1294">
        <v>1745.204</v>
      </c>
      <c r="L23" s="1294" t="s">
        <v>171</v>
      </c>
      <c r="M23" s="1294" t="s">
        <v>171</v>
      </c>
      <c r="N23" s="1294">
        <v>1102.0640000000001</v>
      </c>
      <c r="O23" s="1294">
        <v>29.22</v>
      </c>
      <c r="P23" s="1298">
        <v>69.88</v>
      </c>
      <c r="Q23" s="1298">
        <v>6.657</v>
      </c>
      <c r="R23" s="1296">
        <v>2954.7440000000001</v>
      </c>
      <c r="S23" s="1311">
        <f t="shared" si="0"/>
        <v>2022.04</v>
      </c>
      <c r="T23" s="1293">
        <v>0.71199999999999997</v>
      </c>
      <c r="U23" s="1294">
        <v>2091.395</v>
      </c>
      <c r="V23" s="1294" t="s">
        <v>171</v>
      </c>
      <c r="W23" s="1294">
        <v>39.438000000000002</v>
      </c>
      <c r="X23" s="1294">
        <v>613.15800000000002</v>
      </c>
      <c r="Y23" s="1294">
        <v>253.578</v>
      </c>
      <c r="Z23" s="1296">
        <v>2998.2809999999999</v>
      </c>
      <c r="AA23" s="1293">
        <v>0</v>
      </c>
      <c r="AB23" s="1295">
        <v>2366.1610000000001</v>
      </c>
      <c r="AC23" s="1294" t="s">
        <v>171</v>
      </c>
      <c r="AD23" s="1294">
        <v>1213.932</v>
      </c>
      <c r="AE23" s="1294" t="s">
        <v>171</v>
      </c>
      <c r="AF23" s="1294">
        <v>147.001</v>
      </c>
      <c r="AG23" s="1296">
        <v>3727.0940000000001</v>
      </c>
      <c r="AH23" s="1311">
        <f t="shared" si="1"/>
        <v>2022.04</v>
      </c>
      <c r="AI23" s="1293">
        <v>0</v>
      </c>
      <c r="AJ23" s="1294">
        <v>236.34100000000001</v>
      </c>
      <c r="AK23" s="1294">
        <v>1526.9390000000001</v>
      </c>
      <c r="AL23" s="1294" t="s">
        <v>171</v>
      </c>
      <c r="AM23" s="1294">
        <v>829.16099999999994</v>
      </c>
      <c r="AN23" s="1294">
        <v>57.329000000000001</v>
      </c>
      <c r="AO23" s="1296">
        <v>2649.77</v>
      </c>
      <c r="AP23" s="1293">
        <v>321.745</v>
      </c>
      <c r="AQ23" s="1294">
        <v>13385.162</v>
      </c>
      <c r="AR23" s="1294">
        <v>9.1790000000000003</v>
      </c>
      <c r="AS23" s="1298">
        <v>13716.084999999999</v>
      </c>
      <c r="AT23" s="1293" t="s">
        <v>171</v>
      </c>
      <c r="AU23" s="1294">
        <v>24.07</v>
      </c>
      <c r="AV23" s="1296" t="s">
        <v>171</v>
      </c>
      <c r="AW23" s="1296">
        <v>15339.855</v>
      </c>
    </row>
    <row r="24" spans="1:50" s="1097" customFormat="1" ht="24.95" customHeight="1">
      <c r="A24" s="1311">
        <v>2022.05</v>
      </c>
      <c r="B24" s="1293">
        <v>3.4969999999999999</v>
      </c>
      <c r="C24" s="1294" t="s">
        <v>171</v>
      </c>
      <c r="D24" s="1294">
        <v>3045.2530000000002</v>
      </c>
      <c r="E24" s="1294" t="s">
        <v>171</v>
      </c>
      <c r="F24" s="1294">
        <v>109.176</v>
      </c>
      <c r="G24" s="1294">
        <v>120.98</v>
      </c>
      <c r="H24" s="1296">
        <v>3278.9059999999999</v>
      </c>
      <c r="I24" s="1293">
        <v>1.782</v>
      </c>
      <c r="J24" s="1294" t="s">
        <v>171</v>
      </c>
      <c r="K24" s="1294">
        <v>2168.9769999999999</v>
      </c>
      <c r="L24" s="1294" t="s">
        <v>171</v>
      </c>
      <c r="M24" s="1294" t="s">
        <v>171</v>
      </c>
      <c r="N24" s="1294">
        <v>1143.28</v>
      </c>
      <c r="O24" s="1294">
        <v>16</v>
      </c>
      <c r="P24" s="1298">
        <v>94.04</v>
      </c>
      <c r="Q24" s="1298">
        <v>6.657</v>
      </c>
      <c r="R24" s="1296">
        <v>3430.7350000000001</v>
      </c>
      <c r="S24" s="1311">
        <f t="shared" si="0"/>
        <v>2022.05</v>
      </c>
      <c r="T24" s="1293">
        <v>0.79300000000000004</v>
      </c>
      <c r="U24" s="1294">
        <v>2019.4090000000001</v>
      </c>
      <c r="V24" s="1294" t="s">
        <v>171</v>
      </c>
      <c r="W24" s="1294">
        <v>116.428</v>
      </c>
      <c r="X24" s="1294">
        <v>516.11400000000003</v>
      </c>
      <c r="Y24" s="1294">
        <v>101.104</v>
      </c>
      <c r="Z24" s="1296">
        <v>2753.848</v>
      </c>
      <c r="AA24" s="1293">
        <v>0.35099999999999998</v>
      </c>
      <c r="AB24" s="1295">
        <v>2521.5729999999999</v>
      </c>
      <c r="AC24" s="1294" t="s">
        <v>171</v>
      </c>
      <c r="AD24" s="1294">
        <v>1555.43</v>
      </c>
      <c r="AE24" s="1294" t="s">
        <v>171</v>
      </c>
      <c r="AF24" s="1294">
        <v>148.53299999999999</v>
      </c>
      <c r="AG24" s="1296">
        <v>4225.8869999999997</v>
      </c>
      <c r="AH24" s="1311">
        <f t="shared" si="1"/>
        <v>2022.05</v>
      </c>
      <c r="AI24" s="1293" t="s">
        <v>171</v>
      </c>
      <c r="AJ24" s="1294">
        <v>166.56200000000001</v>
      </c>
      <c r="AK24" s="1294">
        <v>1954.568</v>
      </c>
      <c r="AL24" s="1294" t="s">
        <v>171</v>
      </c>
      <c r="AM24" s="1294">
        <v>547.096</v>
      </c>
      <c r="AN24" s="1294">
        <v>65.088999999999999</v>
      </c>
      <c r="AO24" s="1296">
        <v>2733.3150000000001</v>
      </c>
      <c r="AP24" s="1293">
        <v>370.43099999999998</v>
      </c>
      <c r="AQ24" s="1294">
        <v>14609.832</v>
      </c>
      <c r="AR24" s="1294">
        <v>9.9079999999999995</v>
      </c>
      <c r="AS24" s="1298">
        <v>14990.171</v>
      </c>
      <c r="AT24" s="1293" t="s">
        <v>171</v>
      </c>
      <c r="AU24" s="1294">
        <v>24.09</v>
      </c>
      <c r="AV24" s="1296" t="s">
        <v>171</v>
      </c>
      <c r="AW24" s="1296">
        <v>14743.878000000001</v>
      </c>
    </row>
    <row r="25" spans="1:50" s="1097" customFormat="1" ht="24.95" customHeight="1">
      <c r="A25" s="1311">
        <v>2022.06</v>
      </c>
      <c r="B25" s="1293">
        <v>3.4</v>
      </c>
      <c r="C25" s="1294" t="s">
        <v>171</v>
      </c>
      <c r="D25" s="1294">
        <v>3084.9340000000002</v>
      </c>
      <c r="E25" s="1294" t="s">
        <v>171</v>
      </c>
      <c r="F25" s="1294">
        <v>181.52699999999999</v>
      </c>
      <c r="G25" s="1294">
        <v>145.18600000000001</v>
      </c>
      <c r="H25" s="1296">
        <v>3415.0459999999998</v>
      </c>
      <c r="I25" s="1293">
        <v>2.3119999999999998</v>
      </c>
      <c r="J25" s="1294" t="s">
        <v>171</v>
      </c>
      <c r="K25" s="1294">
        <v>2337.6309999999999</v>
      </c>
      <c r="L25" s="1294" t="s">
        <v>171</v>
      </c>
      <c r="M25" s="1294" t="s">
        <v>171</v>
      </c>
      <c r="N25" s="1294">
        <v>1078.3209999999999</v>
      </c>
      <c r="O25" s="1294">
        <v>17.308</v>
      </c>
      <c r="P25" s="1298">
        <v>94.641999999999996</v>
      </c>
      <c r="Q25" s="1298">
        <v>6.202</v>
      </c>
      <c r="R25" s="1296">
        <v>3536.415</v>
      </c>
      <c r="S25" s="1311">
        <f t="shared" si="0"/>
        <v>2022.06</v>
      </c>
      <c r="T25" s="1293">
        <v>0.69299999999999995</v>
      </c>
      <c r="U25" s="1294">
        <v>2431.2779999999998</v>
      </c>
      <c r="V25" s="1294" t="s">
        <v>171</v>
      </c>
      <c r="W25" s="1294">
        <v>131.916</v>
      </c>
      <c r="X25" s="1294">
        <v>664.23699999999997</v>
      </c>
      <c r="Y25" s="1294">
        <v>170.04499999999999</v>
      </c>
      <c r="Z25" s="1296">
        <v>3398.1689999999999</v>
      </c>
      <c r="AA25" s="1293">
        <v>0.68600000000000005</v>
      </c>
      <c r="AB25" s="1295">
        <v>3159.8820000000001</v>
      </c>
      <c r="AC25" s="1294" t="s">
        <v>171</v>
      </c>
      <c r="AD25" s="1294">
        <v>1486.5550000000001</v>
      </c>
      <c r="AE25" s="1294" t="s">
        <v>171</v>
      </c>
      <c r="AF25" s="1294">
        <v>103.715</v>
      </c>
      <c r="AG25" s="1296">
        <v>4750.8379999999997</v>
      </c>
      <c r="AH25" s="1311">
        <f t="shared" si="1"/>
        <v>2022.06</v>
      </c>
      <c r="AI25" s="1293" t="s">
        <v>171</v>
      </c>
      <c r="AJ25" s="1294">
        <v>156.79599999999999</v>
      </c>
      <c r="AK25" s="1294">
        <v>2462.6320000000001</v>
      </c>
      <c r="AL25" s="1294" t="s">
        <v>171</v>
      </c>
      <c r="AM25" s="1294">
        <v>606.68700000000001</v>
      </c>
      <c r="AN25" s="1294">
        <v>59.656999999999996</v>
      </c>
      <c r="AO25" s="1296">
        <v>3285.7719999999999</v>
      </c>
      <c r="AP25" s="1293">
        <v>392.29500000000002</v>
      </c>
      <c r="AQ25" s="1294">
        <v>14725.941000000001</v>
      </c>
      <c r="AR25" s="1294">
        <v>7.2160000000000002</v>
      </c>
      <c r="AS25" s="1298">
        <v>15125.450999999999</v>
      </c>
      <c r="AT25" s="1293" t="s">
        <v>171</v>
      </c>
      <c r="AU25" s="1294">
        <v>24.399000000000001</v>
      </c>
      <c r="AV25" s="1296" t="s">
        <v>171</v>
      </c>
      <c r="AW25" s="1296">
        <v>14050.769</v>
      </c>
    </row>
    <row r="26" spans="1:50" s="1322" customFormat="1" ht="24.95" customHeight="1">
      <c r="A26" s="1311">
        <v>2022.07</v>
      </c>
      <c r="B26" s="1293">
        <v>4.1230000000000002</v>
      </c>
      <c r="C26" s="1294" t="s">
        <v>171</v>
      </c>
      <c r="D26" s="1294">
        <v>3774.614</v>
      </c>
      <c r="E26" s="1294" t="s">
        <v>171</v>
      </c>
      <c r="F26" s="1294">
        <v>149.06800000000001</v>
      </c>
      <c r="G26" s="1294">
        <v>180.27099999999999</v>
      </c>
      <c r="H26" s="1296">
        <v>4108.076</v>
      </c>
      <c r="I26" s="1293">
        <v>3.6040000000000001</v>
      </c>
      <c r="J26" s="1294" t="s">
        <v>171</v>
      </c>
      <c r="K26" s="1294">
        <v>3629.1080000000002</v>
      </c>
      <c r="L26" s="1294" t="s">
        <v>171</v>
      </c>
      <c r="M26" s="1294" t="s">
        <v>171</v>
      </c>
      <c r="N26" s="1294">
        <v>1503.8430000000001</v>
      </c>
      <c r="O26" s="1294">
        <v>34.481999999999999</v>
      </c>
      <c r="P26" s="1298">
        <v>104.14400000000001</v>
      </c>
      <c r="Q26" s="1298">
        <v>4.2469999999999999</v>
      </c>
      <c r="R26" s="1296">
        <v>5279.4279999999999</v>
      </c>
      <c r="S26" s="1311">
        <f t="shared" si="0"/>
        <v>2022.07</v>
      </c>
      <c r="T26" s="1293">
        <v>0.86299999999999999</v>
      </c>
      <c r="U26" s="1294">
        <v>3067.6280000000002</v>
      </c>
      <c r="V26" s="1294" t="s">
        <v>171</v>
      </c>
      <c r="W26" s="1294">
        <v>159.28700000000001</v>
      </c>
      <c r="X26" s="1294">
        <v>908.18399999999997</v>
      </c>
      <c r="Y26" s="1294">
        <v>293.36900000000003</v>
      </c>
      <c r="Z26" s="1296">
        <v>4429.3310000000001</v>
      </c>
      <c r="AA26" s="1293">
        <v>1.419</v>
      </c>
      <c r="AB26" s="1295">
        <v>3652.623</v>
      </c>
      <c r="AC26" s="1294" t="s">
        <v>171</v>
      </c>
      <c r="AD26" s="1294">
        <v>1637.327</v>
      </c>
      <c r="AE26" s="1294" t="s">
        <v>171</v>
      </c>
      <c r="AF26" s="1294">
        <v>118.04300000000001</v>
      </c>
      <c r="AG26" s="1296">
        <v>5409.4120000000003</v>
      </c>
      <c r="AH26" s="1311">
        <f t="shared" si="1"/>
        <v>2022.07</v>
      </c>
      <c r="AI26" s="1293" t="s">
        <v>171</v>
      </c>
      <c r="AJ26" s="1294">
        <v>274.298</v>
      </c>
      <c r="AK26" s="1294">
        <v>2761.5749999999998</v>
      </c>
      <c r="AL26" s="1294" t="s">
        <v>171</v>
      </c>
      <c r="AM26" s="1294">
        <v>697.32100000000003</v>
      </c>
      <c r="AN26" s="1294">
        <v>60.488999999999997</v>
      </c>
      <c r="AO26" s="1296">
        <v>3793.6819999999998</v>
      </c>
      <c r="AP26" s="1293">
        <v>512.94500000000005</v>
      </c>
      <c r="AQ26" s="1294">
        <v>15354.808999999999</v>
      </c>
      <c r="AR26" s="1294">
        <v>7.4210000000000003</v>
      </c>
      <c r="AS26" s="1298">
        <v>15875.174999999999</v>
      </c>
      <c r="AT26" s="1293" t="s">
        <v>171</v>
      </c>
      <c r="AU26" s="1294">
        <v>28.608000000000001</v>
      </c>
      <c r="AV26" s="1296" t="s">
        <v>171</v>
      </c>
      <c r="AW26" s="1296">
        <v>16103.694</v>
      </c>
    </row>
    <row r="27" spans="1:50" s="1324" customFormat="1" ht="24.95" customHeight="1">
      <c r="A27" s="1311">
        <v>2022.08</v>
      </c>
      <c r="B27" s="1293">
        <v>4.5739999999999998</v>
      </c>
      <c r="C27" s="1294" t="s">
        <v>171</v>
      </c>
      <c r="D27" s="1294">
        <v>4132.7120000000004</v>
      </c>
      <c r="E27" s="1294" t="s">
        <v>171</v>
      </c>
      <c r="F27" s="1294">
        <v>62.149000000000001</v>
      </c>
      <c r="G27" s="1294">
        <v>223.03399999999999</v>
      </c>
      <c r="H27" s="1296">
        <v>4422.4690000000001</v>
      </c>
      <c r="I27" s="1293">
        <v>3.9279999999999999</v>
      </c>
      <c r="J27" s="1294" t="s">
        <v>171</v>
      </c>
      <c r="K27" s="1294">
        <v>2730.7310000000002</v>
      </c>
      <c r="L27" s="1294" t="s">
        <v>171</v>
      </c>
      <c r="M27" s="1294" t="s">
        <v>171</v>
      </c>
      <c r="N27" s="1294">
        <v>1309.2239999999999</v>
      </c>
      <c r="O27" s="1294">
        <v>17.786999999999999</v>
      </c>
      <c r="P27" s="1298">
        <v>115.339</v>
      </c>
      <c r="Q27" s="1298">
        <v>5.8319999999999999</v>
      </c>
      <c r="R27" s="1296">
        <v>4182.84</v>
      </c>
      <c r="S27" s="1311">
        <f t="shared" si="0"/>
        <v>2022.08</v>
      </c>
      <c r="T27" s="1293">
        <v>0.84799999999999998</v>
      </c>
      <c r="U27" s="1294">
        <v>2748.8919999999998</v>
      </c>
      <c r="V27" s="1294" t="s">
        <v>171</v>
      </c>
      <c r="W27" s="1294">
        <v>57.814</v>
      </c>
      <c r="X27" s="1294">
        <v>763.79100000000005</v>
      </c>
      <c r="Y27" s="1294">
        <v>297.87</v>
      </c>
      <c r="Z27" s="1296">
        <v>3869.2139999999999</v>
      </c>
      <c r="AA27" s="1293">
        <v>2.0419999999999998</v>
      </c>
      <c r="AB27" s="1295">
        <v>3542.7530000000002</v>
      </c>
      <c r="AC27" s="1294" t="s">
        <v>171</v>
      </c>
      <c r="AD27" s="1294">
        <v>1422.615</v>
      </c>
      <c r="AE27" s="1294" t="s">
        <v>171</v>
      </c>
      <c r="AF27" s="1294">
        <v>158.982</v>
      </c>
      <c r="AG27" s="1296">
        <v>5126.393</v>
      </c>
      <c r="AH27" s="1311">
        <f t="shared" si="1"/>
        <v>2022.08</v>
      </c>
      <c r="AI27" s="1293" t="s">
        <v>171</v>
      </c>
      <c r="AJ27" s="1294">
        <v>273.41199999999998</v>
      </c>
      <c r="AK27" s="1294">
        <v>2761.96</v>
      </c>
      <c r="AL27" s="1294" t="s">
        <v>171</v>
      </c>
      <c r="AM27" s="1294">
        <v>480.47300000000001</v>
      </c>
      <c r="AN27" s="1294">
        <v>59.264000000000003</v>
      </c>
      <c r="AO27" s="1296">
        <v>3575.1089999999999</v>
      </c>
      <c r="AP27" s="1293">
        <v>553.10799999999995</v>
      </c>
      <c r="AQ27" s="1294">
        <v>16308.977999999999</v>
      </c>
      <c r="AR27" s="1294">
        <v>7.3019999999999996</v>
      </c>
      <c r="AS27" s="1298">
        <v>16869.387999999999</v>
      </c>
      <c r="AT27" s="1293" t="s">
        <v>171</v>
      </c>
      <c r="AU27" s="1294">
        <v>29.529</v>
      </c>
      <c r="AV27" s="1296" t="s">
        <v>171</v>
      </c>
      <c r="AW27" s="1296">
        <v>15889.021000000001</v>
      </c>
      <c r="AX27" s="1323"/>
    </row>
    <row r="28" spans="1:50" s="1097" customFormat="1" ht="24.95" customHeight="1">
      <c r="A28" s="1311">
        <v>2022.09</v>
      </c>
      <c r="B28" s="1293">
        <v>3.7719999999999998</v>
      </c>
      <c r="C28" s="1294" t="s">
        <v>171</v>
      </c>
      <c r="D28" s="1294">
        <v>3373.4209999999998</v>
      </c>
      <c r="E28" s="1294" t="s">
        <v>171</v>
      </c>
      <c r="F28" s="1294">
        <v>65.72</v>
      </c>
      <c r="G28" s="1294">
        <v>135.142</v>
      </c>
      <c r="H28" s="1296">
        <v>3578.056</v>
      </c>
      <c r="I28" s="1293">
        <v>3.7530000000000001</v>
      </c>
      <c r="J28" s="1294" t="s">
        <v>171</v>
      </c>
      <c r="K28" s="1294">
        <v>2732.4569999999999</v>
      </c>
      <c r="L28" s="1294" t="s">
        <v>171</v>
      </c>
      <c r="M28" s="1294" t="s">
        <v>171</v>
      </c>
      <c r="N28" s="1294">
        <v>714.76300000000003</v>
      </c>
      <c r="O28" s="1294">
        <v>7.048</v>
      </c>
      <c r="P28" s="1298">
        <v>101.976</v>
      </c>
      <c r="Q28" s="1298">
        <v>6.7809999999999997</v>
      </c>
      <c r="R28" s="1296">
        <v>3566.777</v>
      </c>
      <c r="S28" s="1311">
        <f t="shared" si="0"/>
        <v>2022.09</v>
      </c>
      <c r="T28" s="1293">
        <v>0.128</v>
      </c>
      <c r="U28" s="1294">
        <v>1711.1369999999999</v>
      </c>
      <c r="V28" s="1294" t="s">
        <v>171</v>
      </c>
      <c r="W28" s="1294">
        <v>87.921999999999997</v>
      </c>
      <c r="X28" s="1294">
        <v>786.27099999999996</v>
      </c>
      <c r="Y28" s="1294">
        <v>225.91300000000001</v>
      </c>
      <c r="Z28" s="1296">
        <v>2811.3710000000001</v>
      </c>
      <c r="AA28" s="1293">
        <v>1.4870000000000001</v>
      </c>
      <c r="AB28" s="1295">
        <v>2968.0830000000001</v>
      </c>
      <c r="AC28" s="1294" t="s">
        <v>171</v>
      </c>
      <c r="AD28" s="1294">
        <v>1221.5039999999999</v>
      </c>
      <c r="AE28" s="1294" t="s">
        <v>171</v>
      </c>
      <c r="AF28" s="1294">
        <v>156.81299999999999</v>
      </c>
      <c r="AG28" s="1296">
        <v>4347.8869999999997</v>
      </c>
      <c r="AH28" s="1311">
        <f t="shared" si="1"/>
        <v>2022.09</v>
      </c>
      <c r="AI28" s="1293" t="s">
        <v>171</v>
      </c>
      <c r="AJ28" s="1294">
        <v>149.74199999999999</v>
      </c>
      <c r="AK28" s="1294">
        <v>2374.6550000000002</v>
      </c>
      <c r="AL28" s="1294" t="s">
        <v>171</v>
      </c>
      <c r="AM28" s="1294">
        <v>572.89400000000001</v>
      </c>
      <c r="AN28" s="1294">
        <v>39.328000000000003</v>
      </c>
      <c r="AO28" s="1296">
        <v>3136.6190000000001</v>
      </c>
      <c r="AP28" s="1293">
        <v>472.13499999999999</v>
      </c>
      <c r="AQ28" s="1294">
        <v>14093.576999999999</v>
      </c>
      <c r="AR28" s="1294">
        <v>6.9829999999999997</v>
      </c>
      <c r="AS28" s="1298">
        <v>14572.696</v>
      </c>
      <c r="AT28" s="1293" t="s">
        <v>171</v>
      </c>
      <c r="AU28" s="1294">
        <v>24.565999999999999</v>
      </c>
      <c r="AV28" s="1296" t="s">
        <v>171</v>
      </c>
      <c r="AW28" s="1296">
        <v>14270.34</v>
      </c>
      <c r="AX28" s="1325"/>
    </row>
    <row r="29" spans="1:50" s="1321" customFormat="1" ht="24.95" customHeight="1">
      <c r="A29" s="1326">
        <v>2022.1</v>
      </c>
      <c r="B29" s="1327">
        <v>3.9260000000000002</v>
      </c>
      <c r="C29" s="1328" t="s">
        <v>171</v>
      </c>
      <c r="D29" s="1328">
        <v>3430.7829999999999</v>
      </c>
      <c r="E29" s="1328" t="s">
        <v>171</v>
      </c>
      <c r="F29" s="1328">
        <v>141.99799999999999</v>
      </c>
      <c r="G29" s="1328">
        <v>259.23500000000001</v>
      </c>
      <c r="H29" s="1329">
        <v>3835.9409999999998</v>
      </c>
      <c r="I29" s="1327">
        <v>3.5670000000000002</v>
      </c>
      <c r="J29" s="1328" t="s">
        <v>171</v>
      </c>
      <c r="K29" s="1328">
        <v>2031.644</v>
      </c>
      <c r="L29" s="1328" t="s">
        <v>171</v>
      </c>
      <c r="M29" s="1328" t="s">
        <v>171</v>
      </c>
      <c r="N29" s="1328">
        <v>534.33799999999997</v>
      </c>
      <c r="O29" s="1328">
        <v>14.711</v>
      </c>
      <c r="P29" s="1330">
        <v>91.103999999999999</v>
      </c>
      <c r="Q29" s="1330">
        <v>4.7480000000000002</v>
      </c>
      <c r="R29" s="1329">
        <v>2680.1120000000001</v>
      </c>
      <c r="S29" s="1326">
        <f t="shared" si="0"/>
        <v>2022.1</v>
      </c>
      <c r="T29" s="1327">
        <v>0.42</v>
      </c>
      <c r="U29" s="1328">
        <v>1736.405</v>
      </c>
      <c r="V29" s="1328" t="s">
        <v>171</v>
      </c>
      <c r="W29" s="1328">
        <v>150.16900000000001</v>
      </c>
      <c r="X29" s="1328">
        <v>1087.6199999999999</v>
      </c>
      <c r="Y29" s="1328">
        <v>153.1</v>
      </c>
      <c r="Z29" s="1329">
        <v>3127.7139999999999</v>
      </c>
      <c r="AA29" s="1327">
        <v>0.96399999999999997</v>
      </c>
      <c r="AB29" s="1331">
        <v>2210.1350000000002</v>
      </c>
      <c r="AC29" s="1328" t="s">
        <v>171</v>
      </c>
      <c r="AD29" s="1328">
        <v>1331.0820000000001</v>
      </c>
      <c r="AE29" s="1328" t="s">
        <v>171</v>
      </c>
      <c r="AF29" s="1328">
        <v>136.75</v>
      </c>
      <c r="AG29" s="1329">
        <v>3678.931</v>
      </c>
      <c r="AH29" s="1326">
        <f t="shared" si="1"/>
        <v>2022.1</v>
      </c>
      <c r="AI29" s="1327" t="s">
        <v>171</v>
      </c>
      <c r="AJ29" s="1328">
        <v>197.904</v>
      </c>
      <c r="AK29" s="1328">
        <v>2158.6210000000001</v>
      </c>
      <c r="AL29" s="1328" t="s">
        <v>171</v>
      </c>
      <c r="AM29" s="1328">
        <v>771.79499999999996</v>
      </c>
      <c r="AN29" s="1328">
        <v>44.048999999999999</v>
      </c>
      <c r="AO29" s="1329">
        <v>3172.3690000000001</v>
      </c>
      <c r="AP29" s="1327">
        <v>421.54599999999999</v>
      </c>
      <c r="AQ29" s="1328">
        <v>14381.733</v>
      </c>
      <c r="AR29" s="1328">
        <v>8.2729999999999997</v>
      </c>
      <c r="AS29" s="1330">
        <v>14811.553</v>
      </c>
      <c r="AT29" s="1327" t="s">
        <v>171</v>
      </c>
      <c r="AU29" s="1328">
        <v>24.893999999999998</v>
      </c>
      <c r="AV29" s="1329" t="s">
        <v>171</v>
      </c>
      <c r="AW29" s="1329">
        <v>14409.52</v>
      </c>
      <c r="AX29" s="1332"/>
    </row>
    <row r="30" spans="1:50" s="1333" customFormat="1" ht="24.95" customHeight="1">
      <c r="A30" s="1326">
        <v>2022.11</v>
      </c>
      <c r="B30" s="1327">
        <v>3.9849999999999999</v>
      </c>
      <c r="C30" s="1328" t="s">
        <v>171</v>
      </c>
      <c r="D30" s="1328">
        <v>2663.1329999999998</v>
      </c>
      <c r="E30" s="1328" t="s">
        <v>171</v>
      </c>
      <c r="F30" s="1328">
        <v>185.33500000000001</v>
      </c>
      <c r="G30" s="1328">
        <v>210.821</v>
      </c>
      <c r="H30" s="1329">
        <v>3063.2730000000001</v>
      </c>
      <c r="I30" s="1327">
        <v>2.35</v>
      </c>
      <c r="J30" s="1328" t="s">
        <v>171</v>
      </c>
      <c r="K30" s="1328">
        <v>2660.6959999999999</v>
      </c>
      <c r="L30" s="1328" t="s">
        <v>171</v>
      </c>
      <c r="M30" s="1328" t="s">
        <v>171</v>
      </c>
      <c r="N30" s="1328">
        <v>1105.3789999999999</v>
      </c>
      <c r="O30" s="1328">
        <v>10.824999999999999</v>
      </c>
      <c r="P30" s="1330">
        <v>98.730999999999995</v>
      </c>
      <c r="Q30" s="1330">
        <v>4.4470000000000001</v>
      </c>
      <c r="R30" s="1329">
        <v>3882.4270000000001</v>
      </c>
      <c r="S30" s="1326">
        <f t="shared" si="0"/>
        <v>2022.11</v>
      </c>
      <c r="T30" s="1327">
        <v>0.46700000000000003</v>
      </c>
      <c r="U30" s="1328">
        <v>2496.4490000000001</v>
      </c>
      <c r="V30" s="1328" t="s">
        <v>171</v>
      </c>
      <c r="W30" s="1328">
        <v>187.40600000000001</v>
      </c>
      <c r="X30" s="1328">
        <v>1185.403</v>
      </c>
      <c r="Y30" s="1328">
        <v>67.578000000000003</v>
      </c>
      <c r="Z30" s="1329">
        <v>3937.3040000000001</v>
      </c>
      <c r="AA30" s="1327">
        <v>1.0269999999999999</v>
      </c>
      <c r="AB30" s="1331">
        <v>2141.7249999999999</v>
      </c>
      <c r="AC30" s="1328" t="s">
        <v>171</v>
      </c>
      <c r="AD30" s="1328">
        <v>1149.133</v>
      </c>
      <c r="AE30" s="1328" t="s">
        <v>171</v>
      </c>
      <c r="AF30" s="1328">
        <v>144.00200000000001</v>
      </c>
      <c r="AG30" s="1329">
        <v>3435.8870000000002</v>
      </c>
      <c r="AH30" s="1326">
        <f t="shared" si="1"/>
        <v>2022.11</v>
      </c>
      <c r="AI30" s="1327" t="s">
        <v>171</v>
      </c>
      <c r="AJ30" s="1328">
        <v>141.07599999999999</v>
      </c>
      <c r="AK30" s="1328">
        <v>2153.2069999999999</v>
      </c>
      <c r="AL30" s="1328" t="s">
        <v>171</v>
      </c>
      <c r="AM30" s="1328">
        <v>829.029</v>
      </c>
      <c r="AN30" s="1328">
        <v>56.222000000000001</v>
      </c>
      <c r="AO30" s="1329">
        <v>3179.5329999999999</v>
      </c>
      <c r="AP30" s="1327">
        <v>384.35399999999998</v>
      </c>
      <c r="AQ30" s="1328">
        <v>14005.635</v>
      </c>
      <c r="AR30" s="1328">
        <v>6.4820000000000002</v>
      </c>
      <c r="AS30" s="1330">
        <v>14396.47</v>
      </c>
      <c r="AT30" s="1327" t="s">
        <v>171</v>
      </c>
      <c r="AU30" s="1328">
        <v>24.661000000000001</v>
      </c>
      <c r="AV30" s="1329" t="s">
        <v>171</v>
      </c>
      <c r="AW30" s="1329">
        <v>14298.251</v>
      </c>
      <c r="AX30" s="1332"/>
    </row>
    <row r="31" spans="1:50" s="1065" customFormat="1" ht="24.95" customHeight="1">
      <c r="A31" s="1334">
        <v>2022.12</v>
      </c>
      <c r="B31" s="1335">
        <v>4.585</v>
      </c>
      <c r="C31" s="1336" t="s">
        <v>171</v>
      </c>
      <c r="D31" s="1336">
        <v>3226.1089999999999</v>
      </c>
      <c r="E31" s="1336" t="s">
        <v>171</v>
      </c>
      <c r="F31" s="1336">
        <v>516.17399999999998</v>
      </c>
      <c r="G31" s="1336">
        <v>246.238</v>
      </c>
      <c r="H31" s="1337">
        <v>3993.1060000000002</v>
      </c>
      <c r="I31" s="1335">
        <v>2.641</v>
      </c>
      <c r="J31" s="1336" t="s">
        <v>171</v>
      </c>
      <c r="K31" s="1336">
        <v>3150.45</v>
      </c>
      <c r="L31" s="1336" t="s">
        <v>171</v>
      </c>
      <c r="M31" s="1336" t="s">
        <v>171</v>
      </c>
      <c r="N31" s="1336">
        <v>1558.365</v>
      </c>
      <c r="O31" s="1336">
        <v>15.141999999999999</v>
      </c>
      <c r="P31" s="1338">
        <v>109.925</v>
      </c>
      <c r="Q31" s="1338">
        <v>6.5890000000000004</v>
      </c>
      <c r="R31" s="1337">
        <v>4843.1120000000001</v>
      </c>
      <c r="S31" s="1326">
        <f t="shared" si="0"/>
        <v>2022.12</v>
      </c>
      <c r="T31" s="1335">
        <v>0.91</v>
      </c>
      <c r="U31" s="1336">
        <v>2834.4169999999999</v>
      </c>
      <c r="V31" s="1336" t="s">
        <v>171</v>
      </c>
      <c r="W31" s="1336">
        <v>226.47</v>
      </c>
      <c r="X31" s="1336">
        <v>1258.8150000000001</v>
      </c>
      <c r="Y31" s="1336">
        <v>279.65499999999997</v>
      </c>
      <c r="Z31" s="1337">
        <v>4600.2669999999998</v>
      </c>
      <c r="AA31" s="1335">
        <v>1.65</v>
      </c>
      <c r="AB31" s="1339">
        <v>3313.8910000000001</v>
      </c>
      <c r="AC31" s="1336" t="s">
        <v>171</v>
      </c>
      <c r="AD31" s="1336">
        <v>1553.681</v>
      </c>
      <c r="AE31" s="1336" t="s">
        <v>171</v>
      </c>
      <c r="AF31" s="1336">
        <v>159.25700000000001</v>
      </c>
      <c r="AG31" s="1337">
        <v>5028.4780000000001</v>
      </c>
      <c r="AH31" s="1326">
        <f t="shared" si="1"/>
        <v>2022.12</v>
      </c>
      <c r="AI31" s="1335" t="s">
        <v>171</v>
      </c>
      <c r="AJ31" s="1336">
        <v>274.49</v>
      </c>
      <c r="AK31" s="1336">
        <v>2822.3879999999999</v>
      </c>
      <c r="AL31" s="1336" t="s">
        <v>171</v>
      </c>
      <c r="AM31" s="1336">
        <v>936.78899999999999</v>
      </c>
      <c r="AN31" s="1336">
        <v>58.381</v>
      </c>
      <c r="AO31" s="1337">
        <v>4092.047</v>
      </c>
      <c r="AP31" s="1335">
        <v>372.55099999999999</v>
      </c>
      <c r="AQ31" s="1336">
        <v>15228.671</v>
      </c>
      <c r="AR31" s="1336">
        <v>5.4029999999999996</v>
      </c>
      <c r="AS31" s="1338">
        <v>15606.626</v>
      </c>
      <c r="AT31" s="1335" t="s">
        <v>171</v>
      </c>
      <c r="AU31" s="1336">
        <v>29.635999999999999</v>
      </c>
      <c r="AV31" s="1337" t="s">
        <v>171</v>
      </c>
      <c r="AW31" s="1337">
        <v>17374.690999999999</v>
      </c>
      <c r="AX31" s="1340">
        <f>H31+R31+Z31+AG31+AO31+AS31+SUM(AT31:AV31)+AW31</f>
        <v>55567.962999999996</v>
      </c>
    </row>
    <row r="32" spans="1:50" s="1299" customFormat="1" ht="2.25" customHeight="1">
      <c r="A32" s="1341"/>
      <c r="B32" s="1342"/>
      <c r="C32" s="1342"/>
      <c r="D32" s="1342"/>
      <c r="E32" s="1342"/>
      <c r="F32" s="1342"/>
      <c r="G32" s="1342"/>
      <c r="H32" s="1342"/>
      <c r="I32" s="1342"/>
      <c r="J32" s="1342"/>
      <c r="K32" s="1342"/>
      <c r="L32" s="1342"/>
      <c r="M32" s="1342"/>
      <c r="N32" s="1342"/>
      <c r="O32" s="1342"/>
      <c r="P32" s="1342"/>
      <c r="Q32" s="1342"/>
      <c r="R32" s="1342"/>
      <c r="S32" s="1342"/>
      <c r="T32" s="1342"/>
      <c r="U32" s="1342"/>
      <c r="V32" s="1342"/>
      <c r="W32" s="1342"/>
      <c r="X32" s="1342"/>
      <c r="Y32" s="1342"/>
      <c r="Z32" s="1342"/>
      <c r="AA32" s="1342"/>
      <c r="AB32" s="1342"/>
      <c r="AC32" s="1342"/>
      <c r="AD32" s="1342"/>
      <c r="AE32" s="1342"/>
      <c r="AF32" s="1342"/>
      <c r="AG32" s="1342"/>
      <c r="AH32" s="1342"/>
      <c r="AI32" s="1342"/>
      <c r="AJ32" s="1342"/>
      <c r="AK32" s="1342"/>
      <c r="AL32" s="1342"/>
      <c r="AM32" s="1342"/>
      <c r="AN32" s="1342"/>
      <c r="AO32" s="1342"/>
      <c r="AP32" s="1342"/>
      <c r="AQ32" s="1342"/>
      <c r="AR32" s="1342"/>
      <c r="AS32" s="1342"/>
      <c r="AT32" s="1342"/>
      <c r="AU32" s="1342"/>
      <c r="AV32" s="1342"/>
      <c r="AW32" s="1342"/>
    </row>
    <row r="33" spans="1:49" s="251" customFormat="1" ht="0.75" hidden="1" customHeight="1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7"/>
      <c r="M33" s="577"/>
      <c r="N33" s="577"/>
      <c r="O33" s="577"/>
      <c r="P33" s="577"/>
      <c r="Q33" s="577"/>
      <c r="R33" s="577"/>
      <c r="S33" s="576"/>
      <c r="T33" s="576"/>
      <c r="U33" s="576"/>
      <c r="V33" s="576"/>
      <c r="W33" s="576"/>
      <c r="X33" s="576"/>
      <c r="Y33" s="576"/>
      <c r="Z33" s="576"/>
      <c r="AA33" s="576"/>
      <c r="AB33" s="576"/>
      <c r="AC33" s="576"/>
      <c r="AD33" s="576"/>
      <c r="AE33" s="576"/>
      <c r="AF33" s="576"/>
      <c r="AG33" s="576"/>
      <c r="AH33" s="576"/>
      <c r="AI33" s="576"/>
      <c r="AJ33" s="576"/>
      <c r="AK33" s="576"/>
      <c r="AL33" s="576"/>
      <c r="AM33" s="576"/>
      <c r="AN33" s="576"/>
      <c r="AO33" s="576"/>
      <c r="AP33" s="576"/>
      <c r="AQ33" s="576"/>
      <c r="AR33" s="576"/>
      <c r="AS33" s="576"/>
      <c r="AT33" s="576"/>
      <c r="AU33" s="576"/>
      <c r="AV33" s="1343"/>
      <c r="AW33" s="576"/>
    </row>
    <row r="34" spans="1:49" s="251" customFormat="1" ht="12.95" customHeight="1">
      <c r="A34" s="305" t="s">
        <v>890</v>
      </c>
      <c r="B34" s="305"/>
      <c r="C34" s="305"/>
      <c r="D34" s="305"/>
      <c r="E34" s="305"/>
      <c r="F34" s="305"/>
      <c r="G34" s="305"/>
      <c r="H34" s="305"/>
      <c r="I34" s="305" t="s">
        <v>891</v>
      </c>
      <c r="J34" s="305"/>
      <c r="K34" s="305"/>
      <c r="L34" s="631"/>
      <c r="M34" s="631"/>
      <c r="N34" s="631"/>
      <c r="O34" s="631"/>
      <c r="P34" s="631"/>
      <c r="Q34" s="631"/>
      <c r="R34" s="631"/>
      <c r="S34" s="305"/>
      <c r="T34" s="305"/>
      <c r="U34" s="631"/>
      <c r="V34" s="631"/>
      <c r="W34" s="631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631"/>
      <c r="AK34" s="305"/>
      <c r="AL34" s="631"/>
      <c r="AM34" s="305"/>
      <c r="AN34" s="305"/>
      <c r="AO34" s="305"/>
      <c r="AP34" s="626" t="s">
        <v>892</v>
      </c>
      <c r="AQ34" s="305"/>
      <c r="AR34" s="305"/>
      <c r="AS34" s="305"/>
      <c r="AT34" s="305"/>
      <c r="AU34" s="305"/>
      <c r="AV34" s="1344"/>
      <c r="AW34" s="305"/>
    </row>
    <row r="35" spans="1:49" ht="12.95" customHeight="1">
      <c r="A35" s="305"/>
      <c r="B35" s="1345"/>
      <c r="C35" s="1345"/>
      <c r="D35" s="1345"/>
      <c r="E35" s="1345"/>
      <c r="F35" s="1345"/>
      <c r="G35" s="1345"/>
      <c r="H35" s="1345"/>
      <c r="I35" s="1345"/>
      <c r="J35" s="1345"/>
      <c r="K35" s="1345"/>
      <c r="L35" s="1345"/>
      <c r="M35" s="1345"/>
      <c r="N35" s="1345"/>
      <c r="O35" s="1345"/>
      <c r="P35" s="1345"/>
      <c r="Q35" s="1345"/>
      <c r="R35" s="1345"/>
      <c r="S35" s="1345"/>
      <c r="T35" s="1345"/>
      <c r="U35" s="1345"/>
      <c r="V35" s="1345"/>
      <c r="W35" s="1345"/>
      <c r="X35" s="1345"/>
      <c r="Y35" s="1345"/>
      <c r="Z35" s="1345"/>
      <c r="AA35" s="1345"/>
      <c r="AB35" s="1345"/>
      <c r="AC35" s="1345"/>
      <c r="AD35" s="1345"/>
      <c r="AE35" s="1345"/>
      <c r="AF35" s="1345"/>
      <c r="AG35" s="1345"/>
      <c r="AH35" s="1345"/>
      <c r="AI35" s="1345"/>
      <c r="AJ35" s="1345"/>
      <c r="AK35" s="1345"/>
      <c r="AL35" s="1345"/>
      <c r="AM35" s="1345"/>
      <c r="AN35" s="1345"/>
      <c r="AO35" s="1345"/>
      <c r="AP35" s="1345"/>
      <c r="AQ35" s="1345"/>
      <c r="AR35" s="1345"/>
      <c r="AS35" s="1345"/>
      <c r="AT35" s="1345"/>
      <c r="AU35" s="1345"/>
      <c r="AV35" s="1346"/>
      <c r="AW35" s="1345"/>
    </row>
    <row r="37" spans="1:49">
      <c r="B37" s="1325"/>
    </row>
  </sheetData>
  <mergeCells count="10">
    <mergeCell ref="AH4:AH5"/>
    <mergeCell ref="AI4:AO4"/>
    <mergeCell ref="AP4:AS4"/>
    <mergeCell ref="AT4:AV4"/>
    <mergeCell ref="A4:A5"/>
    <mergeCell ref="B4:H4"/>
    <mergeCell ref="I4:R4"/>
    <mergeCell ref="S4:S5"/>
    <mergeCell ref="T4:Z4"/>
    <mergeCell ref="AA4:AG4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26" orientation="portrait" useFirstPageNumber="1" r:id="rId1"/>
  <headerFooter differentOddEven="1" scaleWithDoc="0" alignWithMargins="0">
    <firstFooter>&amp;R&amp;P</firstFooter>
  </headerFooter>
  <colBreaks count="5" manualBreakCount="5">
    <brk id="8" max="33" man="1"/>
    <brk id="18" max="33" man="1"/>
    <brk id="26" max="33" man="1"/>
    <brk id="33" max="33" man="1"/>
    <brk id="41" max="3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1"/>
  <sheetViews>
    <sheetView view="pageBreakPreview" zoomScale="85" zoomScaleNormal="100" zoomScaleSheetLayoutView="85" workbookViewId="0">
      <pane xSplit="1" ySplit="4" topLeftCell="B5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6.5"/>
  <cols>
    <col min="1" max="1" width="9.875" style="12" customWidth="1"/>
    <col min="2" max="6" width="10.5" style="12" customWidth="1"/>
    <col min="7" max="8" width="9.875" style="12" customWidth="1"/>
    <col min="9" max="9" width="11" style="12" customWidth="1"/>
    <col min="10" max="12" width="10" style="12" customWidth="1"/>
    <col min="13" max="13" width="2.75" style="12" customWidth="1"/>
    <col min="14" max="18" width="10" style="12" customWidth="1"/>
    <col min="19" max="19" width="2.75" style="12" customWidth="1"/>
    <col min="20" max="26" width="10" style="12" customWidth="1"/>
    <col min="27" max="27" width="2.75" style="12" customWidth="1"/>
    <col min="28" max="32" width="10" style="12" customWidth="1"/>
    <col min="33" max="33" width="2.75" style="12" customWidth="1"/>
    <col min="34" max="45" width="10" style="12" customWidth="1"/>
    <col min="46" max="46" width="8.75" style="12" customWidth="1"/>
    <col min="47" max="69" width="10" style="12" customWidth="1"/>
    <col min="70" max="70" width="2.75" style="12" customWidth="1"/>
    <col min="71" max="75" width="10" style="12" customWidth="1"/>
    <col min="76" max="76" width="2.75" style="12" customWidth="1"/>
    <col min="77" max="83" width="10" style="12" customWidth="1"/>
    <col min="84" max="84" width="2.75" style="12" customWidth="1"/>
    <col min="85" max="89" width="10" style="12" customWidth="1"/>
    <col min="90" max="90" width="2.75" style="12" customWidth="1"/>
    <col min="91" max="102" width="10" style="12" customWidth="1"/>
    <col min="103" max="103" width="8.75" style="12" customWidth="1"/>
    <col min="104" max="120" width="10" style="12" customWidth="1"/>
    <col min="121" max="121" width="2.75" style="12" customWidth="1"/>
    <col min="122" max="128" width="10" style="12" customWidth="1"/>
    <col min="129" max="129" width="2.75" style="12" customWidth="1"/>
    <col min="130" max="134" width="10" style="12" customWidth="1"/>
    <col min="135" max="135" width="2.75" style="12" customWidth="1"/>
    <col min="136" max="147" width="10" style="12" customWidth="1"/>
    <col min="148" max="148" width="8.75" style="12" customWidth="1"/>
    <col min="149" max="169" width="10" style="12" customWidth="1"/>
    <col min="170" max="170" width="8.75" style="12" customWidth="1"/>
    <col min="171" max="190" width="10" style="12" customWidth="1"/>
    <col min="191" max="196" width="8.75" style="12" customWidth="1"/>
    <col min="197" max="16384" width="10" style="12"/>
  </cols>
  <sheetData>
    <row r="1" spans="1:9" ht="20.25">
      <c r="A1" s="548" t="s">
        <v>893</v>
      </c>
      <c r="B1" s="548"/>
      <c r="C1" s="548"/>
      <c r="D1" s="548"/>
      <c r="E1" s="548"/>
      <c r="F1" s="548"/>
    </row>
    <row r="2" spans="1:9" ht="17.25">
      <c r="A2" s="939" t="s">
        <v>894</v>
      </c>
      <c r="B2" s="939"/>
      <c r="C2" s="939"/>
      <c r="D2" s="939"/>
      <c r="E2" s="939"/>
      <c r="F2" s="939"/>
    </row>
    <row r="3" spans="1:9" ht="15" customHeight="1">
      <c r="I3" s="1348" t="s">
        <v>895</v>
      </c>
    </row>
    <row r="4" spans="1:9" ht="21.95" customHeight="1">
      <c r="A4" s="943" t="s">
        <v>723</v>
      </c>
      <c r="B4" s="944" t="s">
        <v>13</v>
      </c>
      <c r="C4" s="945" t="s">
        <v>204</v>
      </c>
      <c r="D4" s="945" t="s">
        <v>724</v>
      </c>
      <c r="E4" s="945" t="s">
        <v>140</v>
      </c>
      <c r="F4" s="945" t="s">
        <v>191</v>
      </c>
      <c r="G4" s="945" t="s">
        <v>187</v>
      </c>
      <c r="H4" s="946" t="s">
        <v>132</v>
      </c>
      <c r="I4" s="1349" t="s">
        <v>161</v>
      </c>
    </row>
    <row r="5" spans="1:9" ht="21.95" customHeight="1">
      <c r="A5" s="1350">
        <v>2011</v>
      </c>
      <c r="B5" s="1351">
        <v>154723.10699999999</v>
      </c>
      <c r="C5" s="1352">
        <v>202855.73699999999</v>
      </c>
      <c r="D5" s="1352">
        <v>112646.37699999999</v>
      </c>
      <c r="E5" s="1352">
        <v>12190.054</v>
      </c>
      <c r="F5" s="1352">
        <v>11245.106</v>
      </c>
      <c r="G5" s="1353">
        <v>3232.9850000000001</v>
      </c>
      <c r="H5" s="1354" t="s">
        <v>171</v>
      </c>
      <c r="I5" s="1355">
        <v>496893.36599999998</v>
      </c>
    </row>
    <row r="6" spans="1:9" ht="21.95" customHeight="1">
      <c r="A6" s="1350">
        <v>2012</v>
      </c>
      <c r="B6" s="1351">
        <v>150327.29300000001</v>
      </c>
      <c r="C6" s="1352">
        <v>202191.408</v>
      </c>
      <c r="D6" s="1352">
        <v>125284.726</v>
      </c>
      <c r="E6" s="1352">
        <v>12586.906999999999</v>
      </c>
      <c r="F6" s="1352">
        <v>15500.732</v>
      </c>
      <c r="G6" s="1353">
        <v>3683.2620000000002</v>
      </c>
      <c r="H6" s="1356" t="s">
        <v>171</v>
      </c>
      <c r="I6" s="1355">
        <v>509574.32799999998</v>
      </c>
    </row>
    <row r="7" spans="1:9" ht="21.95" customHeight="1">
      <c r="A7" s="1350">
        <v>2013</v>
      </c>
      <c r="B7" s="1351">
        <v>138783.973</v>
      </c>
      <c r="C7" s="1352">
        <v>204195.58</v>
      </c>
      <c r="D7" s="1352">
        <v>139782.81200000001</v>
      </c>
      <c r="E7" s="1352">
        <v>14448.925999999999</v>
      </c>
      <c r="F7" s="1352">
        <v>15831.922</v>
      </c>
      <c r="G7" s="1353">
        <v>4104.6610000000001</v>
      </c>
      <c r="H7" s="1356" t="s">
        <v>171</v>
      </c>
      <c r="I7" s="1355">
        <v>517147.87400000001</v>
      </c>
    </row>
    <row r="8" spans="1:9" ht="21.95" customHeight="1">
      <c r="A8" s="1357">
        <v>2014</v>
      </c>
      <c r="B8" s="1351">
        <v>156406.511</v>
      </c>
      <c r="C8" s="1352">
        <v>207213.58300000001</v>
      </c>
      <c r="D8" s="1352">
        <v>127472.024</v>
      </c>
      <c r="E8" s="1352">
        <v>17447.109</v>
      </c>
      <c r="F8" s="1352">
        <v>8363.5460000000003</v>
      </c>
      <c r="G8" s="1353">
        <v>5068.1289999999999</v>
      </c>
      <c r="H8" s="1356" t="s">
        <v>171</v>
      </c>
      <c r="I8" s="1355">
        <v>521970.902</v>
      </c>
    </row>
    <row r="9" spans="1:9" ht="21.95" customHeight="1">
      <c r="A9" s="1357">
        <v>2015</v>
      </c>
      <c r="B9" s="1351">
        <v>164762.416</v>
      </c>
      <c r="C9" s="1352">
        <v>211392.815</v>
      </c>
      <c r="D9" s="1352">
        <v>118694.739</v>
      </c>
      <c r="E9" s="1352">
        <v>19463.668000000001</v>
      </c>
      <c r="F9" s="1352">
        <v>10127.234</v>
      </c>
      <c r="G9" s="1353">
        <v>3650.32</v>
      </c>
      <c r="H9" s="1356" t="s">
        <v>171</v>
      </c>
      <c r="I9" s="1355">
        <v>528091.19200000004</v>
      </c>
    </row>
    <row r="10" spans="1:9" ht="21.95" customHeight="1">
      <c r="A10" s="1357">
        <v>2016</v>
      </c>
      <c r="B10" s="1351">
        <v>161995.10419819999</v>
      </c>
      <c r="C10" s="1352">
        <v>213803.43914500001</v>
      </c>
      <c r="D10" s="1352">
        <v>121018.0721797</v>
      </c>
      <c r="E10" s="1352">
        <v>25836.3173685</v>
      </c>
      <c r="F10" s="1352">
        <v>14000.610826800001</v>
      </c>
      <c r="G10" s="1353">
        <v>3787.3103731000001</v>
      </c>
      <c r="H10" s="1356" t="s">
        <v>171</v>
      </c>
      <c r="I10" s="1355">
        <v>540440.85409130005</v>
      </c>
    </row>
    <row r="11" spans="1:9" ht="21.95" customHeight="1">
      <c r="A11" s="1357">
        <v>2017</v>
      </c>
      <c r="B11" s="1351">
        <v>148426.724823</v>
      </c>
      <c r="C11" s="1352">
        <v>238798.98941139999</v>
      </c>
      <c r="D11" s="1352">
        <v>126038.7076394</v>
      </c>
      <c r="E11" s="1352">
        <v>30816.758147</v>
      </c>
      <c r="F11" s="1352">
        <v>5262.5748182999996</v>
      </c>
      <c r="G11" s="1353">
        <v>4186.352543</v>
      </c>
      <c r="H11" s="1356" t="s">
        <v>171</v>
      </c>
      <c r="I11" s="1355">
        <v>553530.10738219996</v>
      </c>
    </row>
    <row r="12" spans="1:9" s="1358" customFormat="1" ht="21.95" customHeight="1">
      <c r="A12" s="1357">
        <v>2018</v>
      </c>
      <c r="B12" s="1351">
        <v>133505.261383</v>
      </c>
      <c r="C12" s="1352">
        <v>238967.33562649999</v>
      </c>
      <c r="D12" s="1352">
        <v>152924.4948016</v>
      </c>
      <c r="E12" s="1352">
        <v>35598.2014127</v>
      </c>
      <c r="F12" s="1352">
        <v>5740.1785730000001</v>
      </c>
      <c r="G12" s="1353">
        <v>3911.0347799000001</v>
      </c>
      <c r="H12" s="1356" t="s">
        <v>171</v>
      </c>
      <c r="I12" s="1355">
        <v>570646.50657660002</v>
      </c>
    </row>
    <row r="13" spans="1:9" s="1358" customFormat="1" ht="21.95" customHeight="1">
      <c r="A13" s="1357">
        <v>2019</v>
      </c>
      <c r="B13" s="1351">
        <v>145909.66948800001</v>
      </c>
      <c r="C13" s="1352">
        <v>227384.07225190001</v>
      </c>
      <c r="D13" s="1352">
        <v>144354.90479940001</v>
      </c>
      <c r="E13" s="1352">
        <v>36391.581797300001</v>
      </c>
      <c r="F13" s="1352">
        <v>3292.2533444000001</v>
      </c>
      <c r="G13" s="1353">
        <v>3458.3847553000001</v>
      </c>
      <c r="H13" s="1356">
        <v>2249.4383576</v>
      </c>
      <c r="I13" s="1355">
        <v>563040.304794</v>
      </c>
    </row>
    <row r="14" spans="1:9" s="1358" customFormat="1" ht="21.95" customHeight="1">
      <c r="A14" s="1357">
        <v>2020</v>
      </c>
      <c r="B14" s="1351">
        <v>160183.72136719999</v>
      </c>
      <c r="C14" s="1352">
        <v>196332.85714569999</v>
      </c>
      <c r="D14" s="1352">
        <v>145911.17935719999</v>
      </c>
      <c r="E14" s="1352">
        <v>36526.783778500001</v>
      </c>
      <c r="F14" s="1352">
        <v>2255.2989234000001</v>
      </c>
      <c r="G14" s="1353">
        <v>3271.0193528999998</v>
      </c>
      <c r="H14" s="1356">
        <v>7681.3002371000002</v>
      </c>
      <c r="I14" s="1359">
        <v>552162.16016189998</v>
      </c>
    </row>
    <row r="15" spans="1:9" s="1358" customFormat="1" ht="21.95" customHeight="1">
      <c r="A15" s="1360">
        <v>2021</v>
      </c>
      <c r="B15" s="1361">
        <v>158015.23027900001</v>
      </c>
      <c r="C15" s="1362">
        <v>197966.37213239999</v>
      </c>
      <c r="D15" s="1362">
        <v>168378.3146217</v>
      </c>
      <c r="E15" s="1362">
        <v>43095.801162999996</v>
      </c>
      <c r="F15" s="1362">
        <v>2354.4830339</v>
      </c>
      <c r="G15" s="1363">
        <v>3682.9323890999999</v>
      </c>
      <c r="H15" s="1356">
        <v>3316.3547459000001</v>
      </c>
      <c r="I15" s="1364">
        <v>576809.488365</v>
      </c>
    </row>
    <row r="16" spans="1:9" ht="23.1" customHeight="1">
      <c r="A16" s="1302" t="s">
        <v>795</v>
      </c>
      <c r="B16" s="1365">
        <v>158015.23027900001</v>
      </c>
      <c r="C16" s="1366">
        <v>197966.37213239999</v>
      </c>
      <c r="D16" s="1366">
        <v>168378.3146217</v>
      </c>
      <c r="E16" s="1366">
        <v>43095.801162999996</v>
      </c>
      <c r="F16" s="1366">
        <v>2354.4830339</v>
      </c>
      <c r="G16" s="1367">
        <v>3682.9323890999999</v>
      </c>
      <c r="H16" s="1368">
        <v>3316.3547459000001</v>
      </c>
      <c r="I16" s="1369">
        <v>576809.488365</v>
      </c>
    </row>
    <row r="17" spans="1:9" ht="23.1" customHeight="1">
      <c r="A17" s="1311">
        <v>2021.12</v>
      </c>
      <c r="B17" s="1351">
        <v>16531.642182</v>
      </c>
      <c r="C17" s="1352">
        <v>18201.249730899999</v>
      </c>
      <c r="D17" s="1352">
        <v>14396.4175426</v>
      </c>
      <c r="E17" s="1352">
        <v>3506.2476111999999</v>
      </c>
      <c r="F17" s="1352">
        <v>154.38271779999999</v>
      </c>
      <c r="G17" s="1370">
        <v>338.11990479999997</v>
      </c>
      <c r="H17" s="1356">
        <v>245.54922640000001</v>
      </c>
      <c r="I17" s="1371">
        <v>53373.608915700002</v>
      </c>
    </row>
    <row r="18" spans="1:9" ht="23.1" customHeight="1">
      <c r="A18" s="1372" t="s">
        <v>796</v>
      </c>
      <c r="B18" s="1373">
        <v>176054.01241699999</v>
      </c>
      <c r="C18" s="1374">
        <v>193231.14981649999</v>
      </c>
      <c r="D18" s="1374">
        <v>163573.7962525</v>
      </c>
      <c r="E18" s="1374">
        <v>53174.562153699997</v>
      </c>
      <c r="F18" s="1374">
        <v>1965.6225365</v>
      </c>
      <c r="G18" s="1375">
        <v>3715.3196431000001</v>
      </c>
      <c r="H18" s="1376">
        <v>2677.5357245999999</v>
      </c>
      <c r="I18" s="1377">
        <v>594391.99854389997</v>
      </c>
    </row>
    <row r="19" spans="1:9" ht="23.1" customHeight="1">
      <c r="A19" s="1378">
        <v>2022.01</v>
      </c>
      <c r="B19" s="1379">
        <v>16103.260362000001</v>
      </c>
      <c r="C19" s="1380">
        <v>18363.066733</v>
      </c>
      <c r="D19" s="1380">
        <v>15252.030195400001</v>
      </c>
      <c r="E19" s="1380">
        <v>4017.1580184999998</v>
      </c>
      <c r="F19" s="1380">
        <v>477.714856</v>
      </c>
      <c r="G19" s="1381">
        <v>330.40715390000003</v>
      </c>
      <c r="H19" s="1382">
        <v>248.66387409999999</v>
      </c>
      <c r="I19" s="1383">
        <v>54792.301192899999</v>
      </c>
    </row>
    <row r="20" spans="1:9" s="1358" customFormat="1" ht="23.1" customHeight="1">
      <c r="A20" s="1311">
        <v>2022.02</v>
      </c>
      <c r="B20" s="1351">
        <v>13989.889691</v>
      </c>
      <c r="C20" s="1352">
        <v>15915.426524</v>
      </c>
      <c r="D20" s="1352">
        <v>13618.8773126</v>
      </c>
      <c r="E20" s="1352">
        <v>4183.2903515999997</v>
      </c>
      <c r="F20" s="1352">
        <v>198.87534729999999</v>
      </c>
      <c r="G20" s="1370">
        <v>323.69631850000002</v>
      </c>
      <c r="H20" s="1356">
        <v>257.4463892</v>
      </c>
      <c r="I20" s="1371">
        <v>48487.501934300002</v>
      </c>
    </row>
    <row r="21" spans="1:9" ht="23.1" customHeight="1">
      <c r="A21" s="1311">
        <v>2022.03</v>
      </c>
      <c r="B21" s="1351">
        <v>13866.525272999999</v>
      </c>
      <c r="C21" s="1352">
        <v>14006.999699800001</v>
      </c>
      <c r="D21" s="1352">
        <v>16658.324647000001</v>
      </c>
      <c r="E21" s="1352">
        <v>4371.6152233000003</v>
      </c>
      <c r="F21" s="1352">
        <v>170.05247009999999</v>
      </c>
      <c r="G21" s="1352">
        <v>343.74606720000003</v>
      </c>
      <c r="H21" s="1356">
        <v>241.88974250000001</v>
      </c>
      <c r="I21" s="1371">
        <v>49659.153122800002</v>
      </c>
    </row>
    <row r="22" spans="1:9" ht="23.1" customHeight="1">
      <c r="A22" s="1311">
        <v>2022.04</v>
      </c>
      <c r="B22" s="1351">
        <v>13385.161618</v>
      </c>
      <c r="C22" s="1352">
        <v>13289.176251700001</v>
      </c>
      <c r="D22" s="1352">
        <v>12795.3930019</v>
      </c>
      <c r="E22" s="1352">
        <v>4760.9712229999996</v>
      </c>
      <c r="F22" s="1352">
        <v>126.2560237</v>
      </c>
      <c r="G22" s="1370">
        <v>266.48677529999998</v>
      </c>
      <c r="H22" s="1356">
        <v>235.42472710000001</v>
      </c>
      <c r="I22" s="1371">
        <v>44858.869620700003</v>
      </c>
    </row>
    <row r="23" spans="1:9" ht="23.1" customHeight="1">
      <c r="A23" s="1311">
        <v>2022.05</v>
      </c>
      <c r="B23" s="1351">
        <v>14609.831549</v>
      </c>
      <c r="C23" s="1352">
        <v>13550.7109521</v>
      </c>
      <c r="D23" s="1352">
        <v>12150.319139499999</v>
      </c>
      <c r="E23" s="1352">
        <v>5279.8887249999998</v>
      </c>
      <c r="F23" s="1352">
        <v>101.7432946</v>
      </c>
      <c r="G23" s="1370">
        <v>293.67606699999999</v>
      </c>
      <c r="H23" s="1356">
        <v>194.6605787</v>
      </c>
      <c r="I23" s="1371">
        <v>46180.830305900003</v>
      </c>
    </row>
    <row r="24" spans="1:9" ht="23.1" customHeight="1">
      <c r="A24" s="1311">
        <v>2022.06</v>
      </c>
      <c r="B24" s="1351">
        <v>14725.940799</v>
      </c>
      <c r="C24" s="1352">
        <v>15549.347272700001</v>
      </c>
      <c r="D24" s="1352">
        <v>12510.148117500001</v>
      </c>
      <c r="E24" s="1352">
        <v>4202.7764212000002</v>
      </c>
      <c r="F24" s="1352">
        <v>121.84843619999999</v>
      </c>
      <c r="G24" s="1370">
        <v>276.41091030000001</v>
      </c>
      <c r="H24" s="1356">
        <v>200.38871420000001</v>
      </c>
      <c r="I24" s="1371">
        <v>47586.860671100003</v>
      </c>
    </row>
    <row r="25" spans="1:9" ht="23.1" customHeight="1">
      <c r="A25" s="1311">
        <v>2022.07</v>
      </c>
      <c r="B25" s="1351">
        <v>15354.808879</v>
      </c>
      <c r="C25" s="1352">
        <v>19672.031563500001</v>
      </c>
      <c r="D25" s="1352">
        <v>14812.131123900001</v>
      </c>
      <c r="E25" s="1352">
        <v>4591.0592023999998</v>
      </c>
      <c r="F25" s="1352">
        <v>118.28864419999999</v>
      </c>
      <c r="G25" s="1370">
        <v>286.80454550000002</v>
      </c>
      <c r="H25" s="1356">
        <v>192.28231779999999</v>
      </c>
      <c r="I25" s="1371">
        <v>55027.406276100002</v>
      </c>
    </row>
    <row r="26" spans="1:9" ht="23.1" customHeight="1">
      <c r="A26" s="1311">
        <v>2022.08</v>
      </c>
      <c r="B26" s="1351">
        <v>16308.978005999999</v>
      </c>
      <c r="C26" s="1352">
        <v>18929.5483112</v>
      </c>
      <c r="D26" s="1352">
        <v>13227.2350953</v>
      </c>
      <c r="E26" s="1352">
        <v>4838.0039970999997</v>
      </c>
      <c r="F26" s="1352">
        <v>110.6328384</v>
      </c>
      <c r="G26" s="1370">
        <v>328.95963760000001</v>
      </c>
      <c r="H26" s="1356">
        <v>220.6037762</v>
      </c>
      <c r="I26" s="1371">
        <v>53963.961661699999</v>
      </c>
    </row>
    <row r="27" spans="1:9" ht="23.1" customHeight="1">
      <c r="A27" s="1311">
        <v>2022.09</v>
      </c>
      <c r="B27" s="1351">
        <v>14093.576999000001</v>
      </c>
      <c r="C27" s="1352">
        <v>15561.078718500001</v>
      </c>
      <c r="D27" s="1352">
        <v>11410.437327</v>
      </c>
      <c r="E27" s="1352">
        <v>4619.8642134000002</v>
      </c>
      <c r="F27" s="1352">
        <v>110.9929958</v>
      </c>
      <c r="G27" s="1370">
        <v>316.06800829999997</v>
      </c>
      <c r="H27" s="1356">
        <v>196.29170060000001</v>
      </c>
      <c r="I27" s="1371">
        <v>46308.309962699997</v>
      </c>
    </row>
    <row r="28" spans="1:9" ht="23.1" customHeight="1">
      <c r="A28" s="1326">
        <v>2022.1</v>
      </c>
      <c r="B28" s="1384">
        <v>14381.733233999999</v>
      </c>
      <c r="C28" s="1385">
        <v>14493.825427199999</v>
      </c>
      <c r="D28" s="1385">
        <v>11543.4419294</v>
      </c>
      <c r="E28" s="1385">
        <v>4613.6061323000004</v>
      </c>
      <c r="F28" s="1385">
        <v>125.97527669999999</v>
      </c>
      <c r="G28" s="1386">
        <v>323.89067210000002</v>
      </c>
      <c r="H28" s="1387">
        <v>258.56152209999999</v>
      </c>
      <c r="I28" s="1388">
        <v>45741.034193799998</v>
      </c>
    </row>
    <row r="29" spans="1:9" ht="23.1" customHeight="1">
      <c r="A29" s="1326">
        <v>2022.11</v>
      </c>
      <c r="B29" s="1384">
        <v>14005.634513000001</v>
      </c>
      <c r="C29" s="1385">
        <v>14992.241056700001</v>
      </c>
      <c r="D29" s="1385">
        <v>12721.562829799999</v>
      </c>
      <c r="E29" s="1385">
        <v>3848.6060769000001</v>
      </c>
      <c r="F29" s="1385">
        <v>134.95472369999999</v>
      </c>
      <c r="G29" s="1386">
        <v>312.24761180000002</v>
      </c>
      <c r="H29" s="1387">
        <v>202.55986849999999</v>
      </c>
      <c r="I29" s="1388">
        <v>46217.806680299997</v>
      </c>
    </row>
    <row r="30" spans="1:9" s="1358" customFormat="1" ht="23.1" customHeight="1">
      <c r="A30" s="1334">
        <v>2022.12</v>
      </c>
      <c r="B30" s="1389">
        <v>15228.671494</v>
      </c>
      <c r="C30" s="1390">
        <v>18907.697306099999</v>
      </c>
      <c r="D30" s="1390">
        <v>16873.8955331</v>
      </c>
      <c r="E30" s="1390">
        <v>3847.7225690999999</v>
      </c>
      <c r="F30" s="1390">
        <v>168.28762990000001</v>
      </c>
      <c r="G30" s="1391">
        <v>312.92587579999997</v>
      </c>
      <c r="H30" s="1392">
        <v>228.7625137</v>
      </c>
      <c r="I30" s="1393">
        <v>55567.962921699997</v>
      </c>
    </row>
    <row r="31" spans="1:9" ht="3.75" customHeight="1">
      <c r="A31" s="577"/>
      <c r="B31" s="577"/>
      <c r="C31" s="577"/>
      <c r="D31" s="577"/>
      <c r="E31" s="577"/>
      <c r="F31" s="577"/>
      <c r="G31" s="577"/>
      <c r="H31" s="577"/>
    </row>
    <row r="32" spans="1:9" s="1395" customFormat="1" ht="15.95" customHeight="1">
      <c r="A32" s="309" t="s">
        <v>725</v>
      </c>
      <c r="B32" s="1394"/>
      <c r="C32" s="1394"/>
      <c r="D32" s="1394"/>
      <c r="E32" s="1394"/>
      <c r="F32" s="1394"/>
      <c r="G32" s="1394"/>
      <c r="H32" s="1394"/>
      <c r="I32" s="1394"/>
    </row>
    <row r="33" spans="1:9" s="1395" customFormat="1" ht="15.95" customHeight="1">
      <c r="A33" s="638" t="s">
        <v>896</v>
      </c>
    </row>
    <row r="34" spans="1:9" s="1395" customFormat="1" ht="15.95" customHeight="1">
      <c r="A34" s="1396" t="s">
        <v>897</v>
      </c>
      <c r="B34" s="1397"/>
      <c r="C34" s="1397"/>
      <c r="D34" s="1397"/>
      <c r="E34" s="1397"/>
      <c r="F34" s="1397"/>
    </row>
    <row r="35" spans="1:9" s="1395" customFormat="1" ht="15.95" customHeight="1">
      <c r="A35" s="638" t="s">
        <v>898</v>
      </c>
      <c r="B35" s="1397"/>
      <c r="C35" s="1397"/>
      <c r="D35" s="1397"/>
      <c r="E35" s="1397"/>
      <c r="F35" s="1397"/>
    </row>
    <row r="36" spans="1:9" s="1395" customFormat="1" ht="15.95" customHeight="1">
      <c r="A36" s="638" t="s">
        <v>899</v>
      </c>
      <c r="B36" s="1397"/>
      <c r="C36" s="1397"/>
      <c r="D36" s="1397"/>
      <c r="E36" s="1397"/>
      <c r="F36" s="1397"/>
    </row>
    <row r="37" spans="1:9" ht="12" customHeight="1">
      <c r="A37" s="305"/>
      <c r="B37" s="1116"/>
      <c r="C37" s="1116"/>
      <c r="D37" s="1116"/>
      <c r="E37" s="1116"/>
      <c r="F37" s="1116"/>
      <c r="G37" s="576"/>
      <c r="H37" s="576"/>
      <c r="I37" s="576"/>
    </row>
    <row r="38" spans="1:9" ht="12" customHeight="1">
      <c r="A38" s="1116"/>
      <c r="B38" s="1116"/>
      <c r="C38" s="1116"/>
      <c r="D38" s="1116"/>
      <c r="E38" s="1116"/>
      <c r="F38" s="1116"/>
      <c r="G38" s="576"/>
      <c r="H38" s="576"/>
      <c r="I38" s="576"/>
    </row>
    <row r="39" spans="1:9" ht="3" customHeight="1">
      <c r="A39" s="576"/>
      <c r="B39" s="576"/>
      <c r="C39" s="576"/>
      <c r="D39" s="576"/>
      <c r="E39" s="576"/>
      <c r="F39" s="576"/>
      <c r="G39" s="576"/>
      <c r="H39" s="576"/>
      <c r="I39" s="576"/>
    </row>
    <row r="40" spans="1:9" ht="0.75" customHeight="1">
      <c r="A40" s="576"/>
      <c r="B40" s="576"/>
      <c r="C40" s="576"/>
      <c r="D40" s="576"/>
      <c r="E40" s="576"/>
      <c r="F40" s="576"/>
      <c r="G40" s="576"/>
      <c r="H40" s="576"/>
      <c r="I40" s="576"/>
    </row>
    <row r="41" spans="1:9" ht="12" customHeight="1">
      <c r="A41" s="1116"/>
      <c r="B41" s="1116"/>
      <c r="C41" s="1116"/>
      <c r="D41" s="1116"/>
      <c r="E41" s="1116"/>
      <c r="F41" s="1116"/>
      <c r="G41" s="576"/>
      <c r="H41" s="576"/>
      <c r="I41" s="1398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4" firstPageNumber="32" orientation="portrait" useFirstPageNumber="1" r:id="rId1"/>
  <headerFooter differentOddEven="1" scaleWithDoc="0" alignWithMargins="0">
    <firstFooter>&amp;R&amp;P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44"/>
  <sheetViews>
    <sheetView view="pageBreakPreview" zoomScaleNormal="100" zoomScaleSheetLayoutView="100" workbookViewId="0">
      <pane xSplit="2" ySplit="5" topLeftCell="C6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6.5"/>
  <cols>
    <col min="1" max="1" width="5.125" style="1018" customWidth="1"/>
    <col min="2" max="2" width="5.125" style="14" customWidth="1"/>
    <col min="3" max="6" width="5.625" style="14" customWidth="1"/>
    <col min="7" max="7" width="5.125" style="14" customWidth="1"/>
    <col min="8" max="8" width="5.625" style="14" customWidth="1"/>
    <col min="9" max="9" width="5.125" style="14" customWidth="1"/>
    <col min="10" max="14" width="5.625" style="14" customWidth="1"/>
    <col min="15" max="15" width="5.125" style="14" customWidth="1"/>
    <col min="16" max="18" width="5.625" style="14" customWidth="1"/>
    <col min="19" max="16384" width="10" style="1018"/>
  </cols>
  <sheetData>
    <row r="1" spans="1:20" s="1399" customFormat="1" ht="20.25" customHeight="1">
      <c r="A1" s="991" t="s">
        <v>900</v>
      </c>
      <c r="C1" s="1400"/>
      <c r="D1" s="1400"/>
      <c r="E1" s="1400"/>
      <c r="F1" s="1400"/>
      <c r="G1" s="1400"/>
      <c r="H1" s="1400"/>
      <c r="I1" s="1400"/>
      <c r="J1" s="1400"/>
      <c r="K1" s="1400"/>
      <c r="L1" s="1400"/>
      <c r="M1" s="1400"/>
      <c r="N1" s="1400"/>
      <c r="O1" s="1400"/>
      <c r="P1" s="1400"/>
      <c r="Q1" s="1400"/>
      <c r="R1" s="1400"/>
    </row>
    <row r="2" spans="1:20" ht="17.25" customHeight="1">
      <c r="A2" s="522" t="s">
        <v>901</v>
      </c>
    </row>
    <row r="3" spans="1:20" s="996" customFormat="1" ht="12.95" customHeight="1">
      <c r="B3" s="14"/>
      <c r="C3" s="382"/>
      <c r="D3" s="995"/>
      <c r="E3" s="382"/>
      <c r="F3" s="382"/>
      <c r="G3" s="995"/>
      <c r="H3" s="995"/>
      <c r="I3" s="995"/>
      <c r="J3" s="995"/>
      <c r="K3" s="995"/>
      <c r="L3" s="995"/>
      <c r="M3" s="995"/>
      <c r="N3" s="995"/>
      <c r="O3" s="995"/>
      <c r="P3" s="995"/>
      <c r="Q3" s="995"/>
      <c r="R3" s="1401" t="s">
        <v>902</v>
      </c>
    </row>
    <row r="4" spans="1:20" s="997" customFormat="1" ht="15" customHeight="1">
      <c r="A4" s="2975" t="s">
        <v>903</v>
      </c>
      <c r="B4" s="2976"/>
      <c r="C4" s="2979" t="s">
        <v>904</v>
      </c>
      <c r="D4" s="2980"/>
      <c r="E4" s="2980"/>
      <c r="F4" s="2980"/>
      <c r="G4" s="2980"/>
      <c r="H4" s="2980"/>
      <c r="I4" s="2980"/>
      <c r="J4" s="2981"/>
      <c r="K4" s="2982" t="s">
        <v>905</v>
      </c>
      <c r="L4" s="2980"/>
      <c r="M4" s="2980"/>
      <c r="N4" s="2980"/>
      <c r="O4" s="2980"/>
      <c r="P4" s="2980"/>
      <c r="Q4" s="2980"/>
      <c r="R4" s="2981"/>
    </row>
    <row r="5" spans="1:20" s="2827" customFormat="1" ht="15" customHeight="1">
      <c r="A5" s="2977"/>
      <c r="B5" s="2978"/>
      <c r="C5" s="1402" t="s">
        <v>888</v>
      </c>
      <c r="D5" s="1403" t="s">
        <v>391</v>
      </c>
      <c r="E5" s="1403" t="s">
        <v>399</v>
      </c>
      <c r="F5" s="1403" t="s">
        <v>907</v>
      </c>
      <c r="G5" s="1403" t="s">
        <v>908</v>
      </c>
      <c r="H5" s="1403" t="s">
        <v>197</v>
      </c>
      <c r="I5" s="1403" t="s">
        <v>909</v>
      </c>
      <c r="J5" s="1404" t="s">
        <v>450</v>
      </c>
      <c r="K5" s="1405" t="s">
        <v>888</v>
      </c>
      <c r="L5" s="1403" t="s">
        <v>391</v>
      </c>
      <c r="M5" s="1403" t="s">
        <v>399</v>
      </c>
      <c r="N5" s="1403" t="s">
        <v>907</v>
      </c>
      <c r="O5" s="1403" t="s">
        <v>908</v>
      </c>
      <c r="P5" s="1403" t="s">
        <v>197</v>
      </c>
      <c r="Q5" s="1403" t="s">
        <v>909</v>
      </c>
      <c r="R5" s="1404" t="s">
        <v>450</v>
      </c>
      <c r="S5" s="2826"/>
    </row>
    <row r="6" spans="1:20" s="997" customFormat="1" ht="20.100000000000001" customHeight="1">
      <c r="A6" s="2983" t="s">
        <v>910</v>
      </c>
      <c r="B6" s="1406" t="s">
        <v>731</v>
      </c>
      <c r="C6" s="1407">
        <v>0.316</v>
      </c>
      <c r="D6" s="1408">
        <v>44.7</v>
      </c>
      <c r="E6" s="1409" t="s">
        <v>911</v>
      </c>
      <c r="F6" s="1408">
        <v>6.8650000000000002</v>
      </c>
      <c r="G6" s="1409" t="s">
        <v>911</v>
      </c>
      <c r="H6" s="1408">
        <v>68.400000000000006</v>
      </c>
      <c r="I6" s="1409" t="s">
        <v>911</v>
      </c>
      <c r="J6" s="1410">
        <v>120.28100000000001</v>
      </c>
      <c r="K6" s="1411">
        <v>0.37892700000000001</v>
      </c>
      <c r="L6" s="1412">
        <v>52.794151288999998</v>
      </c>
      <c r="M6" s="1409" t="s">
        <v>911</v>
      </c>
      <c r="N6" s="1412">
        <v>27.7828512</v>
      </c>
      <c r="O6" s="1409" t="s">
        <v>911</v>
      </c>
      <c r="P6" s="1412">
        <v>326.91374203100003</v>
      </c>
      <c r="Q6" s="1409" t="s">
        <v>911</v>
      </c>
      <c r="R6" s="1410">
        <v>407.86967152</v>
      </c>
      <c r="T6" s="1413"/>
    </row>
    <row r="7" spans="1:20" s="997" customFormat="1" ht="20.100000000000001" customHeight="1">
      <c r="A7" s="2984"/>
      <c r="B7" s="1414" t="s">
        <v>732</v>
      </c>
      <c r="C7" s="1415">
        <v>0.01</v>
      </c>
      <c r="D7" s="1409">
        <v>166.96</v>
      </c>
      <c r="E7" s="1409">
        <v>0.75800000000000001</v>
      </c>
      <c r="F7" s="1409">
        <v>6.69</v>
      </c>
      <c r="G7" s="1409" t="s">
        <v>911</v>
      </c>
      <c r="H7" s="1409">
        <v>41.68</v>
      </c>
      <c r="I7" s="1409" t="s">
        <v>911</v>
      </c>
      <c r="J7" s="1416">
        <v>216.09800000000001</v>
      </c>
      <c r="K7" s="1417">
        <v>0.13818</v>
      </c>
      <c r="L7" s="1418">
        <v>204.88822997700001</v>
      </c>
      <c r="M7" s="1418">
        <v>5.326E-3</v>
      </c>
      <c r="N7" s="1418">
        <v>10.614051546000001</v>
      </c>
      <c r="O7" s="1409" t="s">
        <v>911</v>
      </c>
      <c r="P7" s="1418">
        <v>324.70761972700001</v>
      </c>
      <c r="Q7" s="1409" t="s">
        <v>911</v>
      </c>
      <c r="R7" s="1416">
        <v>540.35340725000003</v>
      </c>
      <c r="T7" s="1413"/>
    </row>
    <row r="8" spans="1:20" s="997" customFormat="1" ht="20.100000000000001" customHeight="1">
      <c r="A8" s="2984"/>
      <c r="B8" s="1414" t="s">
        <v>733</v>
      </c>
      <c r="C8" s="1415">
        <v>3.56</v>
      </c>
      <c r="D8" s="1409">
        <v>131.904</v>
      </c>
      <c r="E8" s="1409" t="s">
        <v>911</v>
      </c>
      <c r="F8" s="1409">
        <v>4.5</v>
      </c>
      <c r="G8" s="1409" t="s">
        <v>911</v>
      </c>
      <c r="H8" s="1409">
        <v>1.407</v>
      </c>
      <c r="I8" s="1409" t="s">
        <v>911</v>
      </c>
      <c r="J8" s="1416">
        <v>141.37100000000001</v>
      </c>
      <c r="K8" s="1417">
        <v>14.965960104000001</v>
      </c>
      <c r="L8" s="1418">
        <v>159.03930360199999</v>
      </c>
      <c r="M8" s="1409" t="s">
        <v>911</v>
      </c>
      <c r="N8" s="1418">
        <v>5.2286210400000002</v>
      </c>
      <c r="O8" s="1409" t="s">
        <v>911</v>
      </c>
      <c r="P8" s="1418">
        <v>11.544264050000001</v>
      </c>
      <c r="Q8" s="1409" t="s">
        <v>911</v>
      </c>
      <c r="R8" s="1416">
        <v>190.77814879600001</v>
      </c>
      <c r="T8" s="1413"/>
    </row>
    <row r="9" spans="1:20" s="997" customFormat="1" ht="20.100000000000001" customHeight="1">
      <c r="A9" s="2984"/>
      <c r="B9" s="1414" t="s">
        <v>734</v>
      </c>
      <c r="C9" s="1415">
        <v>12.599</v>
      </c>
      <c r="D9" s="1409">
        <v>104.35</v>
      </c>
      <c r="E9" s="1409">
        <v>49</v>
      </c>
      <c r="F9" s="1409">
        <v>78.23</v>
      </c>
      <c r="G9" s="1409" t="s">
        <v>911</v>
      </c>
      <c r="H9" s="1409">
        <v>227.26499999999999</v>
      </c>
      <c r="I9" s="1409" t="s">
        <v>911</v>
      </c>
      <c r="J9" s="1416">
        <v>471.44400000000002</v>
      </c>
      <c r="K9" s="1417">
        <v>28.437936127999997</v>
      </c>
      <c r="L9" s="1418">
        <v>128.234599084</v>
      </c>
      <c r="M9" s="1418">
        <v>38.510502576999997</v>
      </c>
      <c r="N9" s="1418">
        <v>228.23124220100001</v>
      </c>
      <c r="O9" s="1409" t="s">
        <v>911</v>
      </c>
      <c r="P9" s="1418">
        <v>1342.7852474159999</v>
      </c>
      <c r="Q9" s="1409" t="s">
        <v>911</v>
      </c>
      <c r="R9" s="1416">
        <v>1766.1995274059998</v>
      </c>
    </row>
    <row r="10" spans="1:20" s="997" customFormat="1" ht="20.100000000000001" customHeight="1">
      <c r="A10" s="2984"/>
      <c r="B10" s="1414" t="s">
        <v>735</v>
      </c>
      <c r="C10" s="1415">
        <v>1.83</v>
      </c>
      <c r="D10" s="1409">
        <v>242.19800000000001</v>
      </c>
      <c r="E10" s="1409" t="s">
        <v>911</v>
      </c>
      <c r="F10" s="1409">
        <v>2.14</v>
      </c>
      <c r="G10" s="1409" t="s">
        <v>911</v>
      </c>
      <c r="H10" s="1409">
        <v>21.035</v>
      </c>
      <c r="I10" s="1409" t="s">
        <v>911</v>
      </c>
      <c r="J10" s="1416">
        <v>267.20299999999997</v>
      </c>
      <c r="K10" s="1417">
        <v>6.2693791440000002</v>
      </c>
      <c r="L10" s="1418">
        <v>302.49361390199999</v>
      </c>
      <c r="M10" s="1409" t="s">
        <v>911</v>
      </c>
      <c r="N10" s="1418">
        <v>3.0505247629999999</v>
      </c>
      <c r="O10" s="1409" t="s">
        <v>911</v>
      </c>
      <c r="P10" s="1409">
        <v>60.323889009999995</v>
      </c>
      <c r="Q10" s="1409" t="s">
        <v>911</v>
      </c>
      <c r="R10" s="1416">
        <v>372.13740681899998</v>
      </c>
    </row>
    <row r="11" spans="1:20" s="997" customFormat="1" ht="20.100000000000001" customHeight="1">
      <c r="A11" s="2984"/>
      <c r="B11" s="1414" t="s">
        <v>736</v>
      </c>
      <c r="C11" s="1409" t="s">
        <v>911</v>
      </c>
      <c r="D11" s="1409">
        <v>44.835000000000001</v>
      </c>
      <c r="E11" s="1409" t="s">
        <v>911</v>
      </c>
      <c r="F11" s="1409">
        <v>9.9000000000000005E-2</v>
      </c>
      <c r="G11" s="1409" t="s">
        <v>911</v>
      </c>
      <c r="H11" s="1409">
        <v>7.165</v>
      </c>
      <c r="I11" s="1409" t="s">
        <v>911</v>
      </c>
      <c r="J11" s="1416">
        <v>52.098999999999997</v>
      </c>
      <c r="K11" s="1409" t="s">
        <v>911</v>
      </c>
      <c r="L11" s="1418">
        <v>53.246215812999999</v>
      </c>
      <c r="M11" s="1409" t="s">
        <v>911</v>
      </c>
      <c r="N11" s="1409" t="s">
        <v>911</v>
      </c>
      <c r="O11" s="1409" t="s">
        <v>911</v>
      </c>
      <c r="P11" s="1418">
        <v>59.605451483000003</v>
      </c>
      <c r="Q11" s="1409" t="s">
        <v>911</v>
      </c>
      <c r="R11" s="1416">
        <v>112.851667296</v>
      </c>
    </row>
    <row r="12" spans="1:20" s="997" customFormat="1" ht="20.100000000000001" customHeight="1">
      <c r="A12" s="2984"/>
      <c r="B12" s="1414" t="s">
        <v>737</v>
      </c>
      <c r="C12" s="1415">
        <v>0.3</v>
      </c>
      <c r="D12" s="1409">
        <v>86.08</v>
      </c>
      <c r="E12" s="1409">
        <v>1.65</v>
      </c>
      <c r="F12" s="1409" t="s">
        <v>171</v>
      </c>
      <c r="G12" s="1409" t="s">
        <v>911</v>
      </c>
      <c r="H12" s="1409">
        <v>27.878</v>
      </c>
      <c r="I12" s="1409" t="s">
        <v>911</v>
      </c>
      <c r="J12" s="1416">
        <v>115.908</v>
      </c>
      <c r="K12" s="1417">
        <v>0.43735020099999999</v>
      </c>
      <c r="L12" s="1418">
        <v>109.7576377</v>
      </c>
      <c r="M12" s="1418">
        <v>0.23150879999999999</v>
      </c>
      <c r="N12" s="1409">
        <v>58.616373146000001</v>
      </c>
      <c r="O12" s="1409" t="s">
        <v>911</v>
      </c>
      <c r="P12" s="1418">
        <v>215.40855804699999</v>
      </c>
      <c r="Q12" s="1409" t="s">
        <v>911</v>
      </c>
      <c r="R12" s="1416">
        <v>384.45142789400001</v>
      </c>
    </row>
    <row r="13" spans="1:20" s="997" customFormat="1" ht="20.100000000000001" customHeight="1">
      <c r="A13" s="2984"/>
      <c r="B13" s="1414" t="s">
        <v>912</v>
      </c>
      <c r="C13" s="1415">
        <v>2.31</v>
      </c>
      <c r="D13" s="1409">
        <v>62.442999999999998</v>
      </c>
      <c r="E13" s="1409" t="s">
        <v>911</v>
      </c>
      <c r="F13" s="1409">
        <v>5</v>
      </c>
      <c r="G13" s="1409" t="s">
        <v>911</v>
      </c>
      <c r="H13" s="1409">
        <v>5.28</v>
      </c>
      <c r="I13" s="1409" t="s">
        <v>911</v>
      </c>
      <c r="J13" s="1416">
        <v>75.033000000000001</v>
      </c>
      <c r="K13" s="1409" t="s">
        <v>911</v>
      </c>
      <c r="L13" s="1418">
        <v>74.851980065999996</v>
      </c>
      <c r="M13" s="1409" t="s">
        <v>911</v>
      </c>
      <c r="N13" s="1418">
        <v>12.5925408</v>
      </c>
      <c r="O13" s="1409" t="s">
        <v>911</v>
      </c>
      <c r="P13" s="1418">
        <v>40.323528224</v>
      </c>
      <c r="Q13" s="1409" t="s">
        <v>911</v>
      </c>
      <c r="R13" s="1416">
        <v>127.76804909000001</v>
      </c>
    </row>
    <row r="14" spans="1:20" s="997" customFormat="1" ht="20.100000000000001" customHeight="1">
      <c r="A14" s="2984"/>
      <c r="B14" s="1414" t="s">
        <v>739</v>
      </c>
      <c r="C14" s="1415">
        <v>276.11799999999999</v>
      </c>
      <c r="D14" s="1409">
        <v>1275.7260000000001</v>
      </c>
      <c r="E14" s="1409">
        <v>5.3259999999999996</v>
      </c>
      <c r="F14" s="1409">
        <v>59.953000000000003</v>
      </c>
      <c r="G14" s="1409">
        <v>254</v>
      </c>
      <c r="H14" s="1409">
        <v>261.49</v>
      </c>
      <c r="I14" s="1409" t="s">
        <v>911</v>
      </c>
      <c r="J14" s="1416">
        <v>2132.6129999999998</v>
      </c>
      <c r="K14" s="1417">
        <v>716.12583603500002</v>
      </c>
      <c r="L14" s="1418">
        <v>1515.9161378610002</v>
      </c>
      <c r="M14" s="1418">
        <v>4.4181476469999996</v>
      </c>
      <c r="N14" s="1418">
        <v>389.38599076599996</v>
      </c>
      <c r="O14" s="1409">
        <v>423.83929811000002</v>
      </c>
      <c r="P14" s="1418">
        <v>1532.63305173</v>
      </c>
      <c r="Q14" s="1409" t="s">
        <v>911</v>
      </c>
      <c r="R14" s="1416">
        <v>4582.318462149</v>
      </c>
    </row>
    <row r="15" spans="1:20" s="997" customFormat="1" ht="20.100000000000001" customHeight="1">
      <c r="A15" s="2984"/>
      <c r="B15" s="1414" t="s">
        <v>740</v>
      </c>
      <c r="C15" s="1415">
        <v>520.09500000000003</v>
      </c>
      <c r="D15" s="1409">
        <v>1569.0619999999999</v>
      </c>
      <c r="E15" s="1409">
        <v>480.548</v>
      </c>
      <c r="F15" s="1409">
        <v>361.315</v>
      </c>
      <c r="G15" s="1409" t="s">
        <v>911</v>
      </c>
      <c r="H15" s="1409">
        <v>34.295999999999999</v>
      </c>
      <c r="I15" s="1409" t="s">
        <v>911</v>
      </c>
      <c r="J15" s="1416">
        <v>2965.3159999999998</v>
      </c>
      <c r="K15" s="1417">
        <v>1169.2916804609999</v>
      </c>
      <c r="L15" s="1418">
        <v>1951.824111552</v>
      </c>
      <c r="M15" s="1409">
        <v>952.18392337199998</v>
      </c>
      <c r="N15" s="1418">
        <v>1896.4489482060001</v>
      </c>
      <c r="O15" s="1409" t="s">
        <v>911</v>
      </c>
      <c r="P15" s="1409">
        <v>275.21566783700001</v>
      </c>
      <c r="Q15" s="1409" t="s">
        <v>911</v>
      </c>
      <c r="R15" s="1416">
        <v>6244.9643314280002</v>
      </c>
    </row>
    <row r="16" spans="1:20" s="997" customFormat="1" ht="20.100000000000001" customHeight="1">
      <c r="A16" s="2984"/>
      <c r="B16" s="1414" t="s">
        <v>741</v>
      </c>
      <c r="C16" s="1415">
        <v>519.00400000000002</v>
      </c>
      <c r="D16" s="1409">
        <v>1139.2260000000001</v>
      </c>
      <c r="E16" s="1409" t="s">
        <v>911</v>
      </c>
      <c r="F16" s="1409">
        <v>2.66</v>
      </c>
      <c r="G16" s="1409" t="s">
        <v>911</v>
      </c>
      <c r="H16" s="1409">
        <v>39.6</v>
      </c>
      <c r="I16" s="1409" t="s">
        <v>911</v>
      </c>
      <c r="J16" s="1416">
        <v>1700.49</v>
      </c>
      <c r="K16" s="1417">
        <v>824.28996756900005</v>
      </c>
      <c r="L16" s="1418">
        <v>1425.787316381</v>
      </c>
      <c r="M16" s="1409" t="s">
        <v>911</v>
      </c>
      <c r="N16" s="1418">
        <v>6.2307457199999998</v>
      </c>
      <c r="O16" s="1409" t="s">
        <v>911</v>
      </c>
      <c r="P16" s="1418">
        <v>205.221788377</v>
      </c>
      <c r="Q16" s="1409" t="s">
        <v>911</v>
      </c>
      <c r="R16" s="1416">
        <v>2461.5298180469999</v>
      </c>
    </row>
    <row r="17" spans="1:18" s="997" customFormat="1" ht="20.100000000000001" customHeight="1">
      <c r="A17" s="2984"/>
      <c r="B17" s="1414" t="s">
        <v>742</v>
      </c>
      <c r="C17" s="1415">
        <v>32.296999999999997</v>
      </c>
      <c r="D17" s="1409">
        <v>2572.7199999999998</v>
      </c>
      <c r="E17" s="1409">
        <v>2</v>
      </c>
      <c r="F17" s="1409">
        <v>375.21899999999999</v>
      </c>
      <c r="G17" s="1409" t="s">
        <v>911</v>
      </c>
      <c r="H17" s="1409">
        <v>63.92</v>
      </c>
      <c r="I17" s="1409">
        <v>346.33</v>
      </c>
      <c r="J17" s="1416">
        <v>3392.4850000000001</v>
      </c>
      <c r="K17" s="1417">
        <v>52.367429926</v>
      </c>
      <c r="L17" s="1418">
        <v>3395.5779925500001</v>
      </c>
      <c r="M17" s="1418">
        <v>2.0274283999999998</v>
      </c>
      <c r="N17" s="1418">
        <v>2689.003796767</v>
      </c>
      <c r="O17" s="1409" t="s">
        <v>911</v>
      </c>
      <c r="P17" s="1418">
        <v>486.30411933800002</v>
      </c>
      <c r="Q17" s="1409">
        <v>1964.8272999999999</v>
      </c>
      <c r="R17" s="1416">
        <v>8590.1080669810017</v>
      </c>
    </row>
    <row r="18" spans="1:18" s="997" customFormat="1" ht="20.100000000000001" customHeight="1">
      <c r="A18" s="2984"/>
      <c r="B18" s="1414" t="s">
        <v>743</v>
      </c>
      <c r="C18" s="1415">
        <v>78.387</v>
      </c>
      <c r="D18" s="1409">
        <v>3952.9740000000002</v>
      </c>
      <c r="E18" s="1409">
        <v>79.5</v>
      </c>
      <c r="F18" s="1409">
        <v>479.80200000000002</v>
      </c>
      <c r="G18" s="1409" t="s">
        <v>911</v>
      </c>
      <c r="H18" s="1409">
        <v>22.004999999999999</v>
      </c>
      <c r="I18" s="1409" t="s">
        <v>911</v>
      </c>
      <c r="J18" s="1416">
        <v>4612.6670000000004</v>
      </c>
      <c r="K18" s="1417">
        <v>206.829163873</v>
      </c>
      <c r="L18" s="1418">
        <v>5246.4104117429997</v>
      </c>
      <c r="M18" s="1418">
        <v>161.454040405</v>
      </c>
      <c r="N18" s="1418">
        <v>4431.2048924029996</v>
      </c>
      <c r="O18" s="1409" t="s">
        <v>911</v>
      </c>
      <c r="P18" s="1418">
        <v>109.439448438</v>
      </c>
      <c r="Q18" s="1409" t="s">
        <v>911</v>
      </c>
      <c r="R18" s="1416">
        <v>10155.337956862</v>
      </c>
    </row>
    <row r="19" spans="1:18" s="997" customFormat="1" ht="20.100000000000001" customHeight="1">
      <c r="A19" s="2984"/>
      <c r="B19" s="1414" t="s">
        <v>744</v>
      </c>
      <c r="C19" s="1415">
        <v>38.756999999999998</v>
      </c>
      <c r="D19" s="1409">
        <v>4647.9660000000003</v>
      </c>
      <c r="E19" s="1409">
        <v>425.47500000000002</v>
      </c>
      <c r="F19" s="1409">
        <v>2.923</v>
      </c>
      <c r="G19" s="1409">
        <v>1.08</v>
      </c>
      <c r="H19" s="1409">
        <v>50.08</v>
      </c>
      <c r="I19" s="1409" t="s">
        <v>911</v>
      </c>
      <c r="J19" s="1416">
        <v>5166.2809999999999</v>
      </c>
      <c r="K19" s="1417">
        <v>62.096999636</v>
      </c>
      <c r="L19" s="1418">
        <v>6028.8784409320006</v>
      </c>
      <c r="M19" s="1418">
        <v>582.20157796399997</v>
      </c>
      <c r="N19" s="1418">
        <v>64.075330929000003</v>
      </c>
      <c r="O19" s="1409">
        <v>2.8400000000000001E-3</v>
      </c>
      <c r="P19" s="1418">
        <v>289.70464289</v>
      </c>
      <c r="Q19" s="1409" t="s">
        <v>911</v>
      </c>
      <c r="R19" s="1416">
        <v>7026.9598323509999</v>
      </c>
    </row>
    <row r="20" spans="1:18" s="997" customFormat="1" ht="20.100000000000001" customHeight="1">
      <c r="A20" s="2984"/>
      <c r="B20" s="1414" t="s">
        <v>745</v>
      </c>
      <c r="C20" s="1415">
        <v>180.155</v>
      </c>
      <c r="D20" s="1409">
        <v>2911.44</v>
      </c>
      <c r="E20" s="1409">
        <v>467.36</v>
      </c>
      <c r="F20" s="1409">
        <v>3.5</v>
      </c>
      <c r="G20" s="1409" t="s">
        <v>911</v>
      </c>
      <c r="H20" s="1409">
        <v>3.778</v>
      </c>
      <c r="I20" s="1409" t="s">
        <v>911</v>
      </c>
      <c r="J20" s="1416">
        <v>3566.2330000000002</v>
      </c>
      <c r="K20" s="1417">
        <v>238.50888893799998</v>
      </c>
      <c r="L20" s="1418">
        <v>3781.757141131</v>
      </c>
      <c r="M20" s="1418">
        <v>912.95953125199992</v>
      </c>
      <c r="N20" s="1418">
        <v>5.7932082000000005</v>
      </c>
      <c r="O20" s="1409" t="s">
        <v>911</v>
      </c>
      <c r="P20" s="1418">
        <v>24.164073682999998</v>
      </c>
      <c r="Q20" s="1409" t="s">
        <v>911</v>
      </c>
      <c r="R20" s="1416">
        <v>4963.1828432040002</v>
      </c>
    </row>
    <row r="21" spans="1:18" s="997" customFormat="1" ht="20.100000000000001" customHeight="1">
      <c r="A21" s="2984"/>
      <c r="B21" s="1414" t="s">
        <v>746</v>
      </c>
      <c r="C21" s="1415">
        <v>145.46899999999999</v>
      </c>
      <c r="D21" s="1409">
        <v>1440.454</v>
      </c>
      <c r="E21" s="1409">
        <v>86.186000000000007</v>
      </c>
      <c r="F21" s="1409">
        <v>15.355</v>
      </c>
      <c r="G21" s="1409" t="s">
        <v>911</v>
      </c>
      <c r="H21" s="1409">
        <v>4.5149999999999997</v>
      </c>
      <c r="I21" s="1409" t="s">
        <v>911</v>
      </c>
      <c r="J21" s="1416">
        <v>1691.979</v>
      </c>
      <c r="K21" s="1417">
        <v>218.23780171200002</v>
      </c>
      <c r="L21" s="1418">
        <v>1859.935140175</v>
      </c>
      <c r="M21" s="1418">
        <v>131.768640371</v>
      </c>
      <c r="N21" s="1418">
        <v>126.051032725</v>
      </c>
      <c r="O21" s="1409" t="s">
        <v>911</v>
      </c>
      <c r="P21" s="1409">
        <v>25.388439279</v>
      </c>
      <c r="Q21" s="1409" t="s">
        <v>911</v>
      </c>
      <c r="R21" s="1416">
        <v>2361.3810542619999</v>
      </c>
    </row>
    <row r="22" spans="1:18" s="997" customFormat="1" ht="20.100000000000001" customHeight="1">
      <c r="A22" s="2984"/>
      <c r="B22" s="1414" t="s">
        <v>747</v>
      </c>
      <c r="C22" s="1415">
        <v>1.216</v>
      </c>
      <c r="D22" s="1409">
        <v>580.35</v>
      </c>
      <c r="E22" s="1409">
        <v>294.69900000000001</v>
      </c>
      <c r="F22" s="1409">
        <v>396.94900000000001</v>
      </c>
      <c r="G22" s="1409">
        <v>0.5</v>
      </c>
      <c r="H22" s="1409">
        <v>0</v>
      </c>
      <c r="I22" s="1409" t="s">
        <v>911</v>
      </c>
      <c r="J22" s="1416">
        <v>1273.7149999999999</v>
      </c>
      <c r="K22" s="1409">
        <v>2.6384250260000002</v>
      </c>
      <c r="L22" s="1418">
        <v>679.90763663900009</v>
      </c>
      <c r="M22" s="1409">
        <v>572.33992466199993</v>
      </c>
      <c r="N22" s="1418">
        <v>1631.4835564059999</v>
      </c>
      <c r="O22" s="1409">
        <v>9.3960000000000007E-4</v>
      </c>
      <c r="P22" s="1409" t="s">
        <v>911</v>
      </c>
      <c r="Q22" s="1409" t="s">
        <v>911</v>
      </c>
      <c r="R22" s="1416">
        <v>2886.3704823330004</v>
      </c>
    </row>
    <row r="23" spans="1:18" s="997" customFormat="1" ht="20.100000000000001" customHeight="1">
      <c r="A23" s="2985"/>
      <c r="B23" s="1419" t="s">
        <v>184</v>
      </c>
      <c r="C23" s="1420">
        <v>1812.423</v>
      </c>
      <c r="D23" s="1421">
        <v>20973.385999999999</v>
      </c>
      <c r="E23" s="1421">
        <v>1892.502</v>
      </c>
      <c r="F23" s="1421">
        <v>1801.1990000000001</v>
      </c>
      <c r="G23" s="1421">
        <v>255.58</v>
      </c>
      <c r="H23" s="1421">
        <v>879.79399999999998</v>
      </c>
      <c r="I23" s="1421">
        <v>346.33</v>
      </c>
      <c r="J23" s="1422">
        <v>27961.215</v>
      </c>
      <c r="K23" s="1423">
        <v>3541.013925753</v>
      </c>
      <c r="L23" s="1424">
        <v>26971.300060396999</v>
      </c>
      <c r="M23" s="1424">
        <v>3358.1005514499998</v>
      </c>
      <c r="N23" s="1424">
        <v>11585.793706818</v>
      </c>
      <c r="O23" s="1424">
        <v>423.84307770999999</v>
      </c>
      <c r="P23" s="1424">
        <v>5329.6835315600001</v>
      </c>
      <c r="Q23" s="1424">
        <v>1964.8272999999999</v>
      </c>
      <c r="R23" s="1422">
        <v>53174.562153688006</v>
      </c>
    </row>
    <row r="24" spans="1:18" s="997" customFormat="1" ht="20.100000000000001" customHeight="1">
      <c r="A24" s="2986" t="s">
        <v>913</v>
      </c>
      <c r="B24" s="1425" t="s">
        <v>731</v>
      </c>
      <c r="C24" s="1426">
        <v>0.316</v>
      </c>
      <c r="D24" s="1427">
        <v>44.7</v>
      </c>
      <c r="E24" s="1409" t="s">
        <v>911</v>
      </c>
      <c r="F24" s="1427">
        <v>6.8650000000000002</v>
      </c>
      <c r="G24" s="1409" t="s">
        <v>911</v>
      </c>
      <c r="H24" s="1427">
        <v>68.400000000000006</v>
      </c>
      <c r="I24" s="1409" t="s">
        <v>911</v>
      </c>
      <c r="J24" s="1428">
        <v>120.28100000000001</v>
      </c>
      <c r="K24" s="1429">
        <v>1.6098999999999999E-2</v>
      </c>
      <c r="L24" s="1430">
        <v>3.058566849</v>
      </c>
      <c r="M24" s="1409" t="s">
        <v>911</v>
      </c>
      <c r="N24" s="1430">
        <v>2.3301167999999999</v>
      </c>
      <c r="O24" s="1409" t="s">
        <v>911</v>
      </c>
      <c r="P24" s="1430">
        <v>24.470845953000001</v>
      </c>
      <c r="Q24" s="1409" t="s">
        <v>911</v>
      </c>
      <c r="R24" s="1431">
        <v>29.875628602000003</v>
      </c>
    </row>
    <row r="25" spans="1:18" s="997" customFormat="1" ht="20.100000000000001" customHeight="1">
      <c r="A25" s="2984"/>
      <c r="B25" s="1414" t="s">
        <v>732</v>
      </c>
      <c r="C25" s="1432">
        <v>0.01</v>
      </c>
      <c r="D25" s="1433">
        <v>166.96</v>
      </c>
      <c r="E25" s="1433">
        <v>0.75800000000000001</v>
      </c>
      <c r="F25" s="1433">
        <v>6.69</v>
      </c>
      <c r="G25" s="1409" t="s">
        <v>911</v>
      </c>
      <c r="H25" s="1433">
        <v>41.68</v>
      </c>
      <c r="I25" s="1409" t="s">
        <v>911</v>
      </c>
      <c r="J25" s="1434">
        <v>216.09800000000001</v>
      </c>
      <c r="K25" s="1435">
        <v>2.0678999999999999E-2</v>
      </c>
      <c r="L25" s="1409">
        <v>15.019862418999999</v>
      </c>
      <c r="M25" s="1409">
        <v>3.79E-4</v>
      </c>
      <c r="N25" s="1409">
        <v>0.78142770299999997</v>
      </c>
      <c r="O25" s="1409" t="s">
        <v>911</v>
      </c>
      <c r="P25" s="1409">
        <v>27.202573169000001</v>
      </c>
      <c r="Q25" s="1409" t="s">
        <v>911</v>
      </c>
      <c r="R25" s="1436">
        <v>43.024921290999998</v>
      </c>
    </row>
    <row r="26" spans="1:18" s="997" customFormat="1" ht="20.100000000000001" customHeight="1">
      <c r="A26" s="2984"/>
      <c r="B26" s="1414" t="s">
        <v>733</v>
      </c>
      <c r="C26" s="1432">
        <v>3.56</v>
      </c>
      <c r="D26" s="1433">
        <v>131.904</v>
      </c>
      <c r="E26" s="1409" t="s">
        <v>911</v>
      </c>
      <c r="F26" s="1433">
        <v>4.5</v>
      </c>
      <c r="G26" s="1409" t="s">
        <v>911</v>
      </c>
      <c r="H26" s="1433">
        <v>1.407</v>
      </c>
      <c r="I26" s="1409" t="s">
        <v>911</v>
      </c>
      <c r="J26" s="1434">
        <v>141.37100000000001</v>
      </c>
      <c r="K26" s="1437">
        <v>1.1718840239999999</v>
      </c>
      <c r="L26" s="1409">
        <v>11.267657798</v>
      </c>
      <c r="M26" s="1409" t="s">
        <v>911</v>
      </c>
      <c r="N26" s="1409">
        <v>0.68359368000000009</v>
      </c>
      <c r="O26" s="1409" t="s">
        <v>911</v>
      </c>
      <c r="P26" s="1409">
        <v>0.91763943999999997</v>
      </c>
      <c r="Q26" s="1409" t="s">
        <v>911</v>
      </c>
      <c r="R26" s="1436">
        <v>14.040774942000001</v>
      </c>
    </row>
    <row r="27" spans="1:18" s="997" customFormat="1" ht="20.100000000000001" customHeight="1">
      <c r="A27" s="2984"/>
      <c r="B27" s="1414" t="s">
        <v>734</v>
      </c>
      <c r="C27" s="1438">
        <v>12.599</v>
      </c>
      <c r="D27" s="1433">
        <v>104.35</v>
      </c>
      <c r="E27" s="1433">
        <v>49</v>
      </c>
      <c r="F27" s="1433">
        <v>78.23</v>
      </c>
      <c r="G27" s="1409" t="s">
        <v>911</v>
      </c>
      <c r="H27" s="1433">
        <v>227.26499999999999</v>
      </c>
      <c r="I27" s="1409" t="s">
        <v>911</v>
      </c>
      <c r="J27" s="1434">
        <v>471.44400000000002</v>
      </c>
      <c r="K27" s="1437">
        <v>2.8339004000000001</v>
      </c>
      <c r="L27" s="1409">
        <v>7.0972304620000006</v>
      </c>
      <c r="M27" s="1409">
        <v>2.5504060970000002</v>
      </c>
      <c r="N27" s="1409">
        <v>21.750293677999998</v>
      </c>
      <c r="O27" s="1409" t="s">
        <v>911</v>
      </c>
      <c r="P27" s="1409">
        <v>124.35688372599999</v>
      </c>
      <c r="Q27" s="1409" t="s">
        <v>911</v>
      </c>
      <c r="R27" s="1436">
        <v>158.58871436300001</v>
      </c>
    </row>
    <row r="28" spans="1:18" s="997" customFormat="1" ht="20.100000000000001" customHeight="1">
      <c r="A28" s="2984"/>
      <c r="B28" s="1414" t="s">
        <v>735</v>
      </c>
      <c r="C28" s="1438">
        <v>1.83</v>
      </c>
      <c r="D28" s="1433">
        <v>242.19800000000001</v>
      </c>
      <c r="E28" s="1409" t="s">
        <v>911</v>
      </c>
      <c r="F28" s="1433">
        <v>2.14</v>
      </c>
      <c r="G28" s="1409" t="s">
        <v>911</v>
      </c>
      <c r="H28" s="1433">
        <v>21.035</v>
      </c>
      <c r="I28" s="1409" t="s">
        <v>911</v>
      </c>
      <c r="J28" s="1434">
        <v>267.20299999999997</v>
      </c>
      <c r="K28" s="1437">
        <v>0.29402140799999998</v>
      </c>
      <c r="L28" s="1409">
        <v>12.563066326</v>
      </c>
      <c r="M28" s="1409" t="s">
        <v>911</v>
      </c>
      <c r="N28" s="1409">
        <v>0.26289456</v>
      </c>
      <c r="O28" s="1409" t="s">
        <v>911</v>
      </c>
      <c r="P28" s="1409">
        <v>13.654841136</v>
      </c>
      <c r="Q28" s="1409" t="s">
        <v>911</v>
      </c>
      <c r="R28" s="1436">
        <v>26.774823430000001</v>
      </c>
    </row>
    <row r="29" spans="1:18" s="997" customFormat="1" ht="20.100000000000001" customHeight="1">
      <c r="A29" s="2984"/>
      <c r="B29" s="1414" t="s">
        <v>736</v>
      </c>
      <c r="C29" s="1409" t="s">
        <v>911</v>
      </c>
      <c r="D29" s="1433">
        <v>44.835000000000001</v>
      </c>
      <c r="E29" s="1409" t="s">
        <v>911</v>
      </c>
      <c r="F29" s="1433">
        <v>9.9000000000000005E-2</v>
      </c>
      <c r="G29" s="1409" t="s">
        <v>911</v>
      </c>
      <c r="H29" s="1433">
        <v>7.165</v>
      </c>
      <c r="I29" s="1409" t="s">
        <v>911</v>
      </c>
      <c r="J29" s="1434">
        <v>52.098999999999997</v>
      </c>
      <c r="K29" s="1409" t="s">
        <v>911</v>
      </c>
      <c r="L29" s="1409">
        <v>2.5497913489999999</v>
      </c>
      <c r="M29" s="1409" t="s">
        <v>911</v>
      </c>
      <c r="N29" s="1409" t="s">
        <v>911</v>
      </c>
      <c r="O29" s="1409" t="s">
        <v>911</v>
      </c>
      <c r="P29" s="1409">
        <v>5.2906356169999995</v>
      </c>
      <c r="Q29" s="1409" t="s">
        <v>911</v>
      </c>
      <c r="R29" s="1436">
        <v>7.8404269659999999</v>
      </c>
    </row>
    <row r="30" spans="1:18" s="997" customFormat="1" ht="20.100000000000001" customHeight="1">
      <c r="A30" s="2984"/>
      <c r="B30" s="1414" t="s">
        <v>737</v>
      </c>
      <c r="C30" s="1432">
        <v>0.3</v>
      </c>
      <c r="D30" s="1433">
        <v>86.08</v>
      </c>
      <c r="E30" s="1433">
        <v>1.65</v>
      </c>
      <c r="F30" s="1409">
        <v>0</v>
      </c>
      <c r="G30" s="1409" t="s">
        <v>911</v>
      </c>
      <c r="H30" s="1433">
        <v>27.878</v>
      </c>
      <c r="I30" s="1409" t="s">
        <v>911</v>
      </c>
      <c r="J30" s="1434">
        <v>115.908</v>
      </c>
      <c r="K30" s="1437">
        <v>0.169275395</v>
      </c>
      <c r="L30" s="1409">
        <v>7.4826991339999998</v>
      </c>
      <c r="M30" s="1409" t="s">
        <v>911</v>
      </c>
      <c r="N30" s="1409" t="s">
        <v>911</v>
      </c>
      <c r="O30" s="1409" t="s">
        <v>911</v>
      </c>
      <c r="P30" s="1409">
        <v>18.858111077</v>
      </c>
      <c r="Q30" s="1409" t="s">
        <v>911</v>
      </c>
      <c r="R30" s="1436">
        <v>26.510085605999997</v>
      </c>
    </row>
    <row r="31" spans="1:18" s="997" customFormat="1" ht="20.100000000000001" customHeight="1">
      <c r="A31" s="2984"/>
      <c r="B31" s="1414" t="s">
        <v>912</v>
      </c>
      <c r="C31" s="1438">
        <v>2.31</v>
      </c>
      <c r="D31" s="1433">
        <v>62.442999999999998</v>
      </c>
      <c r="E31" s="1409" t="s">
        <v>911</v>
      </c>
      <c r="F31" s="1433">
        <v>5</v>
      </c>
      <c r="G31" s="1409" t="s">
        <v>911</v>
      </c>
      <c r="H31" s="1433">
        <v>5.28</v>
      </c>
      <c r="I31" s="1409" t="s">
        <v>911</v>
      </c>
      <c r="J31" s="1434">
        <v>75.033000000000001</v>
      </c>
      <c r="K31" s="1409" t="s">
        <v>911</v>
      </c>
      <c r="L31" s="1409">
        <v>3.3340132799999997</v>
      </c>
      <c r="M31" s="1409" t="s">
        <v>911</v>
      </c>
      <c r="N31" s="1409" t="s">
        <v>911</v>
      </c>
      <c r="O31" s="1409" t="s">
        <v>911</v>
      </c>
      <c r="P31" s="1409">
        <v>3.4822199999999999</v>
      </c>
      <c r="Q31" s="1409" t="s">
        <v>911</v>
      </c>
      <c r="R31" s="1436">
        <v>6.8162332800000005</v>
      </c>
    </row>
    <row r="32" spans="1:18" s="997" customFormat="1" ht="20.100000000000001" customHeight="1">
      <c r="A32" s="2984"/>
      <c r="B32" s="1414" t="s">
        <v>739</v>
      </c>
      <c r="C32" s="1438">
        <v>276.11799999999999</v>
      </c>
      <c r="D32" s="1433">
        <v>1275.7260000000001</v>
      </c>
      <c r="E32" s="1433">
        <v>5.3259999999999996</v>
      </c>
      <c r="F32" s="1433">
        <v>59.953000000000003</v>
      </c>
      <c r="G32" s="1433">
        <v>254</v>
      </c>
      <c r="H32" s="1433">
        <v>261.49</v>
      </c>
      <c r="I32" s="1409" t="s">
        <v>911</v>
      </c>
      <c r="J32" s="1434">
        <v>2132.6129999999998</v>
      </c>
      <c r="K32" s="1437">
        <v>40.272588661</v>
      </c>
      <c r="L32" s="1409">
        <v>73.861538706000005</v>
      </c>
      <c r="M32" s="1409">
        <v>0.33303829499999998</v>
      </c>
      <c r="N32" s="1409">
        <v>27.495670657000002</v>
      </c>
      <c r="O32" s="1409">
        <v>36.47880146</v>
      </c>
      <c r="P32" s="1409">
        <v>138.721876388</v>
      </c>
      <c r="Q32" s="1409" t="s">
        <v>911</v>
      </c>
      <c r="R32" s="1436">
        <v>317.16351416700002</v>
      </c>
    </row>
    <row r="33" spans="1:19" s="997" customFormat="1" ht="20.100000000000001" customHeight="1">
      <c r="A33" s="2984"/>
      <c r="B33" s="1414" t="s">
        <v>740</v>
      </c>
      <c r="C33" s="1438">
        <v>520.09500000000003</v>
      </c>
      <c r="D33" s="1433">
        <v>1569.0619999999999</v>
      </c>
      <c r="E33" s="1433">
        <v>480.548</v>
      </c>
      <c r="F33" s="1433">
        <v>361.315</v>
      </c>
      <c r="G33" s="1409" t="s">
        <v>911</v>
      </c>
      <c r="H33" s="1433">
        <v>34.295999999999999</v>
      </c>
      <c r="I33" s="1409" t="s">
        <v>911</v>
      </c>
      <c r="J33" s="1434">
        <v>2965.3159999999998</v>
      </c>
      <c r="K33" s="1437">
        <v>74.037051018999989</v>
      </c>
      <c r="L33" s="1409">
        <v>96.923853840000007</v>
      </c>
      <c r="M33" s="1409">
        <v>132.59986212300001</v>
      </c>
      <c r="N33" s="1409">
        <v>230.72971256100001</v>
      </c>
      <c r="O33" s="1409" t="s">
        <v>911</v>
      </c>
      <c r="P33" s="1409">
        <v>20.600206133</v>
      </c>
      <c r="Q33" s="1409" t="s">
        <v>911</v>
      </c>
      <c r="R33" s="1436">
        <v>554.89068567599998</v>
      </c>
    </row>
    <row r="34" spans="1:19" s="997" customFormat="1" ht="20.100000000000001" customHeight="1">
      <c r="A34" s="2984"/>
      <c r="B34" s="1414" t="s">
        <v>741</v>
      </c>
      <c r="C34" s="1438">
        <v>519.00400000000002</v>
      </c>
      <c r="D34" s="1433">
        <v>1139.2260000000001</v>
      </c>
      <c r="E34" s="1409" t="s">
        <v>911</v>
      </c>
      <c r="F34" s="1433">
        <v>2.66</v>
      </c>
      <c r="G34" s="1409" t="s">
        <v>911</v>
      </c>
      <c r="H34" s="1433">
        <v>39.6</v>
      </c>
      <c r="I34" s="1409" t="s">
        <v>911</v>
      </c>
      <c r="J34" s="1434">
        <v>1700.49</v>
      </c>
      <c r="K34" s="1437">
        <v>31.100890178</v>
      </c>
      <c r="L34" s="1409">
        <v>58.148807472000001</v>
      </c>
      <c r="M34" s="1409" t="s">
        <v>911</v>
      </c>
      <c r="N34" s="1409">
        <v>0.52758636800000003</v>
      </c>
      <c r="O34" s="1409" t="s">
        <v>911</v>
      </c>
      <c r="P34" s="1409">
        <v>29.771824769999998</v>
      </c>
      <c r="Q34" s="1409" t="s">
        <v>911</v>
      </c>
      <c r="R34" s="1436">
        <v>119.549108788</v>
      </c>
    </row>
    <row r="35" spans="1:19" s="997" customFormat="1" ht="20.100000000000001" customHeight="1">
      <c r="A35" s="2984"/>
      <c r="B35" s="1414" t="s">
        <v>742</v>
      </c>
      <c r="C35" s="1438">
        <v>32.296999999999997</v>
      </c>
      <c r="D35" s="1433">
        <v>2572.7199999999998</v>
      </c>
      <c r="E35" s="1433">
        <v>2</v>
      </c>
      <c r="F35" s="1433">
        <v>375.21899999999999</v>
      </c>
      <c r="G35" s="1409" t="s">
        <v>911</v>
      </c>
      <c r="H35" s="1433">
        <v>63.92</v>
      </c>
      <c r="I35" s="1433">
        <v>346.33</v>
      </c>
      <c r="J35" s="1434">
        <v>3392.4850000000001</v>
      </c>
      <c r="K35" s="1437">
        <v>4.4710986440000005</v>
      </c>
      <c r="L35" s="1409">
        <v>154.19902156799998</v>
      </c>
      <c r="M35" s="1409">
        <v>0.14274339999999999</v>
      </c>
      <c r="N35" s="1409">
        <v>250.92189932199997</v>
      </c>
      <c r="O35" s="1409" t="s">
        <v>911</v>
      </c>
      <c r="P35" s="1409">
        <v>38.798298289999998</v>
      </c>
      <c r="Q35" s="1409">
        <v>187.66499999999999</v>
      </c>
      <c r="R35" s="1436">
        <v>636.19806122399996</v>
      </c>
    </row>
    <row r="36" spans="1:19" s="997" customFormat="1" ht="20.100000000000001" customHeight="1">
      <c r="A36" s="2984"/>
      <c r="B36" s="1414" t="s">
        <v>743</v>
      </c>
      <c r="C36" s="1438">
        <v>78.387</v>
      </c>
      <c r="D36" s="1433">
        <v>3952.9740000000002</v>
      </c>
      <c r="E36" s="1433">
        <v>79.5</v>
      </c>
      <c r="F36" s="1433">
        <v>479.80200000000002</v>
      </c>
      <c r="G36" s="1409" t="s">
        <v>911</v>
      </c>
      <c r="H36" s="1433">
        <v>22.004999999999999</v>
      </c>
      <c r="I36" s="1409" t="s">
        <v>911</v>
      </c>
      <c r="J36" s="1434">
        <v>4612.6670000000004</v>
      </c>
      <c r="K36" s="1437">
        <v>10.480207797</v>
      </c>
      <c r="L36" s="1409">
        <v>236.94349907499998</v>
      </c>
      <c r="M36" s="1409">
        <v>16.374918301999998</v>
      </c>
      <c r="N36" s="1409">
        <v>384.267427172</v>
      </c>
      <c r="O36" s="1409" t="s">
        <v>911</v>
      </c>
      <c r="P36" s="1409">
        <v>11.813180189999999</v>
      </c>
      <c r="Q36" s="1409" t="s">
        <v>911</v>
      </c>
      <c r="R36" s="1436">
        <v>659.87923253600002</v>
      </c>
    </row>
    <row r="37" spans="1:19" s="997" customFormat="1" ht="20.100000000000001" customHeight="1">
      <c r="A37" s="2984"/>
      <c r="B37" s="1414" t="s">
        <v>744</v>
      </c>
      <c r="C37" s="1438">
        <v>38.756999999999998</v>
      </c>
      <c r="D37" s="1433">
        <v>4647.9660000000003</v>
      </c>
      <c r="E37" s="1433">
        <v>425.47500000000002</v>
      </c>
      <c r="F37" s="1433">
        <v>2.923</v>
      </c>
      <c r="G37" s="1433">
        <v>1.08</v>
      </c>
      <c r="H37" s="1433">
        <v>50.08</v>
      </c>
      <c r="I37" s="1409" t="s">
        <v>911</v>
      </c>
      <c r="J37" s="1434">
        <v>5166.2809999999999</v>
      </c>
      <c r="K37" s="1437">
        <v>4.2181674649999996</v>
      </c>
      <c r="L37" s="1409">
        <v>327.55483583500001</v>
      </c>
      <c r="M37" s="1409">
        <v>64.098075041000001</v>
      </c>
      <c r="N37" s="1409">
        <v>4.3917077839999994</v>
      </c>
      <c r="O37" s="1409" t="s">
        <v>911</v>
      </c>
      <c r="P37" s="1409">
        <v>24.189170000000001</v>
      </c>
      <c r="Q37" s="1409" t="s">
        <v>911</v>
      </c>
      <c r="R37" s="1436">
        <v>424.45195612499998</v>
      </c>
    </row>
    <row r="38" spans="1:19" s="997" customFormat="1" ht="20.100000000000001" customHeight="1">
      <c r="A38" s="2984"/>
      <c r="B38" s="1414" t="s">
        <v>745</v>
      </c>
      <c r="C38" s="1438">
        <v>180.155</v>
      </c>
      <c r="D38" s="1433">
        <v>2911.44</v>
      </c>
      <c r="E38" s="1433">
        <v>467.36</v>
      </c>
      <c r="F38" s="1433">
        <v>3.5</v>
      </c>
      <c r="G38" s="1409" t="s">
        <v>911</v>
      </c>
      <c r="H38" s="1433">
        <v>3.778</v>
      </c>
      <c r="I38" s="1409" t="s">
        <v>911</v>
      </c>
      <c r="J38" s="1434">
        <v>3566.2330000000002</v>
      </c>
      <c r="K38" s="1437">
        <v>12.523833855000001</v>
      </c>
      <c r="L38" s="1409">
        <v>228.596972319</v>
      </c>
      <c r="M38" s="1439">
        <v>138.712759245</v>
      </c>
      <c r="N38" s="1409">
        <v>0.51477156000000002</v>
      </c>
      <c r="O38" s="1409" t="s">
        <v>911</v>
      </c>
      <c r="P38" s="1409">
        <v>1.6046672479999999</v>
      </c>
      <c r="Q38" s="1409" t="s">
        <v>911</v>
      </c>
      <c r="R38" s="1436">
        <v>381.95300422700001</v>
      </c>
    </row>
    <row r="39" spans="1:19" s="997" customFormat="1" ht="20.100000000000001" customHeight="1">
      <c r="A39" s="2984"/>
      <c r="B39" s="1414" t="s">
        <v>746</v>
      </c>
      <c r="C39" s="1432">
        <v>145.46899999999999</v>
      </c>
      <c r="D39" s="1433">
        <v>1440.454</v>
      </c>
      <c r="E39" s="1433">
        <v>86.186000000000007</v>
      </c>
      <c r="F39" s="1433">
        <v>15.355</v>
      </c>
      <c r="G39" s="1409" t="s">
        <v>911</v>
      </c>
      <c r="H39" s="1433">
        <v>4.5149999999999997</v>
      </c>
      <c r="I39" s="1409" t="s">
        <v>911</v>
      </c>
      <c r="J39" s="1434">
        <v>1691.979</v>
      </c>
      <c r="K39" s="1437">
        <v>15.492030851999999</v>
      </c>
      <c r="L39" s="1409">
        <v>124.57656865800001</v>
      </c>
      <c r="M39" s="1409">
        <v>20.809951969</v>
      </c>
      <c r="N39" s="1409">
        <v>6.2274180810000006</v>
      </c>
      <c r="O39" s="1409" t="s">
        <v>911</v>
      </c>
      <c r="P39" s="1409">
        <v>3.1149969049999999</v>
      </c>
      <c r="Q39" s="1409" t="s">
        <v>911</v>
      </c>
      <c r="R39" s="1436">
        <v>170.220966465</v>
      </c>
    </row>
    <row r="40" spans="1:19" s="997" customFormat="1" ht="20.100000000000001" customHeight="1">
      <c r="A40" s="2984"/>
      <c r="B40" s="1414" t="s">
        <v>747</v>
      </c>
      <c r="C40" s="1438">
        <v>1.216</v>
      </c>
      <c r="D40" s="1433">
        <v>580.35</v>
      </c>
      <c r="E40" s="1433">
        <v>294.69900000000001</v>
      </c>
      <c r="F40" s="1433">
        <v>396.94900000000001</v>
      </c>
      <c r="G40" s="1433">
        <v>0.5</v>
      </c>
      <c r="H40" s="1409">
        <v>0</v>
      </c>
      <c r="I40" s="1409" t="s">
        <v>911</v>
      </c>
      <c r="J40" s="1434">
        <v>1273.7149999999999</v>
      </c>
      <c r="K40" s="1409">
        <v>0.23589660600000001</v>
      </c>
      <c r="L40" s="1409">
        <v>30.552688491000001</v>
      </c>
      <c r="M40" s="1409">
        <v>72.425085339000006</v>
      </c>
      <c r="N40" s="1409">
        <v>166.730761003</v>
      </c>
      <c r="O40" s="1409" t="s">
        <v>911</v>
      </c>
      <c r="P40" s="1409">
        <v>0</v>
      </c>
      <c r="Q40" s="1409" t="s">
        <v>911</v>
      </c>
      <c r="R40" s="1436">
        <v>269.94443143900003</v>
      </c>
    </row>
    <row r="41" spans="1:19" s="997" customFormat="1" ht="20.100000000000001" customHeight="1">
      <c r="A41" s="2985"/>
      <c r="B41" s="1419" t="s">
        <v>184</v>
      </c>
      <c r="C41" s="1440">
        <v>1812.423</v>
      </c>
      <c r="D41" s="1441">
        <v>20973.385999999999</v>
      </c>
      <c r="E41" s="1441">
        <v>1892.502</v>
      </c>
      <c r="F41" s="1441">
        <v>1801.1990000000001</v>
      </c>
      <c r="G41" s="1441">
        <v>255.58</v>
      </c>
      <c r="H41" s="1441">
        <v>879.79399999999998</v>
      </c>
      <c r="I41" s="1441">
        <v>346.33</v>
      </c>
      <c r="J41" s="1442">
        <v>27961.215</v>
      </c>
      <c r="K41" s="1443">
        <v>197.337624304</v>
      </c>
      <c r="L41" s="1421">
        <v>1393.730673581</v>
      </c>
      <c r="M41" s="1421">
        <v>448.04721881099999</v>
      </c>
      <c r="N41" s="1421">
        <v>1097.6152809289999</v>
      </c>
      <c r="O41" s="1421">
        <v>36.47880146</v>
      </c>
      <c r="P41" s="1421">
        <v>486.84797004199999</v>
      </c>
      <c r="Q41" s="1421">
        <v>187.66499999999999</v>
      </c>
      <c r="R41" s="1444">
        <v>3847.722569127</v>
      </c>
      <c r="S41" s="1445"/>
    </row>
    <row r="42" spans="1:19" s="1016" customFormat="1" ht="12.95" customHeight="1">
      <c r="A42" s="305" t="s">
        <v>914</v>
      </c>
      <c r="C42" s="626"/>
      <c r="D42" s="626"/>
      <c r="E42" s="626"/>
      <c r="F42" s="626"/>
      <c r="G42" s="626"/>
      <c r="H42" s="626"/>
      <c r="I42" s="626"/>
      <c r="J42" s="305"/>
      <c r="K42" s="305"/>
      <c r="L42" s="626"/>
      <c r="M42" s="626"/>
      <c r="N42" s="626"/>
      <c r="O42" s="626"/>
      <c r="P42" s="626"/>
      <c r="Q42" s="626"/>
      <c r="R42" s="626"/>
    </row>
    <row r="43" spans="1:19" s="1016" customFormat="1" ht="9.9499999999999993" customHeight="1">
      <c r="B43" s="626"/>
      <c r="C43" s="626"/>
      <c r="D43" s="626"/>
      <c r="E43" s="626"/>
      <c r="F43" s="626"/>
      <c r="G43" s="626"/>
      <c r="H43" s="626"/>
      <c r="I43" s="626"/>
      <c r="J43" s="626"/>
      <c r="K43" s="626"/>
      <c r="L43" s="626"/>
      <c r="M43" s="626"/>
      <c r="N43" s="626"/>
      <c r="O43" s="626"/>
      <c r="P43" s="626"/>
      <c r="Q43" s="626"/>
      <c r="R43" s="626"/>
    </row>
    <row r="44" spans="1:19" s="997" customFormat="1" ht="3" customHeight="1">
      <c r="B44" s="1017"/>
      <c r="C44" s="1017"/>
      <c r="D44" s="1017"/>
      <c r="E44" s="1017"/>
      <c r="F44" s="1017"/>
      <c r="G44" s="1017"/>
      <c r="H44" s="1017"/>
      <c r="I44" s="1017"/>
      <c r="J44" s="1017"/>
      <c r="K44" s="1017"/>
      <c r="L44" s="1017"/>
      <c r="M44" s="1017"/>
      <c r="N44" s="1017"/>
      <c r="O44" s="1017"/>
      <c r="P44" s="1017"/>
      <c r="Q44" s="1017"/>
      <c r="R44" s="1017"/>
    </row>
  </sheetData>
  <mergeCells count="5">
    <mergeCell ref="A4:B5"/>
    <mergeCell ref="C4:J4"/>
    <mergeCell ref="K4:R4"/>
    <mergeCell ref="A6:A23"/>
    <mergeCell ref="A24:A41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79" firstPageNumber="33" orientation="portrait" useFirstPageNumber="1" r:id="rId1"/>
  <headerFooter differentOddEven="1" scaleWithDoc="0" alignWithMargins="0">
    <firstFooter>&amp;R&amp;P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6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6.5"/>
  <cols>
    <col min="1" max="13" width="7.125" style="14" customWidth="1"/>
    <col min="14" max="16384" width="10" style="1018"/>
  </cols>
  <sheetData>
    <row r="1" spans="1:13" s="1399" customFormat="1" ht="20.25" customHeight="1">
      <c r="A1" s="991" t="s">
        <v>915</v>
      </c>
      <c r="B1" s="1400"/>
      <c r="C1" s="1400"/>
      <c r="D1" s="1400"/>
      <c r="E1" s="1400"/>
      <c r="F1" s="1400"/>
      <c r="G1" s="1400"/>
      <c r="H1" s="1400"/>
      <c r="I1" s="1400"/>
      <c r="J1" s="1400"/>
      <c r="K1" s="1400"/>
      <c r="L1" s="1400"/>
      <c r="M1" s="1400"/>
    </row>
    <row r="2" spans="1:13" ht="17.25" customHeight="1">
      <c r="A2" s="522" t="s">
        <v>916</v>
      </c>
    </row>
    <row r="3" spans="1:13" s="996" customFormat="1" ht="15" customHeight="1">
      <c r="A3" s="994" t="s">
        <v>917</v>
      </c>
      <c r="B3" s="382"/>
      <c r="C3" s="995"/>
      <c r="D3" s="382"/>
      <c r="E3" s="382"/>
      <c r="F3" s="995"/>
      <c r="G3" s="995"/>
      <c r="H3" s="995"/>
      <c r="I3" s="995"/>
      <c r="J3" s="995"/>
      <c r="K3" s="995"/>
      <c r="L3" s="995"/>
      <c r="M3" s="1398" t="s">
        <v>895</v>
      </c>
    </row>
    <row r="4" spans="1:13" s="997" customFormat="1" ht="30.6" customHeight="1">
      <c r="A4" s="2930" t="s">
        <v>203</v>
      </c>
      <c r="B4" s="2987" t="s">
        <v>155</v>
      </c>
      <c r="C4" s="2884" t="s">
        <v>165</v>
      </c>
      <c r="D4" s="2884"/>
      <c r="E4" s="2884"/>
      <c r="F4" s="2884"/>
      <c r="G4" s="2933"/>
      <c r="H4" s="2934" t="s">
        <v>164</v>
      </c>
      <c r="I4" s="2934" t="s">
        <v>158</v>
      </c>
      <c r="J4" s="2935" t="s">
        <v>13</v>
      </c>
      <c r="K4" s="2936" t="s">
        <v>159</v>
      </c>
      <c r="L4" s="2937" t="s">
        <v>160</v>
      </c>
      <c r="M4" s="2881" t="s">
        <v>161</v>
      </c>
    </row>
    <row r="5" spans="1:13" s="997" customFormat="1" ht="30.6" customHeight="1">
      <c r="A5" s="2931"/>
      <c r="B5" s="2988"/>
      <c r="C5" s="560" t="s">
        <v>128</v>
      </c>
      <c r="D5" s="261" t="s">
        <v>127</v>
      </c>
      <c r="E5" s="261" t="s">
        <v>447</v>
      </c>
      <c r="F5" s="261" t="s">
        <v>190</v>
      </c>
      <c r="G5" s="261" t="s">
        <v>161</v>
      </c>
      <c r="H5" s="2865"/>
      <c r="I5" s="2865"/>
      <c r="J5" s="2867"/>
      <c r="K5" s="2867"/>
      <c r="L5" s="2938"/>
      <c r="M5" s="2883"/>
    </row>
    <row r="6" spans="1:13" s="997" customFormat="1" ht="33.6" customHeight="1">
      <c r="A6" s="1446" t="s">
        <v>731</v>
      </c>
      <c r="B6" s="1447">
        <v>1.6E-2</v>
      </c>
      <c r="C6" s="1448" t="s">
        <v>171</v>
      </c>
      <c r="D6" s="1448" t="s">
        <v>171</v>
      </c>
      <c r="E6" s="1448" t="s">
        <v>171</v>
      </c>
      <c r="F6" s="1448">
        <v>5.8630000000000004</v>
      </c>
      <c r="G6" s="1448">
        <v>5.8630000000000004</v>
      </c>
      <c r="H6" s="1448">
        <v>498.2</v>
      </c>
      <c r="I6" s="1448" t="s">
        <v>171</v>
      </c>
      <c r="J6" s="1448" t="s">
        <v>171</v>
      </c>
      <c r="K6" s="1448">
        <v>29.86</v>
      </c>
      <c r="L6" s="1449">
        <v>14.519879400000001</v>
      </c>
      <c r="M6" s="1450">
        <v>548.45899999999995</v>
      </c>
    </row>
    <row r="7" spans="1:13" s="997" customFormat="1" ht="33.6" customHeight="1">
      <c r="A7" s="1004" t="s">
        <v>732</v>
      </c>
      <c r="B7" s="1451">
        <v>2.1000000000000001E-2</v>
      </c>
      <c r="C7" s="1448" t="s">
        <v>171</v>
      </c>
      <c r="D7" s="1448">
        <v>1.825</v>
      </c>
      <c r="E7" s="1448" t="s">
        <v>171</v>
      </c>
      <c r="F7" s="1448">
        <v>0</v>
      </c>
      <c r="G7" s="1448">
        <v>1.825</v>
      </c>
      <c r="H7" s="1448">
        <v>716.74400000000003</v>
      </c>
      <c r="I7" s="1448" t="s">
        <v>171</v>
      </c>
      <c r="J7" s="1448">
        <v>2911.9470000000001</v>
      </c>
      <c r="K7" s="1448">
        <v>43.003999999999998</v>
      </c>
      <c r="L7" s="1449">
        <v>7.3656971999999996</v>
      </c>
      <c r="M7" s="1450">
        <v>3680.9070000000002</v>
      </c>
    </row>
    <row r="8" spans="1:13" s="997" customFormat="1" ht="33.6" customHeight="1">
      <c r="A8" s="1004" t="s">
        <v>733</v>
      </c>
      <c r="B8" s="1451">
        <v>1.1719999999999999</v>
      </c>
      <c r="C8" s="1448" t="s">
        <v>171</v>
      </c>
      <c r="D8" s="1448">
        <v>0.222</v>
      </c>
      <c r="E8" s="1448">
        <v>15.148999999999999</v>
      </c>
      <c r="F8" s="1448">
        <v>0</v>
      </c>
      <c r="G8" s="1448">
        <v>15.371</v>
      </c>
      <c r="H8" s="1448">
        <v>228.208</v>
      </c>
      <c r="I8" s="1448" t="s">
        <v>171</v>
      </c>
      <c r="J8" s="1448" t="s">
        <v>171</v>
      </c>
      <c r="K8" s="1448">
        <v>12.869</v>
      </c>
      <c r="L8" s="1449">
        <v>0</v>
      </c>
      <c r="M8" s="1450">
        <v>257.62</v>
      </c>
    </row>
    <row r="9" spans="1:13" s="997" customFormat="1" ht="33.6" customHeight="1">
      <c r="A9" s="1004" t="s">
        <v>734</v>
      </c>
      <c r="B9" s="1452">
        <v>2.8340000000000001</v>
      </c>
      <c r="C9" s="1448" t="s">
        <v>171</v>
      </c>
      <c r="D9" s="1448">
        <v>1754.961</v>
      </c>
      <c r="E9" s="1448" t="s">
        <v>171</v>
      </c>
      <c r="F9" s="1448">
        <v>8.5670000000000002</v>
      </c>
      <c r="G9" s="1448">
        <v>1763.528</v>
      </c>
      <c r="H9" s="1448">
        <v>2952.8870000000002</v>
      </c>
      <c r="I9" s="1448">
        <v>13.032999999999999</v>
      </c>
      <c r="J9" s="1448" t="s">
        <v>171</v>
      </c>
      <c r="K9" s="1448">
        <v>155.755</v>
      </c>
      <c r="L9" s="1449">
        <v>2.1800856999999998</v>
      </c>
      <c r="M9" s="1450">
        <v>4890.2169999999996</v>
      </c>
    </row>
    <row r="10" spans="1:13" s="997" customFormat="1" ht="33.6" customHeight="1">
      <c r="A10" s="1004" t="s">
        <v>735</v>
      </c>
      <c r="B10" s="1452">
        <v>0.29399999999999998</v>
      </c>
      <c r="C10" s="1448" t="s">
        <v>171</v>
      </c>
      <c r="D10" s="1448" t="s">
        <v>171</v>
      </c>
      <c r="E10" s="1448" t="s">
        <v>171</v>
      </c>
      <c r="F10" s="1448" t="s">
        <v>171</v>
      </c>
      <c r="G10" s="1448" t="s">
        <v>171</v>
      </c>
      <c r="H10" s="1448">
        <v>64.103999999999999</v>
      </c>
      <c r="I10" s="1448" t="s">
        <v>171</v>
      </c>
      <c r="J10" s="1448" t="s">
        <v>171</v>
      </c>
      <c r="K10" s="1448">
        <v>26.481000000000002</v>
      </c>
      <c r="L10" s="1449">
        <v>1.710426</v>
      </c>
      <c r="M10" s="1450">
        <v>92.588999999999999</v>
      </c>
    </row>
    <row r="11" spans="1:13" s="997" customFormat="1" ht="33.6" customHeight="1">
      <c r="A11" s="1004" t="s">
        <v>736</v>
      </c>
      <c r="B11" s="1452" t="s">
        <v>171</v>
      </c>
      <c r="C11" s="1448" t="s">
        <v>171</v>
      </c>
      <c r="D11" s="1448" t="s">
        <v>171</v>
      </c>
      <c r="E11" s="1448" t="s">
        <v>171</v>
      </c>
      <c r="F11" s="1448">
        <v>19.933</v>
      </c>
      <c r="G11" s="1448">
        <v>19.933</v>
      </c>
      <c r="H11" s="1448" t="s">
        <v>171</v>
      </c>
      <c r="I11" s="1448" t="s">
        <v>171</v>
      </c>
      <c r="J11" s="1448" t="s">
        <v>171</v>
      </c>
      <c r="K11" s="1448">
        <v>7.84</v>
      </c>
      <c r="L11" s="1449">
        <v>26.664090399999999</v>
      </c>
      <c r="M11" s="1450">
        <v>54.436999999999998</v>
      </c>
    </row>
    <row r="12" spans="1:13" s="997" customFormat="1" ht="33.6" customHeight="1">
      <c r="A12" s="1004" t="s">
        <v>737</v>
      </c>
      <c r="B12" s="1451">
        <v>0.16900000000000001</v>
      </c>
      <c r="C12" s="1448" t="s">
        <v>171</v>
      </c>
      <c r="D12" s="1448" t="s">
        <v>171</v>
      </c>
      <c r="E12" s="1448" t="s">
        <v>171</v>
      </c>
      <c r="F12" s="1448" t="s">
        <v>171</v>
      </c>
      <c r="G12" s="1448" t="s">
        <v>171</v>
      </c>
      <c r="H12" s="1448">
        <v>892.55700000000002</v>
      </c>
      <c r="I12" s="1448" t="s">
        <v>171</v>
      </c>
      <c r="J12" s="1448">
        <v>2204.6370000000002</v>
      </c>
      <c r="K12" s="1448">
        <v>26.341000000000001</v>
      </c>
      <c r="L12" s="1449">
        <v>14.750992999999999</v>
      </c>
      <c r="M12" s="1450">
        <v>3138.4549999999999</v>
      </c>
    </row>
    <row r="13" spans="1:13" s="997" customFormat="1" ht="33.6" customHeight="1">
      <c r="A13" s="1004" t="s">
        <v>738</v>
      </c>
      <c r="B13" s="1452">
        <v>0</v>
      </c>
      <c r="C13" s="1448" t="s">
        <v>171</v>
      </c>
      <c r="D13" s="1448" t="s">
        <v>171</v>
      </c>
      <c r="E13" s="1448" t="s">
        <v>171</v>
      </c>
      <c r="F13" s="1448" t="s">
        <v>171</v>
      </c>
      <c r="G13" s="1448" t="s">
        <v>171</v>
      </c>
      <c r="H13" s="1448">
        <v>352.02300000000002</v>
      </c>
      <c r="I13" s="1448" t="s">
        <v>171</v>
      </c>
      <c r="J13" s="1448" t="s">
        <v>171</v>
      </c>
      <c r="K13" s="1448">
        <v>6.8159999999999998</v>
      </c>
      <c r="L13" s="1449">
        <v>0.80168110000000004</v>
      </c>
      <c r="M13" s="1450">
        <v>359.64100000000002</v>
      </c>
    </row>
    <row r="14" spans="1:13" s="997" customFormat="1" ht="33.6" customHeight="1">
      <c r="A14" s="1004" t="s">
        <v>739</v>
      </c>
      <c r="B14" s="1452">
        <v>65.936000000000007</v>
      </c>
      <c r="C14" s="1448" t="s">
        <v>171</v>
      </c>
      <c r="D14" s="1448">
        <v>168.37799999999999</v>
      </c>
      <c r="E14" s="1448">
        <v>0.151</v>
      </c>
      <c r="F14" s="1448">
        <v>229.059</v>
      </c>
      <c r="G14" s="1448">
        <v>397.58800000000002</v>
      </c>
      <c r="H14" s="1448">
        <v>8131.7349999999997</v>
      </c>
      <c r="I14" s="1448">
        <v>0.129</v>
      </c>
      <c r="J14" s="1448" t="s">
        <v>171</v>
      </c>
      <c r="K14" s="1448">
        <v>269.37700000000001</v>
      </c>
      <c r="L14" s="1449">
        <v>12.876642199999999</v>
      </c>
      <c r="M14" s="1450">
        <v>8877.6419999999998</v>
      </c>
    </row>
    <row r="15" spans="1:13" s="997" customFormat="1" ht="33.6" customHeight="1">
      <c r="A15" s="1004" t="s">
        <v>740</v>
      </c>
      <c r="B15" s="1452">
        <v>155.85300000000001</v>
      </c>
      <c r="C15" s="1448">
        <v>274.49</v>
      </c>
      <c r="D15" s="1448">
        <v>2535.9580000000001</v>
      </c>
      <c r="E15" s="1448" t="s">
        <v>171</v>
      </c>
      <c r="F15" s="1448" t="s">
        <v>171</v>
      </c>
      <c r="G15" s="1448">
        <v>2810.4470000000001</v>
      </c>
      <c r="H15" s="1448">
        <v>335.40300000000002</v>
      </c>
      <c r="I15" s="1448" t="s">
        <v>171</v>
      </c>
      <c r="J15" s="1448" t="s">
        <v>171</v>
      </c>
      <c r="K15" s="1448">
        <v>477.96899999999999</v>
      </c>
      <c r="L15" s="1449">
        <v>7.1471974999999999</v>
      </c>
      <c r="M15" s="1450">
        <v>3786.819</v>
      </c>
    </row>
    <row r="16" spans="1:13" s="997" customFormat="1" ht="33.6" customHeight="1">
      <c r="A16" s="1453" t="s">
        <v>741</v>
      </c>
      <c r="B16" s="1454">
        <v>31.100999999999999</v>
      </c>
      <c r="C16" s="1448" t="s">
        <v>171</v>
      </c>
      <c r="D16" s="1448" t="s">
        <v>171</v>
      </c>
      <c r="E16" s="1448">
        <v>19.928000000000001</v>
      </c>
      <c r="F16" s="1448" t="s">
        <v>171</v>
      </c>
      <c r="G16" s="1448">
        <v>19.928000000000001</v>
      </c>
      <c r="H16" s="1448" t="s">
        <v>171</v>
      </c>
      <c r="I16" s="1448" t="s">
        <v>171</v>
      </c>
      <c r="J16" s="1448" t="s">
        <v>171</v>
      </c>
      <c r="K16" s="1448">
        <v>88.447999999999993</v>
      </c>
      <c r="L16" s="1449">
        <v>13.948366200000001</v>
      </c>
      <c r="M16" s="1450">
        <v>153.42500000000001</v>
      </c>
    </row>
    <row r="17" spans="1:13" s="997" customFormat="1" ht="33.6" customHeight="1">
      <c r="A17" s="1453" t="s">
        <v>742</v>
      </c>
      <c r="B17" s="1454">
        <v>4.4710000000000001</v>
      </c>
      <c r="C17" s="1448" t="s">
        <v>171</v>
      </c>
      <c r="D17" s="1448">
        <v>8807.2549999999992</v>
      </c>
      <c r="E17" s="1448" t="s">
        <v>171</v>
      </c>
      <c r="F17" s="1448">
        <v>0</v>
      </c>
      <c r="G17" s="1448">
        <v>8807.2549999999992</v>
      </c>
      <c r="H17" s="1448">
        <v>960.505</v>
      </c>
      <c r="I17" s="1448">
        <v>0.51900000000000002</v>
      </c>
      <c r="J17" s="1448" t="s">
        <v>171</v>
      </c>
      <c r="K17" s="1448">
        <v>629.846</v>
      </c>
      <c r="L17" s="1449">
        <v>4.1884151999999997</v>
      </c>
      <c r="M17" s="1450">
        <v>10406.785</v>
      </c>
    </row>
    <row r="18" spans="1:13" s="997" customFormat="1" ht="33.6" customHeight="1">
      <c r="A18" s="1453" t="s">
        <v>743</v>
      </c>
      <c r="B18" s="1454">
        <v>62.133000000000003</v>
      </c>
      <c r="C18" s="1448" t="s">
        <v>171</v>
      </c>
      <c r="D18" s="1448">
        <v>365.25099999999998</v>
      </c>
      <c r="E18" s="1448" t="s">
        <v>171</v>
      </c>
      <c r="F18" s="1448" t="s">
        <v>171</v>
      </c>
      <c r="G18" s="1448">
        <v>365.25099999999998</v>
      </c>
      <c r="H18" s="1448">
        <v>131.39599999999999</v>
      </c>
      <c r="I18" s="1448">
        <v>1.3959999999999999</v>
      </c>
      <c r="J18" s="1448" t="s">
        <v>171</v>
      </c>
      <c r="K18" s="1448">
        <v>545.25900000000001</v>
      </c>
      <c r="L18" s="1449">
        <v>4.3920047000000002</v>
      </c>
      <c r="M18" s="1450">
        <v>1109.826</v>
      </c>
    </row>
    <row r="19" spans="1:13" s="997" customFormat="1" ht="33.6" customHeight="1">
      <c r="A19" s="1453" t="s">
        <v>744</v>
      </c>
      <c r="B19" s="1454">
        <v>4.218</v>
      </c>
      <c r="C19" s="1448" t="s">
        <v>171</v>
      </c>
      <c r="D19" s="1448">
        <v>593.36599999999999</v>
      </c>
      <c r="E19" s="1448" t="s">
        <v>171</v>
      </c>
      <c r="F19" s="1448" t="s">
        <v>171</v>
      </c>
      <c r="G19" s="1448">
        <v>593.36599999999999</v>
      </c>
      <c r="H19" s="1448">
        <v>1052.08</v>
      </c>
      <c r="I19" s="1448">
        <v>5.1230000000000002</v>
      </c>
      <c r="J19" s="1448">
        <v>3118.788</v>
      </c>
      <c r="K19" s="1448">
        <v>416.36</v>
      </c>
      <c r="L19" s="1449">
        <v>49.921892</v>
      </c>
      <c r="M19" s="1450">
        <v>5239.8580000000002</v>
      </c>
    </row>
    <row r="20" spans="1:13" s="997" customFormat="1" ht="33.6" customHeight="1">
      <c r="A20" s="1453" t="s">
        <v>745</v>
      </c>
      <c r="B20" s="1454">
        <v>58.253999999999998</v>
      </c>
      <c r="C20" s="1448" t="s">
        <v>171</v>
      </c>
      <c r="D20" s="1448">
        <v>88.168000000000006</v>
      </c>
      <c r="E20" s="1448" t="s">
        <v>171</v>
      </c>
      <c r="F20" s="1448" t="s">
        <v>171</v>
      </c>
      <c r="G20" s="1448">
        <v>88.168000000000006</v>
      </c>
      <c r="H20" s="1448">
        <v>190.625</v>
      </c>
      <c r="I20" s="1455">
        <v>7.4870000000000001</v>
      </c>
      <c r="J20" s="1448">
        <v>6993.299</v>
      </c>
      <c r="K20" s="1448">
        <v>369.42899999999997</v>
      </c>
      <c r="L20" s="1449">
        <v>10.5904697</v>
      </c>
      <c r="M20" s="1450">
        <v>7717.8540000000003</v>
      </c>
    </row>
    <row r="21" spans="1:13" s="997" customFormat="1" ht="33.6" customHeight="1">
      <c r="A21" s="1453" t="s">
        <v>746</v>
      </c>
      <c r="B21" s="1456">
        <v>123.55500000000001</v>
      </c>
      <c r="C21" s="1448" t="s">
        <v>171</v>
      </c>
      <c r="D21" s="1448">
        <v>4522.6859999999997</v>
      </c>
      <c r="E21" s="1448">
        <v>6.9589999999999996</v>
      </c>
      <c r="F21" s="1448" t="s">
        <v>171</v>
      </c>
      <c r="G21" s="1448">
        <v>4529.6450000000004</v>
      </c>
      <c r="H21" s="1448" t="s">
        <v>171</v>
      </c>
      <c r="I21" s="1448">
        <v>0.13100000000000001</v>
      </c>
      <c r="J21" s="1448" t="s">
        <v>171</v>
      </c>
      <c r="K21" s="1448">
        <v>154.72900000000001</v>
      </c>
      <c r="L21" s="1449">
        <v>1.7319696</v>
      </c>
      <c r="M21" s="1450">
        <v>4809.7929999999997</v>
      </c>
    </row>
    <row r="22" spans="1:13" s="997" customFormat="1" ht="33.6" customHeight="1">
      <c r="A22" s="1457" t="s">
        <v>747</v>
      </c>
      <c r="B22" s="1458">
        <v>0.23599999999999999</v>
      </c>
      <c r="C22" s="1448" t="s">
        <v>171</v>
      </c>
      <c r="D22" s="1448" t="s">
        <v>171</v>
      </c>
      <c r="E22" s="1448" t="s">
        <v>171</v>
      </c>
      <c r="F22" s="1448" t="s">
        <v>171</v>
      </c>
      <c r="G22" s="1448" t="s">
        <v>171</v>
      </c>
      <c r="H22" s="1459">
        <v>151.714</v>
      </c>
      <c r="I22" s="1459">
        <v>16.959</v>
      </c>
      <c r="J22" s="1448" t="s">
        <v>171</v>
      </c>
      <c r="K22" s="1459">
        <v>269.709</v>
      </c>
      <c r="L22" s="1460">
        <v>5.0180189000000004</v>
      </c>
      <c r="M22" s="1461">
        <v>443.63600000000002</v>
      </c>
    </row>
    <row r="23" spans="1:13" s="997" customFormat="1" ht="33.6" customHeight="1">
      <c r="A23" s="1462" t="s">
        <v>918</v>
      </c>
      <c r="B23" s="1463">
        <v>510.26400000000001</v>
      </c>
      <c r="C23" s="1464">
        <v>274.49</v>
      </c>
      <c r="D23" s="1465">
        <v>18838.07</v>
      </c>
      <c r="E23" s="1465">
        <v>42.186999999999998</v>
      </c>
      <c r="F23" s="1465">
        <v>263.42200000000003</v>
      </c>
      <c r="G23" s="1465">
        <v>19418.169000000002</v>
      </c>
      <c r="H23" s="1465">
        <v>16658.181</v>
      </c>
      <c r="I23" s="1465">
        <v>44.777999999999999</v>
      </c>
      <c r="J23" s="1465">
        <v>15228.671</v>
      </c>
      <c r="K23" s="1465">
        <v>3530.0920000000001</v>
      </c>
      <c r="L23" s="1466">
        <v>177.8078289</v>
      </c>
      <c r="M23" s="1467">
        <v>55567.963000000003</v>
      </c>
    </row>
    <row r="24" spans="1:13" s="1016" customFormat="1" ht="12.75" customHeight="1">
      <c r="A24" s="305" t="s">
        <v>748</v>
      </c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626"/>
    </row>
    <row r="25" spans="1:13" s="1016" customFormat="1" ht="12.75" customHeight="1">
      <c r="A25" s="305" t="s">
        <v>919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</row>
    <row r="26" spans="1:13" s="1016" customFormat="1" ht="12.75" customHeight="1">
      <c r="A26" s="305" t="s">
        <v>727</v>
      </c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626"/>
    </row>
    <row r="27" spans="1:13" s="1016" customFormat="1" ht="9.9499999999999993" customHeight="1">
      <c r="A27" s="626"/>
      <c r="B27" s="626"/>
      <c r="C27" s="626"/>
      <c r="D27" s="626"/>
      <c r="E27" s="626"/>
      <c r="F27" s="626"/>
      <c r="G27" s="626"/>
      <c r="H27" s="626"/>
      <c r="I27" s="626"/>
      <c r="J27" s="626"/>
      <c r="K27" s="626"/>
      <c r="L27" s="626"/>
      <c r="M27" s="626"/>
    </row>
    <row r="28" spans="1:13" s="997" customFormat="1" ht="3" customHeight="1">
      <c r="A28" s="1017"/>
      <c r="B28" s="1017"/>
      <c r="C28" s="1017"/>
      <c r="D28" s="1017"/>
      <c r="E28" s="1017"/>
      <c r="F28" s="1017"/>
      <c r="G28" s="1017"/>
      <c r="H28" s="1017"/>
      <c r="I28" s="1017"/>
      <c r="J28" s="1017"/>
      <c r="K28" s="1017"/>
      <c r="L28" s="1017"/>
      <c r="M28" s="1017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6" activePane="bottomRight" state="frozen"/>
      <selection activeCell="F26" sqref="F26"/>
      <selection pane="topRight" activeCell="F26" sqref="F26"/>
      <selection pane="bottomLeft" activeCell="F26" sqref="F26"/>
      <selection pane="bottomRight"/>
    </sheetView>
  </sheetViews>
  <sheetFormatPr defaultColWidth="10" defaultRowHeight="16.5"/>
  <cols>
    <col min="1" max="3" width="7.125" style="14" customWidth="1"/>
    <col min="4" max="4" width="7.375" style="14" customWidth="1"/>
    <col min="5" max="6" width="7.125" style="14" customWidth="1"/>
    <col min="7" max="8" width="7.375" style="14" customWidth="1"/>
    <col min="9" max="9" width="7.125" style="14" customWidth="1"/>
    <col min="10" max="10" width="7.375" style="14" customWidth="1"/>
    <col min="11" max="12" width="7.125" style="14" customWidth="1"/>
    <col min="13" max="13" width="7.375" style="14" customWidth="1"/>
    <col min="14" max="16384" width="10" style="1018"/>
  </cols>
  <sheetData>
    <row r="1" spans="1:13" s="1399" customFormat="1" ht="20.25" customHeight="1">
      <c r="A1" s="991" t="s">
        <v>920</v>
      </c>
      <c r="B1" s="1400"/>
      <c r="C1" s="1400"/>
      <c r="D1" s="1400"/>
      <c r="E1" s="1400"/>
      <c r="F1" s="1400"/>
      <c r="G1" s="1400"/>
      <c r="H1" s="1400"/>
      <c r="I1" s="1400"/>
      <c r="J1" s="1400"/>
      <c r="K1" s="1400"/>
      <c r="L1" s="1400"/>
      <c r="M1" s="1400"/>
    </row>
    <row r="2" spans="1:13" ht="17.25" customHeight="1">
      <c r="A2" s="522" t="s">
        <v>921</v>
      </c>
      <c r="F2" s="14" t="s">
        <v>922</v>
      </c>
    </row>
    <row r="3" spans="1:13" s="996" customFormat="1" ht="15" customHeight="1">
      <c r="A3" s="1468"/>
      <c r="B3" s="382"/>
      <c r="C3" s="995"/>
      <c r="D3" s="382"/>
      <c r="E3" s="382"/>
      <c r="F3" s="995"/>
      <c r="G3" s="995"/>
      <c r="H3" s="995"/>
      <c r="I3" s="995"/>
      <c r="J3" s="995"/>
      <c r="K3" s="995"/>
      <c r="L3" s="995"/>
      <c r="M3" s="1398" t="s">
        <v>895</v>
      </c>
    </row>
    <row r="4" spans="1:13" s="997" customFormat="1" ht="30.6" customHeight="1">
      <c r="A4" s="2930" t="s">
        <v>903</v>
      </c>
      <c r="B4" s="2987" t="s">
        <v>155</v>
      </c>
      <c r="C4" s="2884" t="s">
        <v>165</v>
      </c>
      <c r="D4" s="2884"/>
      <c r="E4" s="2884"/>
      <c r="F4" s="2884"/>
      <c r="G4" s="2933"/>
      <c r="H4" s="2934" t="s">
        <v>164</v>
      </c>
      <c r="I4" s="2934" t="s">
        <v>158</v>
      </c>
      <c r="J4" s="2935" t="s">
        <v>13</v>
      </c>
      <c r="K4" s="2936" t="s">
        <v>159</v>
      </c>
      <c r="L4" s="2937" t="s">
        <v>160</v>
      </c>
      <c r="M4" s="2881" t="s">
        <v>161</v>
      </c>
    </row>
    <row r="5" spans="1:13" s="997" customFormat="1" ht="30.6" customHeight="1">
      <c r="A5" s="2931"/>
      <c r="B5" s="2988"/>
      <c r="C5" s="560" t="s">
        <v>128</v>
      </c>
      <c r="D5" s="261" t="s">
        <v>127</v>
      </c>
      <c r="E5" s="261" t="s">
        <v>447</v>
      </c>
      <c r="F5" s="261" t="s">
        <v>190</v>
      </c>
      <c r="G5" s="261" t="s">
        <v>161</v>
      </c>
      <c r="H5" s="2865"/>
      <c r="I5" s="2865"/>
      <c r="J5" s="2867"/>
      <c r="K5" s="2867"/>
      <c r="L5" s="2938"/>
      <c r="M5" s="2883"/>
    </row>
    <row r="6" spans="1:13" s="997" customFormat="1" ht="33.6" customHeight="1">
      <c r="A6" s="1446" t="s">
        <v>731</v>
      </c>
      <c r="B6" s="1447">
        <v>0.379</v>
      </c>
      <c r="C6" s="1448" t="s">
        <v>171</v>
      </c>
      <c r="D6" s="1448" t="s">
        <v>171</v>
      </c>
      <c r="E6" s="1448" t="s">
        <v>171</v>
      </c>
      <c r="F6" s="1448">
        <v>69.605999999999995</v>
      </c>
      <c r="G6" s="1448">
        <v>69.605999999999995</v>
      </c>
      <c r="H6" s="1448">
        <v>3713.451</v>
      </c>
      <c r="I6" s="1448" t="s">
        <v>171</v>
      </c>
      <c r="J6" s="1448" t="s">
        <v>171</v>
      </c>
      <c r="K6" s="1448">
        <v>407.92200000000003</v>
      </c>
      <c r="L6" s="1449">
        <v>145.8246456</v>
      </c>
      <c r="M6" s="1450">
        <v>4337.1819999999998</v>
      </c>
    </row>
    <row r="7" spans="1:13" s="997" customFormat="1" ht="33.6" customHeight="1">
      <c r="A7" s="1004" t="s">
        <v>732</v>
      </c>
      <c r="B7" s="1451">
        <v>0.13800000000000001</v>
      </c>
      <c r="C7" s="1448" t="s">
        <v>171</v>
      </c>
      <c r="D7" s="1448">
        <v>23.006</v>
      </c>
      <c r="E7" s="1448" t="s">
        <v>171</v>
      </c>
      <c r="F7" s="1448">
        <v>2.7069999999999999</v>
      </c>
      <c r="G7" s="1448">
        <v>25.713000000000001</v>
      </c>
      <c r="H7" s="1448">
        <v>8222.15</v>
      </c>
      <c r="I7" s="1448" t="s">
        <v>171</v>
      </c>
      <c r="J7" s="1448">
        <v>37657.379999999997</v>
      </c>
      <c r="K7" s="1448">
        <v>540.21500000000003</v>
      </c>
      <c r="L7" s="1449">
        <v>133.72554</v>
      </c>
      <c r="M7" s="1450">
        <v>46579.321000000004</v>
      </c>
    </row>
    <row r="8" spans="1:13" s="997" customFormat="1" ht="33.6" customHeight="1">
      <c r="A8" s="1004" t="s">
        <v>733</v>
      </c>
      <c r="B8" s="1451">
        <v>14.965999999999999</v>
      </c>
      <c r="C8" s="1448" t="s">
        <v>171</v>
      </c>
      <c r="D8" s="1448">
        <v>2.0990000000000002</v>
      </c>
      <c r="E8" s="1448">
        <v>79.787000000000006</v>
      </c>
      <c r="F8" s="1448">
        <v>0</v>
      </c>
      <c r="G8" s="1448">
        <v>81.885999999999996</v>
      </c>
      <c r="H8" s="1448">
        <v>2191.502</v>
      </c>
      <c r="I8" s="1448" t="s">
        <v>171</v>
      </c>
      <c r="J8" s="1448" t="s">
        <v>171</v>
      </c>
      <c r="K8" s="1448">
        <v>175.95599999999999</v>
      </c>
      <c r="L8" s="1449">
        <v>4.7502734000000002</v>
      </c>
      <c r="M8" s="1450">
        <v>2469.0610000000001</v>
      </c>
    </row>
    <row r="9" spans="1:13" s="997" customFormat="1" ht="33.6" customHeight="1">
      <c r="A9" s="1004" t="s">
        <v>734</v>
      </c>
      <c r="B9" s="1452">
        <v>28.437999999999999</v>
      </c>
      <c r="C9" s="1448" t="s">
        <v>171</v>
      </c>
      <c r="D9" s="1448">
        <v>25297.951000000001</v>
      </c>
      <c r="E9" s="1448" t="s">
        <v>171</v>
      </c>
      <c r="F9" s="1448">
        <v>33.869999999999997</v>
      </c>
      <c r="G9" s="1448">
        <v>25331.821</v>
      </c>
      <c r="H9" s="1448">
        <v>27030.241999999998</v>
      </c>
      <c r="I9" s="1448">
        <v>131.69900000000001</v>
      </c>
      <c r="J9" s="1448" t="s">
        <v>171</v>
      </c>
      <c r="K9" s="1448">
        <v>1737.7619999999999</v>
      </c>
      <c r="L9" s="1449">
        <v>23.4913867</v>
      </c>
      <c r="M9" s="1450">
        <v>54283.453000000001</v>
      </c>
    </row>
    <row r="10" spans="1:13" s="997" customFormat="1" ht="33.6" customHeight="1">
      <c r="A10" s="1004" t="s">
        <v>735</v>
      </c>
      <c r="B10" s="1452">
        <v>6.2690000000000001</v>
      </c>
      <c r="C10" s="1448" t="s">
        <v>171</v>
      </c>
      <c r="D10" s="1448" t="s">
        <v>171</v>
      </c>
      <c r="E10" s="1448" t="s">
        <v>171</v>
      </c>
      <c r="F10" s="1448" t="s">
        <v>171</v>
      </c>
      <c r="G10" s="1448" t="s">
        <v>171</v>
      </c>
      <c r="H10" s="1448">
        <v>376.58100000000002</v>
      </c>
      <c r="I10" s="1448" t="s">
        <v>171</v>
      </c>
      <c r="J10" s="1448" t="s">
        <v>171</v>
      </c>
      <c r="K10" s="1448">
        <v>365.67</v>
      </c>
      <c r="L10" s="1449">
        <v>20.314208000000001</v>
      </c>
      <c r="M10" s="1450">
        <v>768.83500000000004</v>
      </c>
    </row>
    <row r="11" spans="1:13" s="997" customFormat="1" ht="33.6" customHeight="1">
      <c r="A11" s="1004" t="s">
        <v>736</v>
      </c>
      <c r="B11" s="1452" t="s">
        <v>171</v>
      </c>
      <c r="C11" s="1448" t="s">
        <v>171</v>
      </c>
      <c r="D11" s="1448" t="s">
        <v>171</v>
      </c>
      <c r="E11" s="1448" t="s">
        <v>171</v>
      </c>
      <c r="F11" s="1448">
        <v>105.211</v>
      </c>
      <c r="G11" s="1448">
        <v>105.211</v>
      </c>
      <c r="H11" s="1448" t="s">
        <v>171</v>
      </c>
      <c r="I11" s="1448" t="s">
        <v>171</v>
      </c>
      <c r="J11" s="1448" t="s">
        <v>171</v>
      </c>
      <c r="K11" s="1448">
        <v>112.852</v>
      </c>
      <c r="L11" s="1449">
        <v>76.968546500000002</v>
      </c>
      <c r="M11" s="1450">
        <v>295.03100000000001</v>
      </c>
    </row>
    <row r="12" spans="1:13" s="997" customFormat="1" ht="33.6" customHeight="1">
      <c r="A12" s="1004" t="s">
        <v>737</v>
      </c>
      <c r="B12" s="1451">
        <v>0.437</v>
      </c>
      <c r="C12" s="1448" t="s">
        <v>171</v>
      </c>
      <c r="D12" s="1448" t="s">
        <v>171</v>
      </c>
      <c r="E12" s="1448">
        <v>351.79300000000001</v>
      </c>
      <c r="F12" s="1448" t="s">
        <v>171</v>
      </c>
      <c r="G12" s="1448">
        <v>351.79300000000001</v>
      </c>
      <c r="H12" s="1448">
        <v>9379.5259999999998</v>
      </c>
      <c r="I12" s="1448" t="s">
        <v>171</v>
      </c>
      <c r="J12" s="1448">
        <v>23392.606</v>
      </c>
      <c r="K12" s="1448">
        <v>324.81400000000002</v>
      </c>
      <c r="L12" s="1449">
        <v>190.7033668</v>
      </c>
      <c r="M12" s="1450">
        <v>33639.879999999997</v>
      </c>
    </row>
    <row r="13" spans="1:13" s="997" customFormat="1" ht="33.6" customHeight="1">
      <c r="A13" s="1004" t="s">
        <v>738</v>
      </c>
      <c r="B13" s="1452">
        <v>0</v>
      </c>
      <c r="C13" s="1448" t="s">
        <v>171</v>
      </c>
      <c r="D13" s="1448" t="s">
        <v>171</v>
      </c>
      <c r="E13" s="1448" t="s">
        <v>171</v>
      </c>
      <c r="F13" s="1448" t="s">
        <v>171</v>
      </c>
      <c r="G13" s="1448" t="s">
        <v>171</v>
      </c>
      <c r="H13" s="1448">
        <v>3138.364</v>
      </c>
      <c r="I13" s="1469" t="s">
        <v>171</v>
      </c>
      <c r="J13" s="1448" t="s">
        <v>171</v>
      </c>
      <c r="K13" s="1448">
        <v>127.768</v>
      </c>
      <c r="L13" s="1449">
        <v>12.570544099999999</v>
      </c>
      <c r="M13" s="1450">
        <v>3278.703</v>
      </c>
    </row>
    <row r="14" spans="1:13" s="997" customFormat="1" ht="33.6" customHeight="1">
      <c r="A14" s="1004" t="s">
        <v>739</v>
      </c>
      <c r="B14" s="1452">
        <v>1050.7560000000001</v>
      </c>
      <c r="C14" s="1452" t="s">
        <v>171</v>
      </c>
      <c r="D14" s="1448">
        <v>1727.9449999999999</v>
      </c>
      <c r="E14" s="1448">
        <v>57.087000000000003</v>
      </c>
      <c r="F14" s="1448">
        <v>1471.1690000000001</v>
      </c>
      <c r="G14" s="1448">
        <v>3256.2</v>
      </c>
      <c r="H14" s="1448">
        <v>77579.994000000006</v>
      </c>
      <c r="I14" s="1448">
        <v>1.2050000000000001</v>
      </c>
      <c r="J14" s="1448" t="s">
        <v>171</v>
      </c>
      <c r="K14" s="1448">
        <v>3737.6210000000001</v>
      </c>
      <c r="L14" s="1449">
        <v>152.21006790000001</v>
      </c>
      <c r="M14" s="1450">
        <v>85777.986999999994</v>
      </c>
    </row>
    <row r="15" spans="1:13" s="997" customFormat="1" ht="33.6" customHeight="1">
      <c r="A15" s="1004" t="s">
        <v>740</v>
      </c>
      <c r="B15" s="1452">
        <v>2116.2579999999998</v>
      </c>
      <c r="C15" s="1448">
        <v>1870.76</v>
      </c>
      <c r="D15" s="1448">
        <v>21628.526999999998</v>
      </c>
      <c r="E15" s="1448" t="s">
        <v>171</v>
      </c>
      <c r="F15" s="1448" t="s">
        <v>171</v>
      </c>
      <c r="G15" s="1448">
        <v>23499.287</v>
      </c>
      <c r="H15" s="1448">
        <v>3139.2339999999999</v>
      </c>
      <c r="I15" s="1448" t="s">
        <v>171</v>
      </c>
      <c r="J15" s="1448" t="s">
        <v>171</v>
      </c>
      <c r="K15" s="1448">
        <v>5044.9520000000002</v>
      </c>
      <c r="L15" s="1449">
        <v>75.802635199999997</v>
      </c>
      <c r="M15" s="1450">
        <v>33875.534</v>
      </c>
    </row>
    <row r="16" spans="1:13" s="997" customFormat="1" ht="33.6" customHeight="1">
      <c r="A16" s="1004" t="s">
        <v>741</v>
      </c>
      <c r="B16" s="1452">
        <v>824.29</v>
      </c>
      <c r="C16" s="1448" t="s">
        <v>171</v>
      </c>
      <c r="D16" s="1448" t="s">
        <v>171</v>
      </c>
      <c r="E16" s="1448">
        <v>124.86</v>
      </c>
      <c r="F16" s="1448" t="s">
        <v>171</v>
      </c>
      <c r="G16" s="1448">
        <v>124.86</v>
      </c>
      <c r="H16" s="1448" t="s">
        <v>171</v>
      </c>
      <c r="I16" s="1469" t="s">
        <v>171</v>
      </c>
      <c r="J16" s="1448" t="s">
        <v>171</v>
      </c>
      <c r="K16" s="1448">
        <v>1637.37</v>
      </c>
      <c r="L16" s="1449">
        <v>176.63623430000001</v>
      </c>
      <c r="M16" s="1450">
        <v>2763.1559999999999</v>
      </c>
    </row>
    <row r="17" spans="1:13" s="997" customFormat="1" ht="33.6" customHeight="1">
      <c r="A17" s="1004" t="s">
        <v>742</v>
      </c>
      <c r="B17" s="1452">
        <v>52.366999999999997</v>
      </c>
      <c r="C17" s="1448" t="s">
        <v>171</v>
      </c>
      <c r="D17" s="1448">
        <v>88858.565000000002</v>
      </c>
      <c r="E17" s="1448" t="s">
        <v>171</v>
      </c>
      <c r="F17" s="1448">
        <v>0</v>
      </c>
      <c r="G17" s="1448">
        <v>88858.565000000002</v>
      </c>
      <c r="H17" s="1448">
        <v>10385.403</v>
      </c>
      <c r="I17" s="1448">
        <v>6.3010000000000002</v>
      </c>
      <c r="J17" s="1448" t="s">
        <v>171</v>
      </c>
      <c r="K17" s="1448">
        <v>8476.598</v>
      </c>
      <c r="L17" s="1449">
        <v>32.563802299999999</v>
      </c>
      <c r="M17" s="1450">
        <v>107811.798</v>
      </c>
    </row>
    <row r="18" spans="1:13" s="997" customFormat="1" ht="33.6" customHeight="1">
      <c r="A18" s="1004" t="s">
        <v>743</v>
      </c>
      <c r="B18" s="1452">
        <v>823.01400000000001</v>
      </c>
      <c r="C18" s="1448" t="s">
        <v>171</v>
      </c>
      <c r="D18" s="1448">
        <v>5040.7669999999998</v>
      </c>
      <c r="E18" s="1448" t="s">
        <v>171</v>
      </c>
      <c r="F18" s="1448" t="s">
        <v>171</v>
      </c>
      <c r="G18" s="1448">
        <v>5040.7669999999998</v>
      </c>
      <c r="H18" s="1448">
        <v>939.54300000000001</v>
      </c>
      <c r="I18" s="1448">
        <v>14.618</v>
      </c>
      <c r="J18" s="1448" t="s">
        <v>171</v>
      </c>
      <c r="K18" s="1448">
        <v>7993.3469999999998</v>
      </c>
      <c r="L18" s="1449">
        <v>182.10902590000001</v>
      </c>
      <c r="M18" s="1450">
        <v>14993.397999999999</v>
      </c>
    </row>
    <row r="19" spans="1:13" s="997" customFormat="1" ht="33.6" customHeight="1">
      <c r="A19" s="1004" t="s">
        <v>744</v>
      </c>
      <c r="B19" s="1452">
        <v>60.668999999999997</v>
      </c>
      <c r="C19" s="1448" t="s">
        <v>171</v>
      </c>
      <c r="D19" s="1448">
        <v>5476.1790000000001</v>
      </c>
      <c r="E19" s="1448" t="s">
        <v>171</v>
      </c>
      <c r="F19" s="1448" t="s">
        <v>171</v>
      </c>
      <c r="G19" s="1448">
        <v>5476.1790000000001</v>
      </c>
      <c r="H19" s="1448">
        <v>12679.09</v>
      </c>
      <c r="I19" s="1448">
        <v>57.655000000000001</v>
      </c>
      <c r="J19" s="1448">
        <v>33737.945</v>
      </c>
      <c r="K19" s="1448">
        <v>6905.8</v>
      </c>
      <c r="L19" s="1449">
        <v>461.51324799999998</v>
      </c>
      <c r="M19" s="1450">
        <v>59378.851000000002</v>
      </c>
    </row>
    <row r="20" spans="1:13" s="997" customFormat="1" ht="33.6" customHeight="1">
      <c r="A20" s="1004" t="s">
        <v>745</v>
      </c>
      <c r="B20" s="1452">
        <v>761.21100000000001</v>
      </c>
      <c r="C20" s="1448" t="s">
        <v>171</v>
      </c>
      <c r="D20" s="1448">
        <v>943.89499999999998</v>
      </c>
      <c r="E20" s="1448" t="s">
        <v>171</v>
      </c>
      <c r="F20" s="1448" t="s">
        <v>171</v>
      </c>
      <c r="G20" s="1448">
        <v>943.89499999999998</v>
      </c>
      <c r="H20" s="1448">
        <v>1841.461</v>
      </c>
      <c r="I20" s="1469">
        <v>81.433999999999997</v>
      </c>
      <c r="J20" s="1448">
        <v>81266.081000000006</v>
      </c>
      <c r="K20" s="1448">
        <v>4724.2730000000001</v>
      </c>
      <c r="L20" s="1449">
        <v>224.5573685</v>
      </c>
      <c r="M20" s="1450">
        <v>89842.911999999997</v>
      </c>
    </row>
    <row r="21" spans="1:13" s="997" customFormat="1" ht="33.6" customHeight="1">
      <c r="A21" s="1004" t="s">
        <v>746</v>
      </c>
      <c r="B21" s="1451">
        <v>1514.5029999999999</v>
      </c>
      <c r="C21" s="1448" t="s">
        <v>171</v>
      </c>
      <c r="D21" s="1448">
        <v>45790.813000000002</v>
      </c>
      <c r="E21" s="1448">
        <v>74.33</v>
      </c>
      <c r="F21" s="1448" t="s">
        <v>171</v>
      </c>
      <c r="G21" s="1448">
        <v>45865.142</v>
      </c>
      <c r="H21" s="1448" t="s">
        <v>171</v>
      </c>
      <c r="I21" s="1448">
        <v>1.4910000000000001</v>
      </c>
      <c r="J21" s="1448" t="s">
        <v>171</v>
      </c>
      <c r="K21" s="1448">
        <v>2080.4929999999999</v>
      </c>
      <c r="L21" s="1449">
        <v>20.095083500000001</v>
      </c>
      <c r="M21" s="1450">
        <v>49481.724999999999</v>
      </c>
    </row>
    <row r="22" spans="1:13" s="997" customFormat="1" ht="33.6" customHeight="1">
      <c r="A22" s="1007" t="s">
        <v>747</v>
      </c>
      <c r="B22" s="1470">
        <v>2.6379999999999999</v>
      </c>
      <c r="C22" s="1459" t="s">
        <v>171</v>
      </c>
      <c r="D22" s="1459" t="s">
        <v>171</v>
      </c>
      <c r="E22" s="1459" t="s">
        <v>171</v>
      </c>
      <c r="F22" s="1459" t="s">
        <v>171</v>
      </c>
      <c r="G22" s="1459" t="s">
        <v>171</v>
      </c>
      <c r="H22" s="1459">
        <v>1586.412</v>
      </c>
      <c r="I22" s="1459">
        <v>275.64299999999997</v>
      </c>
      <c r="J22" s="1459" t="s">
        <v>171</v>
      </c>
      <c r="K22" s="1459">
        <v>2865.8919999999998</v>
      </c>
      <c r="L22" s="1460">
        <v>84.586135400000003</v>
      </c>
      <c r="M22" s="1461">
        <v>4815.1710000000003</v>
      </c>
    </row>
    <row r="23" spans="1:13" s="997" customFormat="1" ht="33.6" customHeight="1">
      <c r="A23" s="1013" t="s">
        <v>918</v>
      </c>
      <c r="B23" s="1464">
        <v>7256.3339999999998</v>
      </c>
      <c r="C23" s="1464">
        <v>1870.76</v>
      </c>
      <c r="D23" s="1465">
        <v>194789.74600000001</v>
      </c>
      <c r="E23" s="1465">
        <v>687.85599999999999</v>
      </c>
      <c r="F23" s="1465">
        <v>1682.5619999999999</v>
      </c>
      <c r="G23" s="1465">
        <v>199030.924</v>
      </c>
      <c r="H23" s="1465">
        <v>162202.954</v>
      </c>
      <c r="I23" s="1465">
        <v>570.04600000000005</v>
      </c>
      <c r="J23" s="1465">
        <v>176054.01199999999</v>
      </c>
      <c r="K23" s="1465">
        <v>47259.307000000001</v>
      </c>
      <c r="L23" s="1466">
        <v>2018.4221121</v>
      </c>
      <c r="M23" s="1467">
        <v>594391.99899999995</v>
      </c>
    </row>
    <row r="24" spans="1:13" s="1016" customFormat="1" ht="12.75" customHeight="1">
      <c r="A24" s="305" t="s">
        <v>748</v>
      </c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626"/>
    </row>
    <row r="25" spans="1:13" s="1016" customFormat="1" ht="12.75" customHeight="1">
      <c r="A25" s="305" t="s">
        <v>919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</row>
    <row r="26" spans="1:13" s="1016" customFormat="1" ht="12.75" customHeight="1">
      <c r="A26" s="305" t="s">
        <v>727</v>
      </c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626"/>
    </row>
    <row r="27" spans="1:13" s="1016" customFormat="1" ht="9.9499999999999993" customHeight="1">
      <c r="A27" s="626"/>
      <c r="B27" s="626"/>
      <c r="C27" s="626"/>
      <c r="D27" s="626"/>
      <c r="E27" s="626"/>
      <c r="F27" s="626"/>
      <c r="G27" s="626"/>
      <c r="H27" s="626"/>
      <c r="I27" s="626"/>
      <c r="J27" s="626"/>
      <c r="K27" s="626"/>
      <c r="L27" s="626"/>
      <c r="M27" s="626"/>
    </row>
    <row r="28" spans="1:13" s="997" customFormat="1" ht="3" customHeight="1">
      <c r="A28" s="1017"/>
      <c r="B28" s="1017"/>
      <c r="C28" s="1017"/>
      <c r="D28" s="1017"/>
      <c r="E28" s="1017"/>
      <c r="F28" s="1017"/>
      <c r="G28" s="1017"/>
      <c r="H28" s="1017"/>
      <c r="I28" s="1017"/>
      <c r="J28" s="1017"/>
      <c r="K28" s="1017"/>
      <c r="L28" s="1017"/>
      <c r="M28" s="1017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39"/>
  <sheetViews>
    <sheetView view="pageBreakPreview" zoomScale="85" zoomScaleNormal="100" zoomScaleSheetLayoutView="85" workbookViewId="0"/>
  </sheetViews>
  <sheetFormatPr defaultColWidth="7.875" defaultRowHeight="13.5"/>
  <cols>
    <col min="1" max="1" width="11.25" style="260" customWidth="1"/>
    <col min="2" max="9" width="10.25" style="260" customWidth="1"/>
    <col min="10" max="10" width="10.5" style="260" customWidth="1"/>
    <col min="11" max="11" width="8.75" style="260" customWidth="1"/>
    <col min="12" max="12" width="9.375" style="260" customWidth="1"/>
    <col min="13" max="13" width="8.75" style="260" customWidth="1"/>
    <col min="14" max="14" width="7.625" style="260" customWidth="1"/>
    <col min="15" max="15" width="9.875" style="260" customWidth="1"/>
    <col min="16" max="18" width="9.375" style="260" customWidth="1"/>
    <col min="19" max="19" width="10.5" style="260" customWidth="1"/>
    <col min="20" max="20" width="11.875" style="260" customWidth="1"/>
    <col min="21" max="21" width="7.875" style="260" customWidth="1"/>
    <col min="22" max="26" width="9.5" style="1472" customWidth="1"/>
    <col min="27" max="27" width="7.875" style="260" customWidth="1"/>
    <col min="28" max="28" width="8.625" style="260" bestFit="1" customWidth="1"/>
    <col min="29" max="16384" width="7.875" style="260"/>
  </cols>
  <sheetData>
    <row r="1" spans="1:26" s="251" customFormat="1" ht="20.25">
      <c r="A1" s="248" t="s">
        <v>923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V1" s="1471"/>
      <c r="W1" s="1471"/>
      <c r="X1" s="1471"/>
      <c r="Y1" s="1471"/>
      <c r="Z1" s="1471"/>
    </row>
    <row r="2" spans="1:26" s="254" customFormat="1" ht="17.25">
      <c r="A2" s="252" t="s">
        <v>924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V2" s="1472"/>
      <c r="W2" s="1472"/>
      <c r="X2" s="1472"/>
      <c r="Y2" s="1472"/>
      <c r="Z2" s="1472"/>
    </row>
    <row r="3" spans="1:26" s="251" customFormat="1" ht="15" customHeight="1">
      <c r="A3" s="576"/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576"/>
      <c r="Q3" s="249"/>
      <c r="R3" s="576"/>
      <c r="S3" s="1398" t="s">
        <v>925</v>
      </c>
      <c r="V3" s="1471"/>
      <c r="W3" s="1471"/>
      <c r="X3" s="1471"/>
      <c r="Y3" s="1471"/>
      <c r="Z3" s="1471"/>
    </row>
    <row r="4" spans="1:26" s="315" customFormat="1" ht="9.75" customHeight="1">
      <c r="A4" s="2881" t="s">
        <v>65</v>
      </c>
      <c r="B4" s="2992" t="s">
        <v>926</v>
      </c>
      <c r="C4" s="2934"/>
      <c r="D4" s="2934"/>
      <c r="E4" s="2934"/>
      <c r="F4" s="2934"/>
      <c r="G4" s="2934"/>
      <c r="H4" s="2934"/>
      <c r="I4" s="2934"/>
      <c r="J4" s="2934"/>
      <c r="K4" s="2934"/>
      <c r="L4" s="2955"/>
      <c r="M4" s="2933"/>
      <c r="N4" s="2934"/>
      <c r="O4" s="2934"/>
      <c r="P4" s="2934" t="s">
        <v>927</v>
      </c>
      <c r="Q4" s="2934"/>
      <c r="R4" s="2934" t="s">
        <v>928</v>
      </c>
      <c r="S4" s="2994"/>
      <c r="V4" s="1472"/>
      <c r="W4" s="1472"/>
      <c r="X4" s="1472"/>
      <c r="Y4" s="1472"/>
      <c r="Z4" s="1472"/>
    </row>
    <row r="5" spans="1:26" s="315" customFormat="1" ht="9.75" customHeight="1">
      <c r="A5" s="2882"/>
      <c r="B5" s="2993"/>
      <c r="C5" s="2864"/>
      <c r="D5" s="2864"/>
      <c r="E5" s="2864"/>
      <c r="F5" s="2864"/>
      <c r="G5" s="2864"/>
      <c r="H5" s="2864"/>
      <c r="I5" s="2864"/>
      <c r="J5" s="2864"/>
      <c r="K5" s="2864"/>
      <c r="L5" s="2874"/>
      <c r="M5" s="2876"/>
      <c r="N5" s="2864"/>
      <c r="O5" s="2864"/>
      <c r="P5" s="2864"/>
      <c r="Q5" s="2864"/>
      <c r="R5" s="2864"/>
      <c r="S5" s="2990"/>
      <c r="V5" s="1472"/>
      <c r="W5" s="1472"/>
      <c r="X5" s="1472"/>
      <c r="Y5" s="1472"/>
      <c r="Z5" s="1472"/>
    </row>
    <row r="6" spans="1:26" s="315" customFormat="1" ht="9.75" customHeight="1">
      <c r="A6" s="2882"/>
      <c r="B6" s="2993" t="s">
        <v>929</v>
      </c>
      <c r="C6" s="2864"/>
      <c r="D6" s="2864"/>
      <c r="E6" s="2864"/>
      <c r="F6" s="2877" t="s">
        <v>930</v>
      </c>
      <c r="G6" s="2878"/>
      <c r="H6" s="2878"/>
      <c r="I6" s="2879"/>
      <c r="J6" s="2864" t="s">
        <v>931</v>
      </c>
      <c r="K6" s="2864"/>
      <c r="L6" s="2864"/>
      <c r="M6" s="2864" t="s">
        <v>932</v>
      </c>
      <c r="N6" s="2864"/>
      <c r="O6" s="2864"/>
      <c r="P6" s="2864"/>
      <c r="Q6" s="2864"/>
      <c r="R6" s="2864"/>
      <c r="S6" s="2990"/>
      <c r="V6" s="1472"/>
      <c r="W6" s="1472"/>
      <c r="X6" s="1472"/>
      <c r="Y6" s="1472"/>
      <c r="Z6" s="1472"/>
    </row>
    <row r="7" spans="1:26" s="315" customFormat="1" ht="9.75" customHeight="1">
      <c r="A7" s="2882"/>
      <c r="B7" s="2993"/>
      <c r="C7" s="2864"/>
      <c r="D7" s="2864"/>
      <c r="E7" s="2864"/>
      <c r="F7" s="2995"/>
      <c r="G7" s="2996"/>
      <c r="H7" s="2996"/>
      <c r="I7" s="2997"/>
      <c r="J7" s="2864"/>
      <c r="K7" s="2864"/>
      <c r="L7" s="2864"/>
      <c r="M7" s="2864"/>
      <c r="N7" s="2864"/>
      <c r="O7" s="2864"/>
      <c r="P7" s="2864"/>
      <c r="Q7" s="2864"/>
      <c r="R7" s="2864"/>
      <c r="S7" s="2990"/>
      <c r="V7" s="1472"/>
      <c r="W7" s="1472"/>
      <c r="X7" s="1472"/>
      <c r="Y7" s="1472"/>
      <c r="Z7" s="1472"/>
    </row>
    <row r="8" spans="1:26" s="315" customFormat="1" ht="9.75" customHeight="1">
      <c r="A8" s="2882"/>
      <c r="B8" s="2993" t="s">
        <v>128</v>
      </c>
      <c r="C8" s="2864" t="s">
        <v>127</v>
      </c>
      <c r="D8" s="2864" t="s">
        <v>933</v>
      </c>
      <c r="E8" s="2864" t="s">
        <v>934</v>
      </c>
      <c r="F8" s="2866" t="s">
        <v>128</v>
      </c>
      <c r="G8" s="2864" t="s">
        <v>118</v>
      </c>
      <c r="H8" s="2864" t="s">
        <v>169</v>
      </c>
      <c r="I8" s="2864" t="s">
        <v>934</v>
      </c>
      <c r="J8" s="2864" t="s">
        <v>169</v>
      </c>
      <c r="K8" s="2864" t="s">
        <v>934</v>
      </c>
      <c r="L8" s="2864" t="s">
        <v>170</v>
      </c>
      <c r="M8" s="2864" t="s">
        <v>169</v>
      </c>
      <c r="N8" s="2864" t="s">
        <v>935</v>
      </c>
      <c r="O8" s="2864" t="s">
        <v>170</v>
      </c>
      <c r="P8" s="2864" t="s">
        <v>169</v>
      </c>
      <c r="Q8" s="2864" t="s">
        <v>934</v>
      </c>
      <c r="R8" s="2864" t="s">
        <v>934</v>
      </c>
      <c r="S8" s="2990" t="s">
        <v>170</v>
      </c>
      <c r="V8" s="2989"/>
      <c r="W8" s="2989"/>
      <c r="X8" s="2989"/>
      <c r="Y8" s="2989"/>
      <c r="Z8" s="2989"/>
    </row>
    <row r="9" spans="1:26" s="315" customFormat="1" ht="9.75" customHeight="1">
      <c r="A9" s="2883"/>
      <c r="B9" s="2998"/>
      <c r="C9" s="2865"/>
      <c r="D9" s="2865"/>
      <c r="E9" s="2865"/>
      <c r="F9" s="2867"/>
      <c r="G9" s="2865"/>
      <c r="H9" s="2865"/>
      <c r="I9" s="2865"/>
      <c r="J9" s="2865"/>
      <c r="K9" s="2865"/>
      <c r="L9" s="2865"/>
      <c r="M9" s="2865"/>
      <c r="N9" s="2865"/>
      <c r="O9" s="2865"/>
      <c r="P9" s="2865"/>
      <c r="Q9" s="2865"/>
      <c r="R9" s="2865"/>
      <c r="S9" s="2991"/>
      <c r="V9" s="2989"/>
      <c r="W9" s="2989"/>
      <c r="X9" s="2989"/>
      <c r="Y9" s="2989"/>
      <c r="Z9" s="2989"/>
    </row>
    <row r="10" spans="1:26" s="1480" customFormat="1" ht="24" customHeight="1">
      <c r="A10" s="1473">
        <v>2011</v>
      </c>
      <c r="B10" s="1474">
        <v>1658.8009999999999</v>
      </c>
      <c r="C10" s="437">
        <v>2210.5230000000001</v>
      </c>
      <c r="D10" s="437">
        <v>51777.631000000001</v>
      </c>
      <c r="E10" s="437">
        <v>2242.741</v>
      </c>
      <c r="F10" s="1475">
        <v>0</v>
      </c>
      <c r="G10" s="437">
        <v>77643.644</v>
      </c>
      <c r="H10" s="437">
        <v>1387.52</v>
      </c>
      <c r="I10" s="437">
        <v>33721.839999999997</v>
      </c>
      <c r="J10" s="437">
        <v>1876802.8289999999</v>
      </c>
      <c r="K10" s="1476">
        <v>16661.644</v>
      </c>
      <c r="L10" s="1476">
        <v>99412.172000000006</v>
      </c>
      <c r="M10" s="1475">
        <v>0</v>
      </c>
      <c r="N10" s="1476">
        <v>0.38</v>
      </c>
      <c r="O10" s="1476">
        <v>430442.59100000001</v>
      </c>
      <c r="P10" s="1476">
        <v>120397.429</v>
      </c>
      <c r="Q10" s="1476">
        <v>55220.409</v>
      </c>
      <c r="R10" s="1476">
        <v>12616.695</v>
      </c>
      <c r="S10" s="1477">
        <v>13079198.502</v>
      </c>
      <c r="T10" s="1478"/>
      <c r="U10" s="1478"/>
      <c r="V10" s="13"/>
      <c r="W10" s="13"/>
      <c r="X10" s="1479"/>
      <c r="Y10" s="13"/>
      <c r="Z10" s="1479"/>
    </row>
    <row r="11" spans="1:26" s="1063" customFormat="1" ht="24" customHeight="1">
      <c r="A11" s="1473">
        <v>2012</v>
      </c>
      <c r="B11" s="1474">
        <v>1959.94</v>
      </c>
      <c r="C11" s="437">
        <v>3907.5120000000002</v>
      </c>
      <c r="D11" s="437">
        <v>50560.059000000001</v>
      </c>
      <c r="E11" s="437">
        <v>1055.6099999999999</v>
      </c>
      <c r="F11" s="1475">
        <v>0</v>
      </c>
      <c r="G11" s="437">
        <v>76081.020999999993</v>
      </c>
      <c r="H11" s="437">
        <v>2166.2809999999999</v>
      </c>
      <c r="I11" s="437">
        <v>30900.403999999999</v>
      </c>
      <c r="J11" s="437">
        <v>3061789.1329999999</v>
      </c>
      <c r="K11" s="437">
        <v>5352.5129999999999</v>
      </c>
      <c r="L11" s="437">
        <v>74287.73</v>
      </c>
      <c r="M11" s="1475">
        <v>0</v>
      </c>
      <c r="N11" s="437">
        <v>0.82</v>
      </c>
      <c r="O11" s="437">
        <v>623509.473</v>
      </c>
      <c r="P11" s="437">
        <v>101788.425</v>
      </c>
      <c r="Q11" s="437">
        <v>47114.137999999999</v>
      </c>
      <c r="R11" s="437">
        <v>3568.2469999999998</v>
      </c>
      <c r="S11" s="1481">
        <v>12682602.539999999</v>
      </c>
      <c r="T11" s="1472"/>
      <c r="U11" s="1472"/>
      <c r="V11" s="13"/>
      <c r="W11" s="13"/>
      <c r="X11" s="1482"/>
      <c r="Y11" s="13"/>
      <c r="Z11" s="1482"/>
    </row>
    <row r="12" spans="1:26" s="1063" customFormat="1" ht="24" customHeight="1">
      <c r="A12" s="1473">
        <v>2013</v>
      </c>
      <c r="B12" s="1474">
        <v>1728.664</v>
      </c>
      <c r="C12" s="437">
        <v>1798.184</v>
      </c>
      <c r="D12" s="437">
        <v>53685.373</v>
      </c>
      <c r="E12" s="437">
        <v>6258.5079999999998</v>
      </c>
      <c r="F12" s="1475">
        <v>0</v>
      </c>
      <c r="G12" s="437">
        <v>76961.620999999999</v>
      </c>
      <c r="H12" s="437">
        <v>1433.664</v>
      </c>
      <c r="I12" s="437">
        <v>32627.778999999999</v>
      </c>
      <c r="J12" s="437">
        <v>3318319.7390000001</v>
      </c>
      <c r="K12" s="437">
        <v>7140.4030000000002</v>
      </c>
      <c r="L12" s="437">
        <v>33002.877</v>
      </c>
      <c r="M12" s="1475">
        <v>0</v>
      </c>
      <c r="N12" s="437">
        <v>0.43</v>
      </c>
      <c r="O12" s="437">
        <v>607670.29599999997</v>
      </c>
      <c r="P12" s="437">
        <v>98233.627999999997</v>
      </c>
      <c r="Q12" s="437">
        <v>65051.48</v>
      </c>
      <c r="R12" s="437">
        <v>16810.932000000001</v>
      </c>
      <c r="S12" s="1481">
        <v>16350180.487</v>
      </c>
      <c r="T12" s="1472"/>
      <c r="U12" s="1472"/>
      <c r="V12" s="13"/>
      <c r="W12" s="13"/>
      <c r="X12" s="1482"/>
      <c r="Y12" s="13"/>
      <c r="Z12" s="1482"/>
    </row>
    <row r="13" spans="1:26" s="1063" customFormat="1" ht="24" customHeight="1">
      <c r="A13" s="1473">
        <v>2014</v>
      </c>
      <c r="B13" s="1474">
        <v>2043.992</v>
      </c>
      <c r="C13" s="437">
        <v>1499.876</v>
      </c>
      <c r="D13" s="437">
        <v>49602.108999999997</v>
      </c>
      <c r="E13" s="437">
        <v>2626.5279999999998</v>
      </c>
      <c r="F13" s="1475">
        <v>0</v>
      </c>
      <c r="G13" s="437">
        <v>76188.251999999993</v>
      </c>
      <c r="H13" s="437">
        <v>1068.633</v>
      </c>
      <c r="I13" s="437">
        <v>26607.267</v>
      </c>
      <c r="J13" s="437">
        <v>1438691.4539999999</v>
      </c>
      <c r="K13" s="437">
        <v>4378.4179999999997</v>
      </c>
      <c r="L13" s="437">
        <v>13042.181</v>
      </c>
      <c r="M13" s="1475">
        <v>0</v>
      </c>
      <c r="N13" s="437">
        <v>0.55000000000000004</v>
      </c>
      <c r="O13" s="437">
        <v>117129.113</v>
      </c>
      <c r="P13" s="437">
        <v>82231.444000000003</v>
      </c>
      <c r="Q13" s="437">
        <v>64971</v>
      </c>
      <c r="R13" s="437">
        <v>12003.78</v>
      </c>
      <c r="S13" s="1481">
        <v>12367081.825999999</v>
      </c>
      <c r="T13" s="1472"/>
      <c r="U13" s="1472"/>
      <c r="V13" s="13"/>
      <c r="W13" s="13"/>
      <c r="X13" s="1482"/>
      <c r="Y13" s="13"/>
      <c r="Z13" s="1482"/>
    </row>
    <row r="14" spans="1:26" s="1063" customFormat="1" ht="24" customHeight="1">
      <c r="A14" s="1473">
        <v>2015</v>
      </c>
      <c r="B14" s="1474">
        <v>2125.4859999999999</v>
      </c>
      <c r="C14" s="437">
        <v>955.33699999999999</v>
      </c>
      <c r="D14" s="437">
        <v>45997.074999999997</v>
      </c>
      <c r="E14" s="437">
        <v>5131.0479999999998</v>
      </c>
      <c r="F14" s="1475">
        <v>0</v>
      </c>
      <c r="G14" s="437">
        <v>78477.319000000003</v>
      </c>
      <c r="H14" s="437">
        <v>1300.943</v>
      </c>
      <c r="I14" s="437">
        <v>38285.321000000004</v>
      </c>
      <c r="J14" s="437">
        <v>1723495.371</v>
      </c>
      <c r="K14" s="437">
        <v>2469.1379999999999</v>
      </c>
      <c r="L14" s="437">
        <v>6176.241</v>
      </c>
      <c r="M14" s="1475">
        <v>0</v>
      </c>
      <c r="N14" s="437">
        <v>0.04</v>
      </c>
      <c r="O14" s="437">
        <v>51094.536999999997</v>
      </c>
      <c r="P14" s="437">
        <v>79846.365000000005</v>
      </c>
      <c r="Q14" s="437">
        <v>65325.432000000001</v>
      </c>
      <c r="R14" s="437">
        <v>200.12899999999999</v>
      </c>
      <c r="S14" s="1481">
        <v>8706452.057</v>
      </c>
      <c r="T14" s="1472"/>
      <c r="U14" s="1472"/>
      <c r="V14" s="13"/>
      <c r="W14" s="13"/>
      <c r="X14" s="1482"/>
      <c r="Y14" s="13"/>
      <c r="Z14" s="1482"/>
    </row>
    <row r="15" spans="1:26" s="1063" customFormat="1" ht="24" customHeight="1">
      <c r="A15" s="1473">
        <v>2016</v>
      </c>
      <c r="B15" s="1483">
        <v>2528.364</v>
      </c>
      <c r="C15" s="437">
        <v>609.10599999999999</v>
      </c>
      <c r="D15" s="437">
        <v>61513.11</v>
      </c>
      <c r="E15" s="437">
        <v>5625.8559999999998</v>
      </c>
      <c r="F15" s="1475">
        <v>0</v>
      </c>
      <c r="G15" s="437">
        <v>77435.89</v>
      </c>
      <c r="H15" s="437">
        <v>2609.9459999999999</v>
      </c>
      <c r="I15" s="437">
        <v>67457.695000000007</v>
      </c>
      <c r="J15" s="437">
        <v>2659992.537</v>
      </c>
      <c r="K15" s="437">
        <v>2402.4349999999999</v>
      </c>
      <c r="L15" s="437">
        <v>12091.835999999999</v>
      </c>
      <c r="M15" s="1475">
        <v>0</v>
      </c>
      <c r="N15" s="1475">
        <v>0</v>
      </c>
      <c r="O15" s="437">
        <v>66002.168999999994</v>
      </c>
      <c r="P15" s="437">
        <v>59405.190999999999</v>
      </c>
      <c r="Q15" s="437">
        <v>66990.114000000001</v>
      </c>
      <c r="R15" s="437">
        <v>12726.678</v>
      </c>
      <c r="S15" s="1481">
        <v>8205502.2050000001</v>
      </c>
      <c r="T15" s="1472"/>
      <c r="U15" s="1472"/>
      <c r="V15" s="13"/>
      <c r="W15" s="13"/>
      <c r="X15" s="1482"/>
      <c r="Y15" s="13"/>
      <c r="Z15" s="1482"/>
    </row>
    <row r="16" spans="1:26" s="313" customFormat="1" ht="24" customHeight="1">
      <c r="A16" s="1473">
        <v>2017</v>
      </c>
      <c r="B16" s="1483">
        <v>1029.0809999999999</v>
      </c>
      <c r="C16" s="1484">
        <v>862.07299999999998</v>
      </c>
      <c r="D16" s="1484">
        <v>29645.042000000001</v>
      </c>
      <c r="E16" s="1484">
        <v>3435.6019999999999</v>
      </c>
      <c r="F16" s="437">
        <v>49.680999999999997</v>
      </c>
      <c r="G16" s="1484">
        <v>88355.32</v>
      </c>
      <c r="H16" s="1484">
        <v>1772.0340000000001</v>
      </c>
      <c r="I16" s="1484">
        <v>69747.028000000006</v>
      </c>
      <c r="J16" s="1484">
        <v>847522.88699999999</v>
      </c>
      <c r="K16" s="1484">
        <v>556.64300000000003</v>
      </c>
      <c r="L16" s="437">
        <v>10138.599</v>
      </c>
      <c r="M16" s="1475">
        <v>0</v>
      </c>
      <c r="N16" s="1475">
        <v>0</v>
      </c>
      <c r="O16" s="1484">
        <v>51223.6</v>
      </c>
      <c r="P16" s="1484">
        <v>48945.527999999998</v>
      </c>
      <c r="Q16" s="1484">
        <v>71244.422000000006</v>
      </c>
      <c r="R16" s="1484">
        <v>28577.032999999999</v>
      </c>
      <c r="S16" s="1485">
        <v>7681791.0520000001</v>
      </c>
    </row>
    <row r="17" spans="1:19" s="1065" customFormat="1" ht="24" customHeight="1">
      <c r="A17" s="1473">
        <v>2018</v>
      </c>
      <c r="B17" s="1486">
        <v>951.81100000000004</v>
      </c>
      <c r="C17" s="1487">
        <v>214.989</v>
      </c>
      <c r="D17" s="1475">
        <v>0</v>
      </c>
      <c r="E17" s="1487">
        <v>2964.3040000000001</v>
      </c>
      <c r="F17" s="437">
        <v>39.816000000000003</v>
      </c>
      <c r="G17" s="1487">
        <v>89334.263999999996</v>
      </c>
      <c r="H17" s="1487">
        <v>1910.7090000000001</v>
      </c>
      <c r="I17" s="1487">
        <v>50900.627999999997</v>
      </c>
      <c r="J17" s="1487">
        <v>961301.38600000006</v>
      </c>
      <c r="K17" s="1487">
        <v>637.01499999999999</v>
      </c>
      <c r="L17" s="1487">
        <v>11490.19</v>
      </c>
      <c r="M17" s="1475" t="s">
        <v>171</v>
      </c>
      <c r="N17" s="1488" t="s">
        <v>171</v>
      </c>
      <c r="O17" s="1475" t="s">
        <v>171</v>
      </c>
      <c r="P17" s="1487">
        <v>50016.483999999997</v>
      </c>
      <c r="Q17" s="1487">
        <v>74609.724000000002</v>
      </c>
      <c r="R17" s="1487">
        <v>86015.934999999998</v>
      </c>
      <c r="S17" s="1489">
        <v>9039829.6160000004</v>
      </c>
    </row>
    <row r="18" spans="1:19" s="1065" customFormat="1" ht="24" customHeight="1">
      <c r="A18" s="1473">
        <v>2019</v>
      </c>
      <c r="B18" s="1486">
        <v>1124.5119999999999</v>
      </c>
      <c r="C18" s="1475">
        <v>0</v>
      </c>
      <c r="D18" s="1475">
        <v>0</v>
      </c>
      <c r="E18" s="1487">
        <v>405.19400000000002</v>
      </c>
      <c r="F18" s="1487">
        <v>40.328000000000003</v>
      </c>
      <c r="G18" s="1487">
        <v>83321.350999999995</v>
      </c>
      <c r="H18" s="1487">
        <v>1413.9970000000001</v>
      </c>
      <c r="I18" s="1487">
        <v>42393.866000000002</v>
      </c>
      <c r="J18" s="1487">
        <v>306622.21399999998</v>
      </c>
      <c r="K18" s="1475">
        <v>0</v>
      </c>
      <c r="L18" s="1487">
        <v>14306.467000000001</v>
      </c>
      <c r="M18" s="1475" t="s">
        <v>171</v>
      </c>
      <c r="N18" s="1488" t="s">
        <v>171</v>
      </c>
      <c r="O18" s="1475" t="s">
        <v>171</v>
      </c>
      <c r="P18" s="1487">
        <v>53889.000999999997</v>
      </c>
      <c r="Q18" s="1487">
        <v>77709.641000000003</v>
      </c>
      <c r="R18" s="1487">
        <v>202059.356</v>
      </c>
      <c r="S18" s="1489">
        <v>8002476.2139999997</v>
      </c>
    </row>
    <row r="19" spans="1:19" s="1065" customFormat="1" ht="24" customHeight="1">
      <c r="A19" s="1473">
        <v>2020</v>
      </c>
      <c r="B19" s="1483">
        <v>949.77099999999996</v>
      </c>
      <c r="C19" s="1475">
        <v>0</v>
      </c>
      <c r="D19" s="1475">
        <v>0</v>
      </c>
      <c r="E19" s="1484">
        <v>2152.5830000000001</v>
      </c>
      <c r="F19" s="1484">
        <v>21.39</v>
      </c>
      <c r="G19" s="1484">
        <v>69093.952000000005</v>
      </c>
      <c r="H19" s="1484">
        <v>1228.3710000000001</v>
      </c>
      <c r="I19" s="1484">
        <v>66041.665999999997</v>
      </c>
      <c r="J19" s="1484">
        <v>217397.611</v>
      </c>
      <c r="K19" s="1475">
        <v>0</v>
      </c>
      <c r="L19" s="1475">
        <v>0</v>
      </c>
      <c r="M19" s="1488">
        <v>39279.438999999998</v>
      </c>
      <c r="N19" s="1488">
        <v>0.16</v>
      </c>
      <c r="O19" s="1488">
        <v>77478.720000000001</v>
      </c>
      <c r="P19" s="1484">
        <v>25269.260999999999</v>
      </c>
      <c r="Q19" s="1484">
        <v>73489.186000000002</v>
      </c>
      <c r="R19" s="1484">
        <v>27093.061000000002</v>
      </c>
      <c r="S19" s="1485">
        <v>8915903.0539999995</v>
      </c>
    </row>
    <row r="20" spans="1:19" s="1097" customFormat="1" ht="24" customHeight="1">
      <c r="A20" s="1473">
        <v>2021</v>
      </c>
      <c r="B20" s="1483">
        <v>892.21100000000001</v>
      </c>
      <c r="C20" s="1475">
        <v>0</v>
      </c>
      <c r="D20" s="1475">
        <v>0</v>
      </c>
      <c r="E20" s="1484">
        <v>2680.8040000000001</v>
      </c>
      <c r="F20" s="1484">
        <v>7.431</v>
      </c>
      <c r="G20" s="1484">
        <v>66877.894</v>
      </c>
      <c r="H20" s="1484">
        <v>1481.452</v>
      </c>
      <c r="I20" s="1484">
        <v>98104.207999999999</v>
      </c>
      <c r="J20" s="1484">
        <v>250807.03200000001</v>
      </c>
      <c r="K20" s="1488">
        <v>529.45000000000005</v>
      </c>
      <c r="L20" s="1475">
        <v>0</v>
      </c>
      <c r="M20" s="1475">
        <v>0</v>
      </c>
      <c r="N20" s="1475">
        <v>0</v>
      </c>
      <c r="O20" s="1488">
        <v>217162.946</v>
      </c>
      <c r="P20" s="1484">
        <v>38539.313000000002</v>
      </c>
      <c r="Q20" s="1484">
        <v>78519.380999999994</v>
      </c>
      <c r="R20" s="1484">
        <v>27047.739000000001</v>
      </c>
      <c r="S20" s="1485">
        <v>10978677.231000001</v>
      </c>
    </row>
    <row r="21" spans="1:19" s="1097" customFormat="1" ht="24" customHeight="1">
      <c r="A21" s="1490" t="s">
        <v>795</v>
      </c>
      <c r="B21" s="1491">
        <v>892.21100000000001</v>
      </c>
      <c r="C21" s="1492">
        <v>0</v>
      </c>
      <c r="D21" s="1492">
        <v>0</v>
      </c>
      <c r="E21" s="1492">
        <v>2680.8040000000001</v>
      </c>
      <c r="F21" s="1492">
        <v>7.431</v>
      </c>
      <c r="G21" s="1493">
        <v>66877.894</v>
      </c>
      <c r="H21" s="1492">
        <v>1481.452</v>
      </c>
      <c r="I21" s="1493">
        <v>98104.207999999999</v>
      </c>
      <c r="J21" s="1493">
        <v>250807.03200000001</v>
      </c>
      <c r="K21" s="1492">
        <v>529.45000000000005</v>
      </c>
      <c r="L21" s="1494">
        <v>0</v>
      </c>
      <c r="M21" s="1492">
        <v>0</v>
      </c>
      <c r="N21" s="1492">
        <v>0</v>
      </c>
      <c r="O21" s="1492">
        <v>217162.946</v>
      </c>
      <c r="P21" s="1493">
        <v>38539.313000000002</v>
      </c>
      <c r="Q21" s="1493">
        <v>78519.380999999994</v>
      </c>
      <c r="R21" s="1493">
        <v>27047.739000000001</v>
      </c>
      <c r="S21" s="1495">
        <v>10978677.231000001</v>
      </c>
    </row>
    <row r="22" spans="1:19" s="1097" customFormat="1" ht="24" customHeight="1">
      <c r="A22" s="1496">
        <v>2021.12</v>
      </c>
      <c r="B22" s="1497">
        <v>0</v>
      </c>
      <c r="C22" s="1498">
        <v>0</v>
      </c>
      <c r="D22" s="1498">
        <v>0</v>
      </c>
      <c r="E22" s="1498">
        <v>0</v>
      </c>
      <c r="F22" s="1498">
        <v>0</v>
      </c>
      <c r="G22" s="1499">
        <v>6242.5290000000005</v>
      </c>
      <c r="H22" s="1498">
        <v>40.694000000000003</v>
      </c>
      <c r="I22" s="1499">
        <v>6335.61</v>
      </c>
      <c r="J22" s="1498">
        <v>3532.3270000000002</v>
      </c>
      <c r="K22" s="1498">
        <v>292.53300000000002</v>
      </c>
      <c r="L22" s="1475">
        <v>0</v>
      </c>
      <c r="M22" s="1498">
        <v>0</v>
      </c>
      <c r="N22" s="1498">
        <v>0</v>
      </c>
      <c r="O22" s="1498">
        <v>11154.683999999999</v>
      </c>
      <c r="P22" s="1499">
        <v>2701.107</v>
      </c>
      <c r="Q22" s="1499">
        <v>7187.3620000000001</v>
      </c>
      <c r="R22" s="1499">
        <v>662.30899999999997</v>
      </c>
      <c r="S22" s="1500">
        <v>866896.30700000003</v>
      </c>
    </row>
    <row r="23" spans="1:19" s="1097" customFormat="1" ht="24" customHeight="1">
      <c r="A23" s="1501" t="s">
        <v>796</v>
      </c>
      <c r="B23" s="1502">
        <v>884.96199999999999</v>
      </c>
      <c r="C23" s="1503">
        <v>18.402000000000001</v>
      </c>
      <c r="D23" s="1503">
        <v>0</v>
      </c>
      <c r="E23" s="1503">
        <v>2611.5830000000001</v>
      </c>
      <c r="F23" s="1503">
        <v>0</v>
      </c>
      <c r="G23" s="1504">
        <v>65183.675999999999</v>
      </c>
      <c r="H23" s="1503">
        <v>0</v>
      </c>
      <c r="I23" s="1504">
        <v>120208.963</v>
      </c>
      <c r="J23" s="1504">
        <v>65886.64</v>
      </c>
      <c r="K23" s="1503">
        <v>2324.7130000000002</v>
      </c>
      <c r="L23" s="1505">
        <v>0</v>
      </c>
      <c r="M23" s="1503">
        <v>0</v>
      </c>
      <c r="N23" s="1503">
        <v>0</v>
      </c>
      <c r="O23" s="1503">
        <v>253977.15700000001</v>
      </c>
      <c r="P23" s="1504">
        <v>47667.396999999997</v>
      </c>
      <c r="Q23" s="1504">
        <v>82511.360000000001</v>
      </c>
      <c r="R23" s="1504">
        <v>53389.748</v>
      </c>
      <c r="S23" s="1506">
        <v>10452789.115</v>
      </c>
    </row>
    <row r="24" spans="1:19" s="1097" customFormat="1" ht="24" customHeight="1">
      <c r="A24" s="296">
        <v>2022.01</v>
      </c>
      <c r="B24" s="1497">
        <v>0</v>
      </c>
      <c r="C24" s="1498">
        <v>0</v>
      </c>
      <c r="D24" s="1498">
        <v>0</v>
      </c>
      <c r="E24" s="1498">
        <v>0</v>
      </c>
      <c r="F24" s="1498">
        <v>0</v>
      </c>
      <c r="G24" s="1499">
        <v>6395.1850000000004</v>
      </c>
      <c r="H24" s="1498">
        <v>0</v>
      </c>
      <c r="I24" s="1499">
        <v>9073.9830000000002</v>
      </c>
      <c r="J24" s="1498">
        <v>65886.64</v>
      </c>
      <c r="K24" s="1498">
        <v>2324.7130000000002</v>
      </c>
      <c r="L24" s="1475">
        <v>0</v>
      </c>
      <c r="M24" s="1498">
        <v>0</v>
      </c>
      <c r="N24" s="1498">
        <v>0</v>
      </c>
      <c r="O24" s="1498">
        <v>3036.7289999999998</v>
      </c>
      <c r="P24" s="1499">
        <v>5278.2610000000004</v>
      </c>
      <c r="Q24" s="1499">
        <v>7327.232</v>
      </c>
      <c r="R24" s="1499">
        <v>4083.4520000000002</v>
      </c>
      <c r="S24" s="1500">
        <v>928226.68099999998</v>
      </c>
    </row>
    <row r="25" spans="1:19" s="1321" customFormat="1" ht="24" customHeight="1">
      <c r="A25" s="1507">
        <v>2022.02</v>
      </c>
      <c r="B25" s="1497">
        <v>0</v>
      </c>
      <c r="C25" s="1498">
        <v>0</v>
      </c>
      <c r="D25" s="1498">
        <v>0</v>
      </c>
      <c r="E25" s="1498">
        <v>0</v>
      </c>
      <c r="F25" s="1498">
        <v>0</v>
      </c>
      <c r="G25" s="1499">
        <v>5333.0640000000003</v>
      </c>
      <c r="H25" s="1498">
        <v>0</v>
      </c>
      <c r="I25" s="1499">
        <v>9807.9549999999999</v>
      </c>
      <c r="J25" s="1499" t="s">
        <v>171</v>
      </c>
      <c r="K25" s="1498" t="s">
        <v>171</v>
      </c>
      <c r="L25" s="1475" t="s">
        <v>171</v>
      </c>
      <c r="M25" s="1498">
        <v>0</v>
      </c>
      <c r="N25" s="1498">
        <v>0</v>
      </c>
      <c r="O25" s="1498">
        <v>6443.7839999999997</v>
      </c>
      <c r="P25" s="1499">
        <v>6689.0230000000001</v>
      </c>
      <c r="Q25" s="1499">
        <v>6503.9129999999996</v>
      </c>
      <c r="R25" s="1499">
        <v>7625.6409999999996</v>
      </c>
      <c r="S25" s="1500">
        <v>833910.35900000005</v>
      </c>
    </row>
    <row r="26" spans="1:19" s="1097" customFormat="1" ht="24" customHeight="1">
      <c r="A26" s="1507">
        <v>2022.03</v>
      </c>
      <c r="B26" s="1497">
        <v>0.11</v>
      </c>
      <c r="C26" s="1498">
        <v>0</v>
      </c>
      <c r="D26" s="1498">
        <v>0</v>
      </c>
      <c r="E26" s="1498">
        <v>286</v>
      </c>
      <c r="F26" s="1498">
        <v>0</v>
      </c>
      <c r="G26" s="1499">
        <v>4530.1570000000002</v>
      </c>
      <c r="H26" s="1499">
        <v>0</v>
      </c>
      <c r="I26" s="1499">
        <v>8822.8119999999999</v>
      </c>
      <c r="J26" s="1499" t="s">
        <v>171</v>
      </c>
      <c r="K26" s="1498" t="s">
        <v>171</v>
      </c>
      <c r="L26" s="1475" t="s">
        <v>171</v>
      </c>
      <c r="M26" s="1498">
        <v>0</v>
      </c>
      <c r="N26" s="1498">
        <v>0</v>
      </c>
      <c r="O26" s="1498">
        <v>31547.741999999998</v>
      </c>
      <c r="P26" s="1499">
        <v>6835.0069999999996</v>
      </c>
      <c r="Q26" s="1499">
        <v>6854.1509999999998</v>
      </c>
      <c r="R26" s="1499">
        <v>6893.4229999999998</v>
      </c>
      <c r="S26" s="1500">
        <v>957718.41700000002</v>
      </c>
    </row>
    <row r="27" spans="1:19" s="1097" customFormat="1" ht="24" customHeight="1">
      <c r="A27" s="1507">
        <v>2022.04</v>
      </c>
      <c r="B27" s="1497">
        <v>122.22499999999999</v>
      </c>
      <c r="C27" s="1498">
        <v>0</v>
      </c>
      <c r="D27" s="1498">
        <v>0</v>
      </c>
      <c r="E27" s="1498">
        <v>276.32299999999998</v>
      </c>
      <c r="F27" s="1498">
        <v>0</v>
      </c>
      <c r="G27" s="1499">
        <v>4364.4830000000002</v>
      </c>
      <c r="H27" s="1498">
        <v>0</v>
      </c>
      <c r="I27" s="1499">
        <v>9472.7720000000008</v>
      </c>
      <c r="J27" s="1498" t="s">
        <v>171</v>
      </c>
      <c r="K27" s="1498" t="s">
        <v>171</v>
      </c>
      <c r="L27" s="1475" t="s">
        <v>171</v>
      </c>
      <c r="M27" s="1498">
        <v>0</v>
      </c>
      <c r="N27" s="1498">
        <v>0</v>
      </c>
      <c r="O27" s="1498">
        <v>7428.8509999999997</v>
      </c>
      <c r="P27" s="1499">
        <v>5858.3779999999997</v>
      </c>
      <c r="Q27" s="1499">
        <v>6307.2120000000004</v>
      </c>
      <c r="R27" s="1499">
        <v>3237.88</v>
      </c>
      <c r="S27" s="1500">
        <v>749144.89300000004</v>
      </c>
    </row>
    <row r="28" spans="1:19" s="1097" customFormat="1" ht="24" customHeight="1">
      <c r="A28" s="1507">
        <v>2022.05</v>
      </c>
      <c r="B28" s="1497">
        <v>83.123999999999995</v>
      </c>
      <c r="C28" s="1498">
        <v>0</v>
      </c>
      <c r="D28" s="1498">
        <v>0</v>
      </c>
      <c r="E28" s="1498">
        <v>502</v>
      </c>
      <c r="F28" s="1498">
        <v>0</v>
      </c>
      <c r="G28" s="1499">
        <v>4711.4650000000001</v>
      </c>
      <c r="H28" s="1498">
        <v>0</v>
      </c>
      <c r="I28" s="1499">
        <v>11678.921</v>
      </c>
      <c r="J28" s="1498" t="s">
        <v>171</v>
      </c>
      <c r="K28" s="1498" t="s">
        <v>171</v>
      </c>
      <c r="L28" s="1475" t="s">
        <v>171</v>
      </c>
      <c r="M28" s="1498">
        <v>0</v>
      </c>
      <c r="N28" s="1498">
        <v>0</v>
      </c>
      <c r="O28" s="1498">
        <v>21563.768</v>
      </c>
      <c r="P28" s="1499">
        <v>3172</v>
      </c>
      <c r="Q28" s="1499">
        <v>6341.8220000000001</v>
      </c>
      <c r="R28" s="1499">
        <v>87.897999999999996</v>
      </c>
      <c r="S28" s="1500">
        <v>772955.28</v>
      </c>
    </row>
    <row r="29" spans="1:19" s="1097" customFormat="1" ht="24" customHeight="1">
      <c r="A29" s="1507">
        <v>2022.06</v>
      </c>
      <c r="B29" s="1497">
        <v>79.254000000000005</v>
      </c>
      <c r="C29" s="1498">
        <v>0</v>
      </c>
      <c r="D29" s="1498">
        <v>0</v>
      </c>
      <c r="E29" s="1498">
        <v>522</v>
      </c>
      <c r="F29" s="1498">
        <v>0</v>
      </c>
      <c r="G29" s="1499">
        <v>5450.6940000000004</v>
      </c>
      <c r="H29" s="1498">
        <v>0</v>
      </c>
      <c r="I29" s="1499">
        <v>11277.199000000001</v>
      </c>
      <c r="J29" s="1498" t="s">
        <v>171</v>
      </c>
      <c r="K29" s="1498" t="s">
        <v>171</v>
      </c>
      <c r="L29" s="1475" t="s">
        <v>171</v>
      </c>
      <c r="M29" s="1498">
        <v>0</v>
      </c>
      <c r="N29" s="1498">
        <v>0</v>
      </c>
      <c r="O29" s="1498">
        <v>24142.596000000001</v>
      </c>
      <c r="P29" s="1499">
        <v>3227.576</v>
      </c>
      <c r="Q29" s="1499">
        <v>6470.2759999999998</v>
      </c>
      <c r="R29" s="1499">
        <v>4051.5189999999998</v>
      </c>
      <c r="S29" s="1500">
        <v>844606.52800000005</v>
      </c>
    </row>
    <row r="30" spans="1:19" s="1097" customFormat="1" ht="24" customHeight="1">
      <c r="A30" s="1507">
        <v>2022.07</v>
      </c>
      <c r="B30" s="1497">
        <v>136.33799999999999</v>
      </c>
      <c r="C30" s="1498">
        <v>0</v>
      </c>
      <c r="D30" s="1498">
        <v>0</v>
      </c>
      <c r="E30" s="1498">
        <v>0</v>
      </c>
      <c r="F30" s="1498">
        <v>0</v>
      </c>
      <c r="G30" s="1499">
        <v>6860.857</v>
      </c>
      <c r="H30" s="1498">
        <v>0</v>
      </c>
      <c r="I30" s="1499">
        <v>8335.2219999999998</v>
      </c>
      <c r="J30" s="1498" t="s">
        <v>171</v>
      </c>
      <c r="K30" s="1498" t="s">
        <v>171</v>
      </c>
      <c r="L30" s="1475" t="s">
        <v>171</v>
      </c>
      <c r="M30" s="1498">
        <v>0</v>
      </c>
      <c r="N30" s="1498">
        <v>0</v>
      </c>
      <c r="O30" s="1498">
        <v>29271.594000000001</v>
      </c>
      <c r="P30" s="1499">
        <v>3551.4389999999999</v>
      </c>
      <c r="Q30" s="1499">
        <v>7599.8159999999998</v>
      </c>
      <c r="R30" s="1499">
        <v>3746.4580000000001</v>
      </c>
      <c r="S30" s="1500">
        <v>977435.17099999997</v>
      </c>
    </row>
    <row r="31" spans="1:19" s="1097" customFormat="1" ht="24" customHeight="1">
      <c r="A31" s="1507">
        <v>2022.08</v>
      </c>
      <c r="B31" s="1497">
        <v>132.511</v>
      </c>
      <c r="C31" s="1498">
        <v>0</v>
      </c>
      <c r="D31" s="1498">
        <v>0</v>
      </c>
      <c r="E31" s="1498">
        <v>0</v>
      </c>
      <c r="F31" s="1498">
        <v>0</v>
      </c>
      <c r="G31" s="1499">
        <v>6496.2359999999999</v>
      </c>
      <c r="H31" s="1499">
        <v>0</v>
      </c>
      <c r="I31" s="1499">
        <v>11794.344999999999</v>
      </c>
      <c r="J31" s="1498" t="s">
        <v>171</v>
      </c>
      <c r="K31" s="1498" t="s">
        <v>171</v>
      </c>
      <c r="L31" s="1475" t="s">
        <v>171</v>
      </c>
      <c r="M31" s="1498">
        <v>0</v>
      </c>
      <c r="N31" s="1498">
        <v>0</v>
      </c>
      <c r="O31" s="1498">
        <v>10897.636</v>
      </c>
      <c r="P31" s="1499">
        <v>3578.2109999999998</v>
      </c>
      <c r="Q31" s="1499">
        <v>7850.6139999999996</v>
      </c>
      <c r="R31" s="1499">
        <v>2927.7809999999999</v>
      </c>
      <c r="S31" s="1500">
        <v>833079.72199999995</v>
      </c>
    </row>
    <row r="32" spans="1:19" s="1097" customFormat="1" ht="24" customHeight="1">
      <c r="A32" s="1507">
        <v>2022.09</v>
      </c>
      <c r="B32" s="1497">
        <v>62.064</v>
      </c>
      <c r="C32" s="1498">
        <v>8.6159999999999997</v>
      </c>
      <c r="D32" s="1498">
        <v>0</v>
      </c>
      <c r="E32" s="1498">
        <v>305.36</v>
      </c>
      <c r="F32" s="1498">
        <v>0</v>
      </c>
      <c r="G32" s="1499">
        <v>5356.6989999999996</v>
      </c>
      <c r="H32" s="1498">
        <v>0</v>
      </c>
      <c r="I32" s="1499">
        <v>10386.9</v>
      </c>
      <c r="J32" s="1498" t="s">
        <v>171</v>
      </c>
      <c r="K32" s="1498" t="s">
        <v>171</v>
      </c>
      <c r="L32" s="1475" t="s">
        <v>171</v>
      </c>
      <c r="M32" s="1498">
        <v>0</v>
      </c>
      <c r="N32" s="1498">
        <v>0</v>
      </c>
      <c r="O32" s="1498">
        <v>16149.175999999999</v>
      </c>
      <c r="P32" s="1499">
        <v>1406.88</v>
      </c>
      <c r="Q32" s="1499">
        <v>6525.1260000000002</v>
      </c>
      <c r="R32" s="1499">
        <v>2699.8449999999998</v>
      </c>
      <c r="S32" s="1500">
        <v>776953.56099999999</v>
      </c>
    </row>
    <row r="33" spans="1:21" s="1097" customFormat="1" ht="24" customHeight="1">
      <c r="A33" s="1508">
        <v>2022.1</v>
      </c>
      <c r="B33" s="1509">
        <v>84.673000000000002</v>
      </c>
      <c r="C33" s="1510">
        <v>7.258</v>
      </c>
      <c r="D33" s="1510">
        <v>0</v>
      </c>
      <c r="E33" s="1510">
        <v>336.9</v>
      </c>
      <c r="F33" s="1510">
        <v>0</v>
      </c>
      <c r="G33" s="1511">
        <v>4696.5050000000001</v>
      </c>
      <c r="H33" s="1510">
        <v>0</v>
      </c>
      <c r="I33" s="1511">
        <v>10828.630999999999</v>
      </c>
      <c r="J33" s="1510" t="s">
        <v>171</v>
      </c>
      <c r="K33" s="1510" t="s">
        <v>171</v>
      </c>
      <c r="L33" s="1512" t="s">
        <v>171</v>
      </c>
      <c r="M33" s="1510">
        <v>0</v>
      </c>
      <c r="N33" s="1510">
        <v>0</v>
      </c>
      <c r="O33" s="1510">
        <v>27737.638999999999</v>
      </c>
      <c r="P33" s="1511">
        <v>2916.51</v>
      </c>
      <c r="Q33" s="1511">
        <v>6549.9620000000004</v>
      </c>
      <c r="R33" s="1511">
        <v>4412.4589999999998</v>
      </c>
      <c r="S33" s="1513">
        <v>822523.30099999998</v>
      </c>
    </row>
    <row r="34" spans="1:21" s="1097" customFormat="1" ht="24" customHeight="1">
      <c r="A34" s="1508">
        <v>2022.11</v>
      </c>
      <c r="B34" s="1509">
        <v>62.595999999999997</v>
      </c>
      <c r="C34" s="1510">
        <v>0.52400000000000002</v>
      </c>
      <c r="D34" s="1510">
        <v>0</v>
      </c>
      <c r="E34" s="1510">
        <v>383</v>
      </c>
      <c r="F34" s="1510">
        <v>0</v>
      </c>
      <c r="G34" s="1511">
        <v>4809</v>
      </c>
      <c r="H34" s="1510">
        <v>0</v>
      </c>
      <c r="I34" s="1511">
        <v>10229.744000000001</v>
      </c>
      <c r="J34" s="1510" t="s">
        <v>171</v>
      </c>
      <c r="K34" s="1510" t="s">
        <v>171</v>
      </c>
      <c r="L34" s="1512" t="s">
        <v>171</v>
      </c>
      <c r="M34" s="1510">
        <v>0</v>
      </c>
      <c r="N34" s="1510">
        <v>0</v>
      </c>
      <c r="O34" s="1510">
        <v>34276.75</v>
      </c>
      <c r="P34" s="1511">
        <v>2149.9540000000002</v>
      </c>
      <c r="Q34" s="1511">
        <v>6451.2269999999999</v>
      </c>
      <c r="R34" s="1511">
        <v>5238.5150000000003</v>
      </c>
      <c r="S34" s="1513">
        <v>826898.93700000003</v>
      </c>
    </row>
    <row r="35" spans="1:21" s="1321" customFormat="1" ht="24" customHeight="1">
      <c r="A35" s="1514">
        <v>2022.12</v>
      </c>
      <c r="B35" s="1515">
        <v>122.06699999999999</v>
      </c>
      <c r="C35" s="1516">
        <v>2.004</v>
      </c>
      <c r="D35" s="1516">
        <v>0</v>
      </c>
      <c r="E35" s="1516">
        <v>0</v>
      </c>
      <c r="F35" s="1517">
        <v>0</v>
      </c>
      <c r="G35" s="1517">
        <v>6179.3320000000003</v>
      </c>
      <c r="H35" s="1516">
        <v>0</v>
      </c>
      <c r="I35" s="1517">
        <v>8500.4789999999994</v>
      </c>
      <c r="J35" s="1516" t="s">
        <v>171</v>
      </c>
      <c r="K35" s="1518" t="s">
        <v>171</v>
      </c>
      <c r="L35" s="1518" t="s">
        <v>171</v>
      </c>
      <c r="M35" s="1516">
        <v>0</v>
      </c>
      <c r="N35" s="1516">
        <v>0</v>
      </c>
      <c r="O35" s="1516">
        <v>41480.892</v>
      </c>
      <c r="P35" s="1517">
        <v>3004.1579999999999</v>
      </c>
      <c r="Q35" s="1517">
        <v>7730.009</v>
      </c>
      <c r="R35" s="1517">
        <v>8384.8770000000004</v>
      </c>
      <c r="S35" s="1519">
        <v>1129336.2649999999</v>
      </c>
    </row>
    <row r="36" spans="1:21" ht="3" customHeight="1">
      <c r="A36" s="631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1"/>
      <c r="O36" s="631"/>
      <c r="P36" s="631"/>
      <c r="Q36" s="631"/>
      <c r="R36" s="631"/>
      <c r="S36" s="631"/>
    </row>
    <row r="37" spans="1:21" ht="14.25" customHeight="1">
      <c r="A37" s="305" t="s">
        <v>936</v>
      </c>
      <c r="B37" s="632"/>
      <c r="C37" s="632"/>
      <c r="D37" s="632"/>
      <c r="E37" s="632"/>
      <c r="F37" s="632"/>
      <c r="G37" s="632"/>
      <c r="H37" s="632"/>
      <c r="I37" s="632"/>
      <c r="J37" s="1520" t="s">
        <v>937</v>
      </c>
      <c r="K37" s="305"/>
      <c r="L37" s="632"/>
      <c r="M37" s="249"/>
      <c r="N37" s="631"/>
      <c r="O37" s="631"/>
      <c r="P37" s="631"/>
      <c r="Q37" s="631"/>
      <c r="R37" s="305"/>
      <c r="S37" s="631"/>
    </row>
    <row r="38" spans="1:21" ht="14.25" customHeight="1">
      <c r="A38" s="1521"/>
      <c r="B38" s="1522"/>
      <c r="C38" s="1522"/>
      <c r="D38" s="1522"/>
      <c r="E38" s="1522"/>
      <c r="F38" s="1522"/>
      <c r="G38" s="1522"/>
      <c r="H38" s="1522"/>
      <c r="I38" s="1522"/>
      <c r="J38" s="1522"/>
      <c r="K38" s="1522"/>
      <c r="L38" s="1522"/>
      <c r="M38" s="1521"/>
      <c r="N38" s="986"/>
      <c r="O38" s="986"/>
      <c r="P38" s="986"/>
      <c r="Q38" s="986"/>
      <c r="R38" s="983"/>
      <c r="S38" s="986"/>
    </row>
    <row r="39" spans="1:21" ht="12" customHeight="1">
      <c r="A39" s="1523"/>
      <c r="B39" s="1044"/>
      <c r="C39" s="1044"/>
      <c r="D39" s="1044"/>
      <c r="E39" s="1044"/>
      <c r="F39" s="1044"/>
      <c r="G39" s="1044"/>
      <c r="H39" s="1044"/>
      <c r="I39" s="1044"/>
      <c r="J39" s="1044"/>
      <c r="K39" s="1044"/>
      <c r="L39" s="1044"/>
      <c r="M39" s="1044"/>
      <c r="N39" s="983"/>
      <c r="O39" s="983"/>
      <c r="P39" s="983"/>
      <c r="Q39" s="983"/>
      <c r="R39" s="983"/>
      <c r="S39" s="983"/>
      <c r="T39" s="1524"/>
      <c r="U39" s="1524"/>
    </row>
  </sheetData>
  <mergeCells count="32">
    <mergeCell ref="A4:A9"/>
    <mergeCell ref="B4:L5"/>
    <mergeCell ref="M4:O5"/>
    <mergeCell ref="P4:Q7"/>
    <mergeCell ref="R4:S7"/>
    <mergeCell ref="B6:E7"/>
    <mergeCell ref="F6:I7"/>
    <mergeCell ref="J6:L7"/>
    <mergeCell ref="M6:O7"/>
    <mergeCell ref="B8:B9"/>
    <mergeCell ref="N8:N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W8:W9"/>
    <mergeCell ref="X8:X9"/>
    <mergeCell ref="Y8:Y9"/>
    <mergeCell ref="Z8:Z9"/>
    <mergeCell ref="O8:O9"/>
    <mergeCell ref="P8:P9"/>
    <mergeCell ref="Q8:Q9"/>
    <mergeCell ref="R8:R9"/>
    <mergeCell ref="S8:S9"/>
    <mergeCell ref="V8:V9"/>
  </mergeCells>
  <phoneticPr fontId="3" type="noConversion"/>
  <printOptions horizontalCentered="1"/>
  <pageMargins left="0.78740157480314965" right="0.78740157480314965" top="1.1811023622047245" bottom="0.78740157480314965" header="1.1811023622047245" footer="1.1811023622047245"/>
  <pageSetup paperSize="9" scale="84" firstPageNumber="34" orientation="portrait" useFirstPageNumber="1" r:id="rId1"/>
  <headerFooter differentOddEven="1" scaleWithDoc="0" alignWithMargins="0">
    <firstFooter>&amp;R&amp;P</firstFooter>
  </headerFooter>
  <colBreaks count="1" manualBreakCount="1">
    <brk id="9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zoomScale="85" zoomScaleNormal="100" zoomScaleSheetLayoutView="85" workbookViewId="0"/>
  </sheetViews>
  <sheetFormatPr defaultColWidth="9" defaultRowHeight="16.5"/>
  <cols>
    <col min="1" max="1" width="8.625" style="19" customWidth="1"/>
    <col min="2" max="14" width="6.125" style="19" customWidth="1"/>
    <col min="15" max="15" width="6.25" style="19" customWidth="1"/>
    <col min="16" max="16" width="5.875" style="19" customWidth="1"/>
    <col min="17" max="16384" width="9" style="19"/>
  </cols>
  <sheetData>
    <row r="1" spans="1:15" ht="21" customHeight="1">
      <c r="A1" s="18" t="s">
        <v>4</v>
      </c>
    </row>
    <row r="2" spans="1:15" ht="18" customHeight="1">
      <c r="A2" s="20" t="s">
        <v>5</v>
      </c>
    </row>
    <row r="3" spans="1:15" ht="18" customHeight="1"/>
    <row r="4" spans="1:15" ht="21" customHeight="1">
      <c r="A4" s="20" t="s">
        <v>6</v>
      </c>
    </row>
    <row r="5" spans="1:15" ht="18" customHeight="1">
      <c r="A5" s="21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22" t="s">
        <v>8</v>
      </c>
      <c r="O6" s="22"/>
    </row>
    <row r="7" spans="1:15" ht="19.5" customHeight="1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9.5" customHeight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9.5" customHeight="1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9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9.5" customHeight="1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9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9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9.5" customHeight="1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9.5" customHeight="1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9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9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9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9.5" customHeight="1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9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9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95" customHeight="1">
      <c r="A22" s="23" t="s">
        <v>9</v>
      </c>
      <c r="B22" s="24">
        <v>2021.12</v>
      </c>
      <c r="C22" s="24">
        <v>2022.01</v>
      </c>
      <c r="D22" s="24">
        <v>2022.02</v>
      </c>
      <c r="E22" s="24">
        <v>2022.03</v>
      </c>
      <c r="F22" s="24">
        <v>2022.04</v>
      </c>
      <c r="G22" s="24">
        <v>2022.05</v>
      </c>
      <c r="H22" s="24">
        <v>2022.06</v>
      </c>
      <c r="I22" s="24">
        <v>2022.07</v>
      </c>
      <c r="J22" s="24">
        <v>2022.08</v>
      </c>
      <c r="K22" s="24">
        <v>2022.09</v>
      </c>
      <c r="L22" s="24">
        <v>2022.1</v>
      </c>
      <c r="M22" s="24">
        <v>2022.11</v>
      </c>
      <c r="N22" s="25">
        <v>2022.12</v>
      </c>
      <c r="O22" s="26"/>
    </row>
    <row r="23" spans="1:15" ht="17.100000000000001" customHeight="1">
      <c r="A23" s="27" t="s">
        <v>10</v>
      </c>
      <c r="B23" s="28">
        <v>134019.77499999999</v>
      </c>
      <c r="C23" s="28">
        <v>133069.45699999999</v>
      </c>
      <c r="D23" s="28">
        <v>133560.95199999999</v>
      </c>
      <c r="E23" s="28">
        <v>133679.959</v>
      </c>
      <c r="F23" s="28">
        <v>133916.91200000001</v>
      </c>
      <c r="G23" s="28">
        <v>134060.035</v>
      </c>
      <c r="H23" s="28">
        <v>134236.75899999999</v>
      </c>
      <c r="I23" s="28">
        <v>134290.81099999999</v>
      </c>
      <c r="J23" s="28">
        <v>134694.60200000001</v>
      </c>
      <c r="K23" s="28">
        <v>134768.07699999999</v>
      </c>
      <c r="L23" s="28">
        <v>136030.853</v>
      </c>
      <c r="M23" s="28">
        <v>136268.125</v>
      </c>
      <c r="N23" s="29">
        <v>138017.60200000001</v>
      </c>
      <c r="O23" s="30"/>
    </row>
    <row r="24" spans="1:15" ht="17.100000000000001" customHeight="1">
      <c r="A24" s="31" t="s">
        <v>11</v>
      </c>
      <c r="B24" s="32">
        <v>3.7374999999999998</v>
      </c>
      <c r="C24" s="32">
        <v>3.2989999999999999</v>
      </c>
      <c r="D24" s="32">
        <v>3.444</v>
      </c>
      <c r="E24" s="32">
        <v>3.3384999999999998</v>
      </c>
      <c r="F24" s="32">
        <v>4.2634999999999996</v>
      </c>
      <c r="G24" s="32">
        <v>3.4230999999999998</v>
      </c>
      <c r="H24" s="32">
        <v>2.4171999999999998</v>
      </c>
      <c r="I24" s="32">
        <v>2.2543000000000002</v>
      </c>
      <c r="J24" s="32">
        <v>2.3129</v>
      </c>
      <c r="K24" s="32">
        <v>2.0095000000000001</v>
      </c>
      <c r="L24" s="32">
        <v>1.9301999999999999</v>
      </c>
      <c r="M24" s="32">
        <v>1.7716000000000001</v>
      </c>
      <c r="N24" s="33">
        <v>2.9830000000000001</v>
      </c>
      <c r="O24" s="30"/>
    </row>
    <row r="25" spans="1:15" ht="17.100000000000001" customHeight="1">
      <c r="A25" s="23" t="s">
        <v>12</v>
      </c>
      <c r="B25" s="34">
        <v>40305.482000000004</v>
      </c>
      <c r="C25" s="34">
        <v>39105.482000000004</v>
      </c>
      <c r="D25" s="34">
        <v>39105.482000000004</v>
      </c>
      <c r="E25" s="34">
        <v>39105.482000000004</v>
      </c>
      <c r="F25" s="34">
        <v>39105.482000000004</v>
      </c>
      <c r="G25" s="34">
        <v>38855.482000000004</v>
      </c>
      <c r="H25" s="34">
        <v>38855.482000000004</v>
      </c>
      <c r="I25" s="34">
        <v>38855.482000000004</v>
      </c>
      <c r="J25" s="34">
        <v>38855.482000000004</v>
      </c>
      <c r="K25" s="34">
        <v>38855.482000000004</v>
      </c>
      <c r="L25" s="34">
        <v>39895.482000000004</v>
      </c>
      <c r="M25" s="34">
        <v>39895.482000000004</v>
      </c>
      <c r="N25" s="35">
        <v>39895.482000000004</v>
      </c>
      <c r="O25" s="30"/>
    </row>
    <row r="26" spans="1:15" ht="17.100000000000001" customHeight="1">
      <c r="A26" s="36" t="s">
        <v>11</v>
      </c>
      <c r="B26" s="37">
        <v>0.99350000000000005</v>
      </c>
      <c r="C26" s="37">
        <v>0.7329</v>
      </c>
      <c r="D26" s="37">
        <v>0.7329</v>
      </c>
      <c r="E26" s="37">
        <v>0.7329</v>
      </c>
      <c r="F26" s="37">
        <v>3.7254</v>
      </c>
      <c r="G26" s="37">
        <v>0.2787</v>
      </c>
      <c r="H26" s="37">
        <v>-2.2884000000000002</v>
      </c>
      <c r="I26" s="37">
        <v>-2.2884000000000002</v>
      </c>
      <c r="J26" s="37">
        <v>-2.2884000000000002</v>
      </c>
      <c r="K26" s="37">
        <v>-2.2884000000000002</v>
      </c>
      <c r="L26" s="37">
        <v>-2.2301000000000002</v>
      </c>
      <c r="M26" s="37">
        <v>-2.2301000000000002</v>
      </c>
      <c r="N26" s="38">
        <v>-1.0172000000000001</v>
      </c>
      <c r="O26" s="30"/>
    </row>
    <row r="27" spans="1:15" ht="17.100000000000001" customHeight="1">
      <c r="A27" s="39" t="s">
        <v>13</v>
      </c>
      <c r="B27" s="40">
        <v>23250</v>
      </c>
      <c r="C27" s="40">
        <v>23250</v>
      </c>
      <c r="D27" s="40">
        <v>23250</v>
      </c>
      <c r="E27" s="40">
        <v>23250</v>
      </c>
      <c r="F27" s="40">
        <v>23250</v>
      </c>
      <c r="G27" s="40">
        <v>23250</v>
      </c>
      <c r="H27" s="40">
        <v>23250</v>
      </c>
      <c r="I27" s="40">
        <v>23250</v>
      </c>
      <c r="J27" s="40">
        <v>23250</v>
      </c>
      <c r="K27" s="40">
        <v>23250</v>
      </c>
      <c r="L27" s="40">
        <v>23250</v>
      </c>
      <c r="M27" s="40">
        <v>23250</v>
      </c>
      <c r="N27" s="41">
        <v>24650</v>
      </c>
      <c r="O27" s="30"/>
    </row>
    <row r="28" spans="1:15" ht="17.100000000000001" customHeight="1">
      <c r="A28" s="36" t="s">
        <v>11</v>
      </c>
      <c r="B28" s="37">
        <v>0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8">
        <v>6.0214999999999996</v>
      </c>
      <c r="O28" s="30"/>
    </row>
    <row r="29" spans="1:15" ht="17.100000000000001" customHeight="1">
      <c r="A29" s="39" t="s">
        <v>14</v>
      </c>
      <c r="B29" s="40">
        <v>40217.201999999997</v>
      </c>
      <c r="C29" s="40">
        <v>40217.201999999997</v>
      </c>
      <c r="D29" s="40">
        <v>40217.201999999997</v>
      </c>
      <c r="E29" s="40">
        <v>40217.201999999997</v>
      </c>
      <c r="F29" s="40">
        <v>40217.201999999997</v>
      </c>
      <c r="G29" s="40">
        <v>40217.201999999997</v>
      </c>
      <c r="H29" s="40">
        <v>40217.201999999997</v>
      </c>
      <c r="I29" s="40">
        <v>40217.201999999997</v>
      </c>
      <c r="J29" s="40">
        <v>40217.201999999997</v>
      </c>
      <c r="K29" s="40">
        <v>40217.201999999997</v>
      </c>
      <c r="L29" s="40">
        <v>40217.201999999997</v>
      </c>
      <c r="M29" s="40">
        <v>40217.201999999997</v>
      </c>
      <c r="N29" s="41">
        <v>40217.201999999997</v>
      </c>
      <c r="O29" s="30"/>
    </row>
    <row r="30" spans="1:15" ht="17.100000000000001" customHeight="1">
      <c r="A30" s="36" t="s">
        <v>11</v>
      </c>
      <c r="B30" s="37">
        <v>7.8899999999999998E-2</v>
      </c>
      <c r="C30" s="37">
        <v>7.8899999999999998E-2</v>
      </c>
      <c r="D30" s="37">
        <v>7.8899999999999998E-2</v>
      </c>
      <c r="E30" s="37">
        <v>7.8899999999999998E-2</v>
      </c>
      <c r="F30" s="37">
        <v>7.8899999999999998E-2</v>
      </c>
      <c r="G30" s="37">
        <v>7.8899999999999998E-2</v>
      </c>
      <c r="H30" s="37">
        <v>7.8899999999999998E-2</v>
      </c>
      <c r="I30" s="37">
        <v>7.8899999999999998E-2</v>
      </c>
      <c r="J30" s="37">
        <v>7.8899999999999998E-2</v>
      </c>
      <c r="K30" s="37">
        <v>7.8899999999999998E-2</v>
      </c>
      <c r="L30" s="37">
        <v>7.8899999999999998E-2</v>
      </c>
      <c r="M30" s="37">
        <v>7.8899999999999998E-2</v>
      </c>
      <c r="N30" s="38">
        <v>0</v>
      </c>
      <c r="O30" s="30"/>
    </row>
    <row r="31" spans="1:15" ht="17.100000000000001" customHeight="1">
      <c r="A31" s="39" t="s">
        <v>15</v>
      </c>
      <c r="B31" s="40">
        <v>6541.335</v>
      </c>
      <c r="C31" s="40">
        <v>6540.1049999999996</v>
      </c>
      <c r="D31" s="40">
        <v>6538.0349999999999</v>
      </c>
      <c r="E31" s="40">
        <v>6520.0479999999998</v>
      </c>
      <c r="F31" s="40">
        <v>6520.0479999999998</v>
      </c>
      <c r="G31" s="40">
        <v>6511.8329999999996</v>
      </c>
      <c r="H31" s="40">
        <v>6511.8329999999996</v>
      </c>
      <c r="I31" s="40">
        <v>6511.9129999999996</v>
      </c>
      <c r="J31" s="40">
        <v>6511.9129999999996</v>
      </c>
      <c r="K31" s="40">
        <v>6510.6130000000003</v>
      </c>
      <c r="L31" s="40">
        <v>6510.6130000000003</v>
      </c>
      <c r="M31" s="40">
        <v>6511.9129999999996</v>
      </c>
      <c r="N31" s="41">
        <v>6512.4229999999998</v>
      </c>
      <c r="O31" s="30"/>
    </row>
    <row r="32" spans="1:15" ht="17.100000000000001" customHeight="1">
      <c r="A32" s="36" t="s">
        <v>11</v>
      </c>
      <c r="B32" s="37">
        <v>0.54669999999999996</v>
      </c>
      <c r="C32" s="37">
        <v>0.52769999999999995</v>
      </c>
      <c r="D32" s="37">
        <v>0.49580000000000002</v>
      </c>
      <c r="E32" s="37">
        <v>0.21940000000000001</v>
      </c>
      <c r="F32" s="37">
        <v>0.21940000000000001</v>
      </c>
      <c r="G32" s="37">
        <v>1.2800000000000001E-2</v>
      </c>
      <c r="H32" s="37">
        <v>-0.1036</v>
      </c>
      <c r="I32" s="37">
        <v>-0.1024</v>
      </c>
      <c r="J32" s="37">
        <v>-9.2399999999999996E-2</v>
      </c>
      <c r="K32" s="37">
        <v>-0.19209999999999999</v>
      </c>
      <c r="L32" s="37">
        <v>-0.19209999999999999</v>
      </c>
      <c r="M32" s="37">
        <v>-0.44679999999999997</v>
      </c>
      <c r="N32" s="38">
        <v>-0.442</v>
      </c>
      <c r="O32" s="30"/>
    </row>
    <row r="33" spans="1:15" ht="17.100000000000001" customHeight="1">
      <c r="A33" s="39" t="s">
        <v>16</v>
      </c>
      <c r="B33" s="40">
        <v>23014.162</v>
      </c>
      <c r="C33" s="40">
        <v>23265.074000000001</v>
      </c>
      <c r="D33" s="40">
        <v>23758.720000000001</v>
      </c>
      <c r="E33" s="40">
        <v>23892.813999999998</v>
      </c>
      <c r="F33" s="40">
        <v>24129.865000000002</v>
      </c>
      <c r="G33" s="40">
        <v>24591.203000000001</v>
      </c>
      <c r="H33" s="40">
        <v>24768.761999999999</v>
      </c>
      <c r="I33" s="40">
        <v>24822.808000000001</v>
      </c>
      <c r="J33" s="40">
        <v>25266.598999999998</v>
      </c>
      <c r="K33" s="40">
        <v>25342.134999999998</v>
      </c>
      <c r="L33" s="40">
        <v>25564.911</v>
      </c>
      <c r="M33" s="40">
        <v>25800.023000000001</v>
      </c>
      <c r="N33" s="41">
        <v>26148.792000000001</v>
      </c>
      <c r="O33" s="30"/>
    </row>
    <row r="34" spans="1:15" ht="17.100000000000001" customHeight="1">
      <c r="A34" s="36" t="s">
        <v>11</v>
      </c>
      <c r="B34" s="37">
        <v>22.813400000000001</v>
      </c>
      <c r="C34" s="37">
        <v>20.128399999999999</v>
      </c>
      <c r="D34" s="37">
        <v>20.838799999999999</v>
      </c>
      <c r="E34" s="37">
        <v>20.012799999999999</v>
      </c>
      <c r="F34" s="37">
        <v>19.999500000000001</v>
      </c>
      <c r="G34" s="37">
        <v>21.503</v>
      </c>
      <c r="H34" s="37">
        <v>19.892299999999999</v>
      </c>
      <c r="I34" s="37">
        <v>18.651599999999998</v>
      </c>
      <c r="J34" s="37">
        <v>18.958300000000001</v>
      </c>
      <c r="K34" s="37">
        <v>16.790500000000002</v>
      </c>
      <c r="L34" s="37">
        <v>16.202200000000001</v>
      </c>
      <c r="M34" s="37">
        <v>15.0587</v>
      </c>
      <c r="N34" s="38">
        <v>13.6204</v>
      </c>
      <c r="O34" s="30"/>
    </row>
    <row r="35" spans="1:15" ht="17.100000000000001" customHeight="1">
      <c r="A35" s="39" t="s">
        <v>17</v>
      </c>
      <c r="B35" s="40">
        <v>691.59400000000005</v>
      </c>
      <c r="C35" s="40">
        <v>691.59400000000005</v>
      </c>
      <c r="D35" s="40">
        <v>691.51300000000003</v>
      </c>
      <c r="E35" s="40">
        <v>694.41200000000003</v>
      </c>
      <c r="F35" s="40">
        <v>694.31399999999996</v>
      </c>
      <c r="G35" s="40">
        <v>634.31399999999996</v>
      </c>
      <c r="H35" s="40">
        <v>633.48</v>
      </c>
      <c r="I35" s="40">
        <v>633.40499999999997</v>
      </c>
      <c r="J35" s="40">
        <v>593.40499999999997</v>
      </c>
      <c r="K35" s="40">
        <v>592.64499999999998</v>
      </c>
      <c r="L35" s="40">
        <v>592.64499999999998</v>
      </c>
      <c r="M35" s="40">
        <v>593.50400000000002</v>
      </c>
      <c r="N35" s="41">
        <v>593.70299999999997</v>
      </c>
      <c r="O35" s="30"/>
    </row>
    <row r="36" spans="1:15" ht="17.100000000000001" customHeight="1">
      <c r="A36" s="42" t="s">
        <v>11</v>
      </c>
      <c r="B36" s="43">
        <v>14.9049</v>
      </c>
      <c r="C36" s="43">
        <v>0.1462</v>
      </c>
      <c r="D36" s="43">
        <v>0.15490000000000001</v>
      </c>
      <c r="E36" s="43">
        <v>0.57469999999999999</v>
      </c>
      <c r="F36" s="43">
        <v>0.58379999999999999</v>
      </c>
      <c r="G36" s="43">
        <v>-8.0372000000000003</v>
      </c>
      <c r="H36" s="43">
        <v>-8.1759000000000004</v>
      </c>
      <c r="I36" s="43">
        <v>-8.1867000000000001</v>
      </c>
      <c r="J36" s="43">
        <v>-14.1091</v>
      </c>
      <c r="K36" s="43">
        <v>-14.1569</v>
      </c>
      <c r="L36" s="43">
        <v>-14.1572</v>
      </c>
      <c r="M36" s="43">
        <v>-14.046200000000001</v>
      </c>
      <c r="N36" s="44">
        <v>-14.154500000000001</v>
      </c>
      <c r="O36" s="30"/>
    </row>
    <row r="37" spans="1:15" ht="17.100000000000001" customHeight="1">
      <c r="A37" s="45" t="s">
        <v>18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0"/>
    </row>
    <row r="38" spans="1:15" ht="18" customHeight="1">
      <c r="A38" s="47" t="s">
        <v>19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18" customHeight="1">
      <c r="A39" s="48" t="s">
        <v>20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8" customHeight="1">
      <c r="A40" s="47" t="s">
        <v>21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18" customHeight="1">
      <c r="A41" s="47" t="s">
        <v>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47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3" orientation="portrait" useFirstPageNumber="1" r:id="rId1"/>
  <headerFooter differentOddEven="1" scaleWithDoc="0" alignWithMargins="0">
    <evenFooter>&amp;L&amp;P</even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3"/>
  <sheetViews>
    <sheetView view="pageBreakPreview" zoomScale="85" zoomScaleNormal="100" zoomScaleSheetLayoutView="85" workbookViewId="0"/>
  </sheetViews>
  <sheetFormatPr defaultColWidth="9.75" defaultRowHeight="13.5"/>
  <cols>
    <col min="1" max="1" width="12" style="260" customWidth="1"/>
    <col min="2" max="4" width="13.25" style="260" customWidth="1"/>
    <col min="5" max="6" width="12.125" style="260" customWidth="1"/>
    <col min="7" max="7" width="13.25" style="260" customWidth="1"/>
    <col min="8" max="10" width="9.75" style="260" customWidth="1"/>
    <col min="11" max="11" width="10.5" style="260" bestFit="1" customWidth="1"/>
    <col min="12" max="16384" width="9.75" style="260"/>
  </cols>
  <sheetData>
    <row r="1" spans="1:7" s="251" customFormat="1" ht="20.25">
      <c r="A1" s="248" t="s">
        <v>938</v>
      </c>
      <c r="B1" s="249"/>
      <c r="C1" s="249"/>
      <c r="D1" s="249"/>
      <c r="E1" s="249"/>
      <c r="F1" s="249"/>
      <c r="G1" s="249"/>
    </row>
    <row r="2" spans="1:7" s="254" customFormat="1" ht="17.25">
      <c r="A2" s="252" t="s">
        <v>939</v>
      </c>
      <c r="B2" s="252"/>
      <c r="C2" s="252"/>
      <c r="D2" s="252"/>
      <c r="E2" s="252"/>
      <c r="F2" s="252"/>
      <c r="G2" s="252"/>
    </row>
    <row r="3" spans="1:7" s="1525" customFormat="1" ht="16.5" customHeight="1">
      <c r="A3" s="307"/>
      <c r="B3" s="1280"/>
      <c r="C3" s="1280"/>
      <c r="D3" s="1280"/>
      <c r="E3" s="1280"/>
      <c r="F3" s="1280"/>
      <c r="G3" s="1398" t="s">
        <v>940</v>
      </c>
    </row>
    <row r="4" spans="1:7" s="1526" customFormat="1" ht="8.1" customHeight="1">
      <c r="A4" s="2881" t="s">
        <v>65</v>
      </c>
      <c r="B4" s="3003" t="s">
        <v>941</v>
      </c>
      <c r="C4" s="3006" t="s">
        <v>942</v>
      </c>
      <c r="D4" s="3008" t="s">
        <v>943</v>
      </c>
      <c r="E4" s="3010" t="s">
        <v>944</v>
      </c>
      <c r="F4" s="2935" t="s">
        <v>945</v>
      </c>
      <c r="G4" s="2999" t="s">
        <v>946</v>
      </c>
    </row>
    <row r="5" spans="1:7" s="1526" customFormat="1" ht="8.1" customHeight="1">
      <c r="A5" s="2882"/>
      <c r="B5" s="3004"/>
      <c r="C5" s="3007"/>
      <c r="D5" s="3009"/>
      <c r="E5" s="3011"/>
      <c r="F5" s="3002"/>
      <c r="G5" s="3000"/>
    </row>
    <row r="6" spans="1:7" s="1526" customFormat="1" ht="8.1" customHeight="1">
      <c r="A6" s="2882"/>
      <c r="B6" s="3005"/>
      <c r="C6" s="2996"/>
      <c r="D6" s="2997"/>
      <c r="E6" s="3011"/>
      <c r="F6" s="3002"/>
      <c r="G6" s="3000"/>
    </row>
    <row r="7" spans="1:7" s="1526" customFormat="1" ht="8.1" customHeight="1">
      <c r="A7" s="2882"/>
      <c r="B7" s="2872" t="s">
        <v>947</v>
      </c>
      <c r="C7" s="2866" t="s">
        <v>948</v>
      </c>
      <c r="D7" s="2866" t="s">
        <v>161</v>
      </c>
      <c r="E7" s="3011"/>
      <c r="F7" s="3002"/>
      <c r="G7" s="3000"/>
    </row>
    <row r="8" spans="1:7" s="1526" customFormat="1" ht="8.1" customHeight="1">
      <c r="A8" s="2882"/>
      <c r="B8" s="3001"/>
      <c r="C8" s="3002"/>
      <c r="D8" s="3002"/>
      <c r="E8" s="3011"/>
      <c r="F8" s="3002"/>
      <c r="G8" s="3000"/>
    </row>
    <row r="9" spans="1:7" s="1526" customFormat="1" ht="8.1" customHeight="1">
      <c r="A9" s="2883"/>
      <c r="B9" s="2873"/>
      <c r="C9" s="2867"/>
      <c r="D9" s="2867"/>
      <c r="E9" s="3012"/>
      <c r="F9" s="2867"/>
      <c r="G9" s="2871"/>
    </row>
    <row r="10" spans="1:7" s="1480" customFormat="1" ht="23.45" customHeight="1">
      <c r="A10" s="1527">
        <v>2011</v>
      </c>
      <c r="B10" s="1528">
        <v>1658801</v>
      </c>
      <c r="C10" s="1484">
        <v>79854167</v>
      </c>
      <c r="D10" s="1484">
        <v>81512968</v>
      </c>
      <c r="E10" s="1484">
        <v>2050365.409</v>
      </c>
      <c r="F10" s="1484">
        <v>120463.709</v>
      </c>
      <c r="G10" s="1485">
        <v>13609053.265000001</v>
      </c>
    </row>
    <row r="11" spans="1:7" s="1480" customFormat="1" ht="23.45" customHeight="1">
      <c r="A11" s="1529">
        <v>2012</v>
      </c>
      <c r="B11" s="1528">
        <v>1796721</v>
      </c>
      <c r="C11" s="1484">
        <v>79988533.011000007</v>
      </c>
      <c r="D11" s="1484">
        <v>81785254.011000007</v>
      </c>
      <c r="E11" s="1484">
        <v>3216303.898</v>
      </c>
      <c r="F11" s="1484">
        <v>140699.568</v>
      </c>
      <c r="G11" s="1485">
        <v>15320733.956</v>
      </c>
    </row>
    <row r="12" spans="1:7" s="1480" customFormat="1" ht="23.45" customHeight="1">
      <c r="A12" s="1529">
        <v>2013</v>
      </c>
      <c r="B12" s="1528">
        <v>1728664</v>
      </c>
      <c r="C12" s="1484">
        <v>78759805</v>
      </c>
      <c r="D12" s="1484">
        <v>80488469</v>
      </c>
      <c r="E12" s="1484">
        <v>3471672.4040000001</v>
      </c>
      <c r="F12" s="1484">
        <v>127889.53200000001</v>
      </c>
      <c r="G12" s="1485">
        <v>17004866</v>
      </c>
    </row>
    <row r="13" spans="1:7" s="1480" customFormat="1" ht="23.45" customHeight="1">
      <c r="A13" s="1529">
        <v>2014</v>
      </c>
      <c r="B13" s="1528">
        <v>2043992</v>
      </c>
      <c r="C13" s="1484">
        <v>77688128</v>
      </c>
      <c r="D13" s="1484">
        <v>79732120</v>
      </c>
      <c r="E13" s="1484">
        <v>1571593.2390000001</v>
      </c>
      <c r="F13" s="1484">
        <v>110587.54300000001</v>
      </c>
      <c r="G13" s="1485">
        <v>12497253.119999999</v>
      </c>
    </row>
    <row r="14" spans="1:7" s="1480" customFormat="1" ht="23.45" customHeight="1">
      <c r="A14" s="1529">
        <v>2015</v>
      </c>
      <c r="B14" s="1528">
        <v>2125486</v>
      </c>
      <c r="C14" s="1484">
        <v>79432655.956</v>
      </c>
      <c r="D14" s="1484">
        <v>81558141.956</v>
      </c>
      <c r="E14" s="1484">
        <v>1850639.754</v>
      </c>
      <c r="F14" s="1484">
        <v>111411.10799999999</v>
      </c>
      <c r="G14" s="1485">
        <v>8763722.8350000009</v>
      </c>
    </row>
    <row r="15" spans="1:7" s="1480" customFormat="1" ht="23.45" customHeight="1">
      <c r="A15" s="1529">
        <v>2016</v>
      </c>
      <c r="B15" s="1530">
        <v>2528364</v>
      </c>
      <c r="C15" s="1484">
        <v>78044995.590000004</v>
      </c>
      <c r="D15" s="1484">
        <v>80573359.590000004</v>
      </c>
      <c r="E15" s="1484">
        <v>2783520.784</v>
      </c>
      <c r="F15" s="1484">
        <v>155202.77799999999</v>
      </c>
      <c r="G15" s="1485">
        <v>8283596.21</v>
      </c>
    </row>
    <row r="16" spans="1:7" s="1480" customFormat="1" ht="23.45" customHeight="1">
      <c r="A16" s="1529">
        <v>2017</v>
      </c>
      <c r="B16" s="1530">
        <v>1078762</v>
      </c>
      <c r="C16" s="1484">
        <v>89217392.670000002</v>
      </c>
      <c r="D16" s="1484">
        <v>90296154.670000002</v>
      </c>
      <c r="E16" s="1484">
        <v>927885.49100000004</v>
      </c>
      <c r="F16" s="1484">
        <v>173560.728</v>
      </c>
      <c r="G16" s="1485">
        <v>7743153.2510000002</v>
      </c>
    </row>
    <row r="17" spans="1:11" s="1532" customFormat="1" ht="23.45" customHeight="1">
      <c r="A17" s="1529">
        <v>2018</v>
      </c>
      <c r="B17" s="1528">
        <v>991627</v>
      </c>
      <c r="C17" s="1484">
        <v>89549253</v>
      </c>
      <c r="D17" s="1484">
        <v>90540880</v>
      </c>
      <c r="E17" s="1484">
        <v>1013228.579</v>
      </c>
      <c r="F17" s="1484">
        <v>215127.606</v>
      </c>
      <c r="G17" s="1531">
        <v>9051319.8059999999</v>
      </c>
    </row>
    <row r="18" spans="1:11" s="1532" customFormat="1" ht="23.45" customHeight="1">
      <c r="A18" s="1529">
        <v>2019</v>
      </c>
      <c r="B18" s="1528">
        <v>1164840</v>
      </c>
      <c r="C18" s="1484">
        <v>83321351</v>
      </c>
      <c r="D18" s="1484">
        <v>84486191</v>
      </c>
      <c r="E18" s="1484">
        <v>361925.212</v>
      </c>
      <c r="F18" s="1484">
        <v>322568.05699999997</v>
      </c>
      <c r="G18" s="1531">
        <v>8016782.6809999999</v>
      </c>
    </row>
    <row r="19" spans="1:11" s="1532" customFormat="1" ht="23.45" customHeight="1">
      <c r="A19" s="1529">
        <v>2020</v>
      </c>
      <c r="B19" s="1528">
        <v>971160.8</v>
      </c>
      <c r="C19" s="1533">
        <v>69093951.809</v>
      </c>
      <c r="D19" s="1533">
        <v>70065112.608999997</v>
      </c>
      <c r="E19" s="1533">
        <v>283174.68199999997</v>
      </c>
      <c r="F19" s="1533">
        <v>168776.65599999999</v>
      </c>
      <c r="G19" s="1534">
        <v>8993381.7740000002</v>
      </c>
    </row>
    <row r="20" spans="1:11" s="1521" customFormat="1" ht="23.45" customHeight="1">
      <c r="A20" s="1535">
        <v>2021</v>
      </c>
      <c r="B20" s="1536">
        <v>899642.14</v>
      </c>
      <c r="C20" s="1537">
        <v>66877893.722000003</v>
      </c>
      <c r="D20" s="1537">
        <v>67777535.862000003</v>
      </c>
      <c r="E20" s="1537">
        <v>290827.79700000002</v>
      </c>
      <c r="F20" s="1537">
        <v>206881.58199999999</v>
      </c>
      <c r="G20" s="1538">
        <v>11195840.176999999</v>
      </c>
    </row>
    <row r="21" spans="1:11" s="1521" customFormat="1" ht="23.45" customHeight="1">
      <c r="A21" s="1490" t="s">
        <v>795</v>
      </c>
      <c r="B21" s="1539">
        <v>899642.14</v>
      </c>
      <c r="C21" s="1540">
        <v>66877893.722000003</v>
      </c>
      <c r="D21" s="1540">
        <v>67777535.862000003</v>
      </c>
      <c r="E21" s="1540">
        <v>290827.79700000002</v>
      </c>
      <c r="F21" s="1540">
        <v>206881.58199999999</v>
      </c>
      <c r="G21" s="1541">
        <v>11195840.176999999</v>
      </c>
    </row>
    <row r="22" spans="1:11" s="1521" customFormat="1" ht="23.45" customHeight="1">
      <c r="A22" s="1496">
        <v>2021.12</v>
      </c>
      <c r="B22" s="1542">
        <v>0</v>
      </c>
      <c r="C22" s="1488">
        <v>6242529.3439999996</v>
      </c>
      <c r="D22" s="1488">
        <v>6242529.3439999996</v>
      </c>
      <c r="E22" s="1488">
        <v>6274.1279999999997</v>
      </c>
      <c r="F22" s="1488">
        <v>14477.814</v>
      </c>
      <c r="G22" s="1531">
        <v>878050.99100000004</v>
      </c>
      <c r="J22" s="1543"/>
      <c r="K22" s="1543"/>
    </row>
    <row r="23" spans="1:11" s="1521" customFormat="1" ht="23.45" customHeight="1">
      <c r="A23" s="1544" t="s">
        <v>796</v>
      </c>
      <c r="B23" s="1545">
        <v>884961.83</v>
      </c>
      <c r="C23" s="1546">
        <v>65202078.454999998</v>
      </c>
      <c r="D23" s="1546">
        <v>66087040.284999996</v>
      </c>
      <c r="E23" s="1546">
        <v>113554.037</v>
      </c>
      <c r="F23" s="1546">
        <v>261046.367</v>
      </c>
      <c r="G23" s="1547">
        <v>10706766.272</v>
      </c>
      <c r="J23" s="1543"/>
    </row>
    <row r="24" spans="1:11" s="1521" customFormat="1" ht="23.45" customHeight="1">
      <c r="A24" s="1496">
        <v>2022.01</v>
      </c>
      <c r="B24" s="1497">
        <v>0</v>
      </c>
      <c r="C24" s="1488">
        <v>6395185.3700000001</v>
      </c>
      <c r="D24" s="1488">
        <v>6395185.3700000001</v>
      </c>
      <c r="E24" s="1488">
        <v>71164.900999999998</v>
      </c>
      <c r="F24" s="1488">
        <v>22809.38</v>
      </c>
      <c r="G24" s="1531">
        <v>931263.41</v>
      </c>
    </row>
    <row r="25" spans="1:11" s="1548" customFormat="1" ht="23.45" customHeight="1">
      <c r="A25" s="1496">
        <v>2022.02</v>
      </c>
      <c r="B25" s="1542">
        <v>0</v>
      </c>
      <c r="C25" s="1488">
        <v>5333063.585</v>
      </c>
      <c r="D25" s="1488">
        <v>5333063.585</v>
      </c>
      <c r="E25" s="1488">
        <v>6689.0230000000001</v>
      </c>
      <c r="F25" s="1488">
        <v>23937.508999999998</v>
      </c>
      <c r="G25" s="1531">
        <v>840354.14300000004</v>
      </c>
    </row>
    <row r="26" spans="1:11" s="1521" customFormat="1" ht="23.45" customHeight="1">
      <c r="A26" s="1496">
        <v>2022.03</v>
      </c>
      <c r="B26" s="1497">
        <v>109.96899999999999</v>
      </c>
      <c r="C26" s="1488">
        <v>4530156.8839999996</v>
      </c>
      <c r="D26" s="1488">
        <v>4530266.8530000001</v>
      </c>
      <c r="E26" s="1488">
        <v>6835.0069999999996</v>
      </c>
      <c r="F26" s="1488">
        <v>22856.385999999999</v>
      </c>
      <c r="G26" s="1531">
        <v>989266.15899999999</v>
      </c>
    </row>
    <row r="27" spans="1:11" s="1521" customFormat="1" ht="23.45" customHeight="1">
      <c r="A27" s="296">
        <v>2022.04</v>
      </c>
      <c r="B27" s="1497">
        <v>122225.262</v>
      </c>
      <c r="C27" s="1488">
        <v>4364483.1849999996</v>
      </c>
      <c r="D27" s="1488">
        <v>4486708.4469999997</v>
      </c>
      <c r="E27" s="1488">
        <v>5858.3779999999997</v>
      </c>
      <c r="F27" s="1488">
        <v>19294.187000000002</v>
      </c>
      <c r="G27" s="1531">
        <v>756573.74399999995</v>
      </c>
    </row>
    <row r="28" spans="1:11" s="1521" customFormat="1" ht="23.45" customHeight="1">
      <c r="A28" s="296">
        <v>2022.05</v>
      </c>
      <c r="B28" s="1497">
        <v>83124.354999999996</v>
      </c>
      <c r="C28" s="1488">
        <v>4711464.6359999999</v>
      </c>
      <c r="D28" s="1488">
        <v>4794588.9910000004</v>
      </c>
      <c r="E28" s="1488">
        <v>3172</v>
      </c>
      <c r="F28" s="1488">
        <v>18610.641</v>
      </c>
      <c r="G28" s="1531">
        <v>794519.04799999995</v>
      </c>
    </row>
    <row r="29" spans="1:11" s="1521" customFormat="1" ht="23.45" customHeight="1">
      <c r="A29" s="296">
        <v>2022.06</v>
      </c>
      <c r="B29" s="1497">
        <v>79253.817999999999</v>
      </c>
      <c r="C29" s="1488">
        <v>5450693.7819999997</v>
      </c>
      <c r="D29" s="1488">
        <v>5529947.5999999996</v>
      </c>
      <c r="E29" s="1488">
        <v>3227.576</v>
      </c>
      <c r="F29" s="1488">
        <v>22320.993999999999</v>
      </c>
      <c r="G29" s="1531">
        <v>868749.12399999995</v>
      </c>
    </row>
    <row r="30" spans="1:11" s="1521" customFormat="1" ht="23.45" customHeight="1">
      <c r="A30" s="296">
        <v>2022.07</v>
      </c>
      <c r="B30" s="1497">
        <v>136337.86199999999</v>
      </c>
      <c r="C30" s="1488">
        <v>6860856.5659999996</v>
      </c>
      <c r="D30" s="1488">
        <v>6997194.4280000003</v>
      </c>
      <c r="E30" s="1488">
        <v>3551.4389999999999</v>
      </c>
      <c r="F30" s="1488">
        <v>19681.495999999999</v>
      </c>
      <c r="G30" s="1531">
        <v>1006706.765</v>
      </c>
    </row>
    <row r="31" spans="1:11" s="1521" customFormat="1" ht="23.45" customHeight="1">
      <c r="A31" s="296">
        <v>2022.08</v>
      </c>
      <c r="B31" s="1497">
        <v>132510.94099999999</v>
      </c>
      <c r="C31" s="1488">
        <v>6496235.9529999997</v>
      </c>
      <c r="D31" s="1488">
        <v>6628746.8940000003</v>
      </c>
      <c r="E31" s="1488">
        <v>3578.2109999999998</v>
      </c>
      <c r="F31" s="1488">
        <v>22572.74</v>
      </c>
      <c r="G31" s="1531">
        <v>843977.35800000001</v>
      </c>
    </row>
    <row r="32" spans="1:11" s="1521" customFormat="1" ht="23.45" customHeight="1">
      <c r="A32" s="296">
        <v>2022.09</v>
      </c>
      <c r="B32" s="1549">
        <v>62063.605000000003</v>
      </c>
      <c r="C32" s="1488">
        <v>5365314.9620000003</v>
      </c>
      <c r="D32" s="1488">
        <v>5427378.5669999998</v>
      </c>
      <c r="E32" s="1488">
        <v>1406.88</v>
      </c>
      <c r="F32" s="1488">
        <v>19917.231</v>
      </c>
      <c r="G32" s="1531">
        <v>793102.73699999996</v>
      </c>
    </row>
    <row r="33" spans="1:7" s="1521" customFormat="1" ht="23.45" customHeight="1">
      <c r="A33" s="1550">
        <v>2022.1</v>
      </c>
      <c r="B33" s="1510">
        <v>84672.601999999999</v>
      </c>
      <c r="C33" s="1551">
        <v>4703763.8109999998</v>
      </c>
      <c r="D33" s="1551">
        <v>4788436.4129999997</v>
      </c>
      <c r="E33" s="1551">
        <v>2916.51</v>
      </c>
      <c r="F33" s="1551">
        <v>22127.952000000001</v>
      </c>
      <c r="G33" s="1552">
        <v>850260.94</v>
      </c>
    </row>
    <row r="34" spans="1:7" s="1521" customFormat="1" ht="23.45" customHeight="1">
      <c r="A34" s="1550">
        <v>2022.11</v>
      </c>
      <c r="B34" s="1553">
        <v>62596.22</v>
      </c>
      <c r="C34" s="1551">
        <v>4809523.909</v>
      </c>
      <c r="D34" s="1551">
        <v>4872120.1289999997</v>
      </c>
      <c r="E34" s="1551">
        <v>2149.9540000000002</v>
      </c>
      <c r="F34" s="1551">
        <v>22302.486000000001</v>
      </c>
      <c r="G34" s="1552">
        <v>861175.68700000003</v>
      </c>
    </row>
    <row r="35" spans="1:7" s="1548" customFormat="1" ht="23.45" customHeight="1">
      <c r="A35" s="1554">
        <v>2022.12</v>
      </c>
      <c r="B35" s="1555">
        <v>122067.196</v>
      </c>
      <c r="C35" s="1556">
        <v>6181335.8119999999</v>
      </c>
      <c r="D35" s="1556">
        <v>6303403.0080000004</v>
      </c>
      <c r="E35" s="1556">
        <v>3004.1579999999999</v>
      </c>
      <c r="F35" s="1556">
        <v>24615.365000000002</v>
      </c>
      <c r="G35" s="1557">
        <v>1170817.1569999999</v>
      </c>
    </row>
    <row r="36" spans="1:7" s="297" customFormat="1" ht="3" customHeight="1">
      <c r="A36" s="631"/>
      <c r="B36" s="631"/>
      <c r="C36" s="631"/>
      <c r="D36" s="631"/>
      <c r="E36" s="631"/>
      <c r="F36" s="631"/>
      <c r="G36" s="1280"/>
    </row>
    <row r="37" spans="1:7" ht="12" customHeight="1">
      <c r="A37" s="305" t="s">
        <v>949</v>
      </c>
      <c r="B37" s="631"/>
      <c r="C37" s="631"/>
      <c r="D37" s="631"/>
      <c r="E37" s="631"/>
      <c r="F37" s="631"/>
      <c r="G37" s="249"/>
    </row>
    <row r="38" spans="1:7" ht="12" customHeight="1">
      <c r="A38" s="305" t="s">
        <v>950</v>
      </c>
      <c r="B38" s="631"/>
      <c r="C38" s="631"/>
      <c r="D38" s="631"/>
      <c r="E38" s="631"/>
      <c r="F38" s="631"/>
      <c r="G38" s="249"/>
    </row>
    <row r="39" spans="1:7" ht="12" customHeight="1">
      <c r="A39" s="631" t="s">
        <v>951</v>
      </c>
      <c r="B39" s="631"/>
      <c r="C39" s="631"/>
      <c r="D39" s="631"/>
      <c r="E39" s="631"/>
      <c r="F39" s="631"/>
      <c r="G39" s="249"/>
    </row>
    <row r="40" spans="1:7" s="1524" customFormat="1" ht="12" customHeight="1">
      <c r="A40" s="1558"/>
      <c r="B40" s="983"/>
      <c r="C40" s="983"/>
      <c r="D40" s="983"/>
      <c r="E40" s="986"/>
      <c r="F40" s="983"/>
      <c r="G40" s="1559"/>
    </row>
    <row r="41" spans="1:7" s="1524" customFormat="1" ht="12" customHeight="1">
      <c r="A41" s="989"/>
      <c r="B41" s="260"/>
      <c r="C41" s="260"/>
      <c r="D41" s="260"/>
      <c r="E41" s="989"/>
      <c r="F41" s="260"/>
    </row>
    <row r="42" spans="1:7" s="1524" customFormat="1" ht="12" customHeight="1">
      <c r="A42" s="989"/>
      <c r="B42" s="260"/>
      <c r="C42" s="260"/>
      <c r="D42" s="260"/>
      <c r="E42" s="989"/>
      <c r="F42" s="260"/>
    </row>
    <row r="43" spans="1:7" s="1524" customFormat="1" ht="12" customHeight="1">
      <c r="A43" s="989"/>
      <c r="B43" s="260"/>
      <c r="C43" s="260"/>
      <c r="D43" s="260"/>
      <c r="E43" s="989"/>
      <c r="F43" s="260"/>
    </row>
  </sheetData>
  <mergeCells count="10">
    <mergeCell ref="G4:G9"/>
    <mergeCell ref="B7:B9"/>
    <mergeCell ref="C7:C9"/>
    <mergeCell ref="D7:D9"/>
    <mergeCell ref="A4:A9"/>
    <mergeCell ref="B4:B6"/>
    <mergeCell ref="C4:C6"/>
    <mergeCell ref="D4:D6"/>
    <mergeCell ref="E4:E9"/>
    <mergeCell ref="F4:F9"/>
  </mergeCells>
  <phoneticPr fontId="3" type="noConversion"/>
  <printOptions horizontalCentered="1"/>
  <pageMargins left="0.78740157480314965" right="0.78740157480314965" top="1.1811023622047245" bottom="0.78740157480314965" header="1.1811023622047245" footer="0"/>
  <pageSetup paperSize="9" scale="85" firstPageNumber="36" orientation="portrait" useFirstPageNumber="1" r:id="rId1"/>
  <headerFooter differentOddEven="1" scaleWithDoc="0" alignWithMargins="0">
    <firstFooter>&amp;R&amp;P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48"/>
    <col min="3" max="3" width="6" style="1048" customWidth="1"/>
    <col min="4" max="4" width="7.125" style="1048" customWidth="1"/>
    <col min="5" max="5" width="19" style="1048" customWidth="1"/>
    <col min="6" max="6" width="33.75" style="1048" customWidth="1"/>
    <col min="7" max="16384" width="10" style="1048"/>
  </cols>
  <sheetData>
    <row r="1" spans="3:6" ht="206.25" customHeight="1"/>
    <row r="2" spans="3:6" ht="7.5" customHeight="1">
      <c r="C2" s="242" t="s">
        <v>0</v>
      </c>
      <c r="D2" s="242" t="s">
        <v>0</v>
      </c>
      <c r="E2" s="243" t="s">
        <v>0</v>
      </c>
      <c r="F2" s="244" t="s">
        <v>0</v>
      </c>
    </row>
    <row r="3" spans="3:6" ht="8.25" customHeight="1"/>
    <row r="4" spans="3:6" ht="39">
      <c r="D4" s="245" t="s">
        <v>952</v>
      </c>
    </row>
    <row r="6" spans="3:6" ht="30" customHeight="1">
      <c r="E6" s="246" t="s">
        <v>953</v>
      </c>
    </row>
    <row r="7" spans="3:6" ht="9.9499999999999993" customHeight="1">
      <c r="E7" s="246"/>
    </row>
    <row r="8" spans="3:6" ht="30" customHeight="1">
      <c r="E8" s="246" t="s">
        <v>954</v>
      </c>
    </row>
    <row r="9" spans="3:6" ht="9.9499999999999993" customHeight="1">
      <c r="E9" s="247"/>
    </row>
    <row r="10" spans="3:6" ht="30" customHeight="1">
      <c r="E10" s="246" t="s">
        <v>955</v>
      </c>
    </row>
    <row r="11" spans="3:6" ht="9.9499999999999993" customHeight="1">
      <c r="E11" s="247"/>
    </row>
    <row r="12" spans="3:6" ht="30" customHeight="1">
      <c r="E12" s="246" t="s">
        <v>956</v>
      </c>
    </row>
    <row r="13" spans="3:6" ht="9.9499999999999993" customHeight="1">
      <c r="E13" s="247"/>
    </row>
    <row r="14" spans="3:6" ht="30" customHeight="1">
      <c r="E14" s="246" t="s">
        <v>957</v>
      </c>
    </row>
    <row r="15" spans="3:6" ht="9.9499999999999993" customHeight="1"/>
    <row r="16" spans="3:6" ht="30" customHeight="1"/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79" firstPageNumber="38" orientation="portrait" r:id="rId1"/>
  <headerFooter differentOddEven="1"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view="pageBreakPreview" zoomScale="85" zoomScaleNormal="100" zoomScaleSheetLayoutView="85" workbookViewId="0">
      <pane xSplit="4" ySplit="5" topLeftCell="E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3.75" style="12" customWidth="1"/>
    <col min="2" max="2" width="5.375" style="12" customWidth="1"/>
    <col min="3" max="3" width="6.75" style="12" customWidth="1"/>
    <col min="4" max="4" width="6.375" style="12" customWidth="1"/>
    <col min="5" max="8" width="9.875" style="12" customWidth="1"/>
    <col min="9" max="12" width="8.125" style="12" customWidth="1"/>
    <col min="13" max="16384" width="10" style="12"/>
  </cols>
  <sheetData>
    <row r="1" spans="1:25" s="249" customFormat="1" ht="20.25" customHeight="1">
      <c r="A1" s="1560" t="s">
        <v>958</v>
      </c>
      <c r="B1" s="1561"/>
      <c r="C1" s="1049"/>
      <c r="D1" s="1049"/>
      <c r="E1" s="1049"/>
      <c r="F1" s="250"/>
    </row>
    <row r="2" spans="1:25" ht="17.25" customHeight="1">
      <c r="A2" s="252" t="s">
        <v>959</v>
      </c>
      <c r="B2" s="250"/>
      <c r="C2" s="250"/>
      <c r="D2" s="250"/>
      <c r="E2" s="250"/>
      <c r="F2" s="250"/>
    </row>
    <row r="3" spans="1:25" ht="15" customHeight="1">
      <c r="A3" s="1562"/>
      <c r="B3" s="1562"/>
      <c r="C3" s="250"/>
      <c r="D3" s="250"/>
      <c r="E3" s="1563"/>
      <c r="F3" s="1563"/>
    </row>
    <row r="4" spans="1:25" ht="26.1" customHeight="1">
      <c r="A4" s="3036"/>
      <c r="B4" s="3037"/>
      <c r="C4" s="3038"/>
      <c r="D4" s="3042" t="s">
        <v>960</v>
      </c>
      <c r="E4" s="3043" t="s">
        <v>98</v>
      </c>
      <c r="F4" s="3044"/>
      <c r="G4" s="3045" t="s">
        <v>99</v>
      </c>
      <c r="H4" s="3046"/>
      <c r="I4" s="3047" t="s">
        <v>961</v>
      </c>
      <c r="J4" s="3048"/>
      <c r="K4" s="3049" t="s">
        <v>962</v>
      </c>
      <c r="L4" s="3048"/>
      <c r="N4" s="1564"/>
      <c r="O4" s="1564"/>
      <c r="P4" s="1564"/>
      <c r="Q4" s="1564"/>
      <c r="R4" s="1564"/>
      <c r="S4" s="1564"/>
      <c r="T4" s="1564"/>
      <c r="U4" s="1564"/>
      <c r="V4" s="1564"/>
      <c r="W4" s="1564"/>
      <c r="X4" s="1564"/>
      <c r="Y4" s="1564"/>
    </row>
    <row r="5" spans="1:25" ht="26.1" customHeight="1">
      <c r="A5" s="3039"/>
      <c r="B5" s="3040"/>
      <c r="C5" s="3041"/>
      <c r="D5" s="2871"/>
      <c r="E5" s="1565" t="s">
        <v>963</v>
      </c>
      <c r="F5" s="1566" t="s">
        <v>964</v>
      </c>
      <c r="G5" s="1567" t="str">
        <f>E5</f>
        <v>12월</v>
      </c>
      <c r="H5" s="1568" t="str">
        <f>F5</f>
        <v>1~12월</v>
      </c>
      <c r="I5" s="1567" t="str">
        <f>G5</f>
        <v>12월</v>
      </c>
      <c r="J5" s="1569" t="str">
        <f>H5</f>
        <v>1~12월</v>
      </c>
      <c r="K5" s="1567" t="str">
        <f>G5</f>
        <v>12월</v>
      </c>
      <c r="L5" s="1569" t="str">
        <f>H5</f>
        <v>1~12월</v>
      </c>
      <c r="N5" s="1564"/>
      <c r="O5" s="1564"/>
      <c r="P5" s="1564"/>
      <c r="Q5" s="1564"/>
      <c r="R5" s="1564"/>
      <c r="S5" s="1564"/>
      <c r="T5" s="1564"/>
      <c r="U5" s="1564"/>
      <c r="V5" s="1564"/>
      <c r="W5" s="1564"/>
      <c r="X5" s="1564"/>
      <c r="Y5" s="1564"/>
    </row>
    <row r="6" spans="1:25" ht="29.1" customHeight="1">
      <c r="A6" s="3032" t="s">
        <v>965</v>
      </c>
      <c r="B6" s="3018" t="s">
        <v>966</v>
      </c>
      <c r="C6" s="470" t="s">
        <v>967</v>
      </c>
      <c r="D6" s="1189" t="s">
        <v>968</v>
      </c>
      <c r="E6" s="1570">
        <v>33132580.274999999</v>
      </c>
      <c r="F6" s="1571">
        <v>338646518.171</v>
      </c>
      <c r="G6" s="1572">
        <v>32608322.984999999</v>
      </c>
      <c r="H6" s="1573">
        <v>353058215.741</v>
      </c>
      <c r="I6" s="1574">
        <v>-1.5823</v>
      </c>
      <c r="J6" s="1575">
        <v>4.2557</v>
      </c>
      <c r="K6" s="1576">
        <v>60.945099999999996</v>
      </c>
      <c r="L6" s="1577">
        <v>61.7791</v>
      </c>
      <c r="N6" s="1578"/>
      <c r="O6" s="1564"/>
      <c r="P6" s="1564"/>
      <c r="Q6" s="1564"/>
      <c r="R6" s="1564"/>
      <c r="S6" s="1564"/>
      <c r="T6" s="1564"/>
      <c r="U6" s="1564"/>
      <c r="V6" s="1564"/>
      <c r="W6" s="1564"/>
      <c r="X6" s="1564"/>
      <c r="Y6" s="1564"/>
    </row>
    <row r="7" spans="1:25" ht="29.1" customHeight="1">
      <c r="A7" s="3004"/>
      <c r="B7" s="3002"/>
      <c r="C7" s="1579" t="s">
        <v>969</v>
      </c>
      <c r="D7" s="1580" t="s">
        <v>970</v>
      </c>
      <c r="E7" s="1581">
        <v>17102230.173</v>
      </c>
      <c r="F7" s="1582">
        <v>197338972.09599999</v>
      </c>
      <c r="G7" s="1583">
        <v>19668221.234999999</v>
      </c>
      <c r="H7" s="1584">
        <v>197774043.06</v>
      </c>
      <c r="I7" s="1576">
        <v>15.0038</v>
      </c>
      <c r="J7" s="1585">
        <v>0.2205</v>
      </c>
      <c r="K7" s="1576">
        <v>36.76</v>
      </c>
      <c r="L7" s="1577">
        <v>34.607100000000003</v>
      </c>
      <c r="N7" s="1564"/>
      <c r="O7" s="1564"/>
      <c r="P7" s="1564"/>
      <c r="Q7" s="1564"/>
      <c r="R7" s="1564"/>
      <c r="S7" s="1564"/>
      <c r="T7" s="1564"/>
      <c r="U7" s="1564"/>
      <c r="V7" s="1564"/>
      <c r="W7" s="1564"/>
      <c r="X7" s="1564"/>
      <c r="Y7" s="1564"/>
    </row>
    <row r="8" spans="1:25" ht="29.1" customHeight="1">
      <c r="A8" s="3004"/>
      <c r="B8" s="3019"/>
      <c r="C8" s="1586" t="s">
        <v>971</v>
      </c>
      <c r="D8" s="1587" t="s">
        <v>970</v>
      </c>
      <c r="E8" s="1588">
        <v>50234810.447999999</v>
      </c>
      <c r="F8" s="1589">
        <v>535985490.26700002</v>
      </c>
      <c r="G8" s="1590">
        <v>52276544.219999999</v>
      </c>
      <c r="H8" s="1591">
        <v>550832258.801</v>
      </c>
      <c r="I8" s="1576">
        <v>4.0644</v>
      </c>
      <c r="J8" s="1585">
        <v>2.77</v>
      </c>
      <c r="K8" s="1576">
        <v>97.705100000000002</v>
      </c>
      <c r="L8" s="1577">
        <v>96.386200000000002</v>
      </c>
      <c r="N8" s="1564"/>
      <c r="O8" s="1041"/>
      <c r="P8" s="1041"/>
      <c r="Q8" s="1041"/>
      <c r="R8" s="1041"/>
      <c r="S8" s="1041"/>
      <c r="T8" s="1041"/>
      <c r="U8" s="1041"/>
      <c r="V8" s="1041"/>
      <c r="W8" s="1041"/>
      <c r="X8" s="1041"/>
      <c r="Y8" s="1564"/>
    </row>
    <row r="9" spans="1:25" ht="29.1" customHeight="1">
      <c r="A9" s="3004"/>
      <c r="B9" s="3020" t="s">
        <v>972</v>
      </c>
      <c r="C9" s="3021"/>
      <c r="D9" s="1580" t="s">
        <v>973</v>
      </c>
      <c r="E9" s="1592">
        <v>1147433.737</v>
      </c>
      <c r="F9" s="1593">
        <v>18211454.388999999</v>
      </c>
      <c r="G9" s="1594">
        <v>1227872.8019999999</v>
      </c>
      <c r="H9" s="1591">
        <v>20652571.719999999</v>
      </c>
      <c r="I9" s="1595">
        <v>7.0103</v>
      </c>
      <c r="J9" s="1596">
        <v>13.404299999999999</v>
      </c>
      <c r="K9" s="1595">
        <v>2.2949000000000002</v>
      </c>
      <c r="L9" s="1596">
        <v>3.6137999999999999</v>
      </c>
      <c r="N9" s="1564"/>
      <c r="O9" s="1597"/>
      <c r="P9" s="1597"/>
      <c r="Q9" s="1597"/>
      <c r="R9" s="1597"/>
      <c r="S9" s="1597"/>
      <c r="T9" s="1597"/>
      <c r="U9" s="1597"/>
      <c r="V9" s="1597"/>
      <c r="W9" s="1597"/>
      <c r="X9" s="1597"/>
      <c r="Y9" s="1564"/>
    </row>
    <row r="10" spans="1:25" ht="29.1" customHeight="1">
      <c r="A10" s="3033"/>
      <c r="B10" s="3022" t="s">
        <v>161</v>
      </c>
      <c r="C10" s="3022"/>
      <c r="D10" s="1598" t="s">
        <v>973</v>
      </c>
      <c r="E10" s="1599">
        <v>51382244.185000002</v>
      </c>
      <c r="F10" s="1600">
        <v>554196944.65600002</v>
      </c>
      <c r="G10" s="1601">
        <v>53504417.022</v>
      </c>
      <c r="H10" s="1602">
        <v>571484830.52100003</v>
      </c>
      <c r="I10" s="1595">
        <v>4.1302000000000003</v>
      </c>
      <c r="J10" s="1596">
        <v>3.1194000000000002</v>
      </c>
      <c r="K10" s="1603">
        <v>100</v>
      </c>
      <c r="L10" s="1604">
        <v>100</v>
      </c>
      <c r="N10" s="1578"/>
      <c r="O10" s="1597"/>
      <c r="P10" s="1597"/>
      <c r="Q10" s="1597"/>
      <c r="R10" s="1597"/>
      <c r="S10" s="1597"/>
      <c r="T10" s="1597"/>
      <c r="U10" s="1597"/>
      <c r="V10" s="1597"/>
      <c r="W10" s="1597"/>
      <c r="X10" s="1597"/>
      <c r="Y10" s="1564"/>
    </row>
    <row r="11" spans="1:25" ht="29.1" customHeight="1">
      <c r="A11" s="3032" t="s">
        <v>974</v>
      </c>
      <c r="B11" s="3018" t="s">
        <v>966</v>
      </c>
      <c r="C11" s="1605" t="s">
        <v>967</v>
      </c>
      <c r="D11" s="1606" t="s">
        <v>975</v>
      </c>
      <c r="E11" s="1607">
        <v>2987774.5350000001</v>
      </c>
      <c r="F11" s="1608">
        <v>27624949.822000001</v>
      </c>
      <c r="G11" s="1572">
        <v>3687703.4279999998</v>
      </c>
      <c r="H11" s="1573">
        <v>38212932.888999999</v>
      </c>
      <c r="I11" s="1609">
        <v>23.426400000000001</v>
      </c>
      <c r="J11" s="1610">
        <v>38.327599999999997</v>
      </c>
      <c r="K11" s="1611">
        <v>38.778100000000002</v>
      </c>
      <c r="L11" s="1610">
        <v>43.001899999999999</v>
      </c>
      <c r="N11" s="1564"/>
      <c r="O11" s="1564"/>
      <c r="P11" s="1564"/>
      <c r="Q11" s="1564"/>
      <c r="R11" s="1564"/>
      <c r="S11" s="1564"/>
      <c r="T11" s="1564"/>
      <c r="U11" s="1564"/>
      <c r="V11" s="1564"/>
      <c r="W11" s="1564"/>
      <c r="X11" s="1564"/>
      <c r="Y11" s="1564"/>
    </row>
    <row r="12" spans="1:25" ht="29.1" customHeight="1">
      <c r="A12" s="3034"/>
      <c r="B12" s="3002"/>
      <c r="C12" s="1579" t="s">
        <v>969</v>
      </c>
      <c r="D12" s="1580" t="s">
        <v>970</v>
      </c>
      <c r="E12" s="1581">
        <v>3270429.3730000001</v>
      </c>
      <c r="F12" s="1582">
        <v>23943886.901000001</v>
      </c>
      <c r="G12" s="1583">
        <v>5519187.8820000002</v>
      </c>
      <c r="H12" s="1584">
        <v>46466212.843000002</v>
      </c>
      <c r="I12" s="1576">
        <v>68.760300000000001</v>
      </c>
      <c r="J12" s="1585">
        <v>94.062899999999999</v>
      </c>
      <c r="K12" s="1576">
        <v>58.037100000000002</v>
      </c>
      <c r="L12" s="1585">
        <v>52.2896</v>
      </c>
      <c r="N12" s="1564"/>
      <c r="O12" s="1564"/>
      <c r="P12" s="1564"/>
      <c r="Q12" s="1564"/>
      <c r="R12" s="1564"/>
      <c r="S12" s="1564"/>
      <c r="T12" s="1564"/>
      <c r="U12" s="1564"/>
      <c r="V12" s="1564"/>
      <c r="W12" s="1564"/>
      <c r="X12" s="1564"/>
      <c r="Y12" s="1564"/>
    </row>
    <row r="13" spans="1:25" ht="29.1" customHeight="1">
      <c r="A13" s="3034"/>
      <c r="B13" s="3019"/>
      <c r="C13" s="1586" t="s">
        <v>971</v>
      </c>
      <c r="D13" s="1587" t="s">
        <v>976</v>
      </c>
      <c r="E13" s="1592">
        <v>6258203.9079999998</v>
      </c>
      <c r="F13" s="1593">
        <v>51568836.723999999</v>
      </c>
      <c r="G13" s="1594">
        <v>9206891.3100000005</v>
      </c>
      <c r="H13" s="1591">
        <v>84679145.732999995</v>
      </c>
      <c r="I13" s="1576">
        <v>47.117199999999997</v>
      </c>
      <c r="J13" s="1585">
        <v>64.206000000000003</v>
      </c>
      <c r="K13" s="1576">
        <v>96.815200000000004</v>
      </c>
      <c r="L13" s="1585">
        <v>95.291499999999999</v>
      </c>
      <c r="N13" s="1564"/>
      <c r="O13" s="1564"/>
      <c r="P13" s="1564"/>
      <c r="Q13" s="1564"/>
      <c r="R13" s="1564"/>
      <c r="S13" s="1564"/>
      <c r="T13" s="1564"/>
      <c r="U13" s="1564"/>
      <c r="V13" s="1564"/>
      <c r="W13" s="1564"/>
      <c r="X13" s="1564"/>
      <c r="Y13" s="1612"/>
    </row>
    <row r="14" spans="1:25" ht="29.1" customHeight="1">
      <c r="A14" s="3034"/>
      <c r="B14" s="3020" t="s">
        <v>972</v>
      </c>
      <c r="C14" s="3021"/>
      <c r="D14" s="1580" t="s">
        <v>973</v>
      </c>
      <c r="E14" s="1592">
        <v>180003.06700000001</v>
      </c>
      <c r="F14" s="1593">
        <v>1900426.8689999999</v>
      </c>
      <c r="G14" s="1594">
        <v>302864.19400000002</v>
      </c>
      <c r="H14" s="1591">
        <v>4184127.3470000001</v>
      </c>
      <c r="I14" s="1595">
        <v>68.254999999999995</v>
      </c>
      <c r="J14" s="1596">
        <v>120.1678</v>
      </c>
      <c r="K14" s="1595">
        <v>3.1848000000000001</v>
      </c>
      <c r="L14" s="1596">
        <v>4.7084999999999999</v>
      </c>
      <c r="N14" s="1564"/>
      <c r="O14" s="1564"/>
      <c r="P14" s="1564"/>
      <c r="Q14" s="1564"/>
      <c r="R14" s="1564"/>
      <c r="S14" s="1564"/>
      <c r="T14" s="1564"/>
      <c r="U14" s="1564"/>
      <c r="V14" s="1564"/>
      <c r="W14" s="1564"/>
      <c r="X14" s="1564"/>
      <c r="Y14" s="1564"/>
    </row>
    <row r="15" spans="1:25" ht="29.1" customHeight="1">
      <c r="A15" s="3035"/>
      <c r="B15" s="3022" t="s">
        <v>161</v>
      </c>
      <c r="C15" s="3022"/>
      <c r="D15" s="1598" t="s">
        <v>973</v>
      </c>
      <c r="E15" s="1599">
        <v>6438206.9749999996</v>
      </c>
      <c r="F15" s="1600">
        <v>53469263.593000002</v>
      </c>
      <c r="G15" s="1601">
        <v>9509755.5040000007</v>
      </c>
      <c r="H15" s="1602">
        <v>88863273.079999998</v>
      </c>
      <c r="I15" s="1595">
        <v>47.708100000000002</v>
      </c>
      <c r="J15" s="1596">
        <v>66.195099999999996</v>
      </c>
      <c r="K15" s="1603">
        <v>100</v>
      </c>
      <c r="L15" s="1604">
        <v>100</v>
      </c>
      <c r="N15" s="1564"/>
      <c r="O15" s="1564"/>
      <c r="P15" s="1564"/>
      <c r="Q15" s="1564"/>
      <c r="R15" s="1564"/>
      <c r="S15" s="1564"/>
      <c r="T15" s="1564"/>
      <c r="U15" s="1564"/>
      <c r="V15" s="1564"/>
      <c r="W15" s="1564"/>
      <c r="X15" s="1564"/>
      <c r="Y15" s="1564"/>
    </row>
    <row r="16" spans="1:25" ht="29.1" customHeight="1">
      <c r="A16" s="3015" t="s">
        <v>977</v>
      </c>
      <c r="B16" s="3018" t="s">
        <v>966</v>
      </c>
      <c r="C16" s="1605" t="s">
        <v>967</v>
      </c>
      <c r="D16" s="1606" t="s">
        <v>978</v>
      </c>
      <c r="E16" s="1613">
        <v>90.176000000000002</v>
      </c>
      <c r="F16" s="1614">
        <v>81.575000000000003</v>
      </c>
      <c r="G16" s="1615">
        <v>113.09099999999999</v>
      </c>
      <c r="H16" s="1616">
        <v>108.23399999999999</v>
      </c>
      <c r="I16" s="1617">
        <v>25.410799999999998</v>
      </c>
      <c r="J16" s="1618">
        <v>32.681100000000001</v>
      </c>
      <c r="K16" s="1576">
        <v>63.627899999999997</v>
      </c>
      <c r="L16" s="1577">
        <v>69.605999999999995</v>
      </c>
      <c r="N16" s="1564"/>
      <c r="O16" s="1564"/>
      <c r="P16" s="1564"/>
      <c r="Q16" s="1564"/>
      <c r="R16" s="1564"/>
      <c r="S16" s="1564"/>
      <c r="T16" s="1564"/>
      <c r="U16" s="1564"/>
      <c r="V16" s="1564"/>
      <c r="W16" s="1564"/>
      <c r="X16" s="1564"/>
      <c r="Y16" s="1564"/>
    </row>
    <row r="17" spans="1:25" ht="29.1" customHeight="1">
      <c r="A17" s="3016"/>
      <c r="B17" s="3002"/>
      <c r="C17" s="1579" t="s">
        <v>969</v>
      </c>
      <c r="D17" s="1580" t="s">
        <v>970</v>
      </c>
      <c r="E17" s="1619">
        <v>191.22800000000001</v>
      </c>
      <c r="F17" s="1620">
        <v>121.334</v>
      </c>
      <c r="G17" s="1621">
        <v>280.61399999999998</v>
      </c>
      <c r="H17" s="1622">
        <v>234.946</v>
      </c>
      <c r="I17" s="1623">
        <v>46.743200000000002</v>
      </c>
      <c r="J17" s="1624">
        <v>93.635999999999996</v>
      </c>
      <c r="K17" s="1576">
        <v>157.88120000000001</v>
      </c>
      <c r="L17" s="1577">
        <v>151.0951</v>
      </c>
      <c r="N17" s="1564"/>
      <c r="O17" s="1564"/>
      <c r="P17" s="1564"/>
      <c r="Q17" s="1564"/>
      <c r="R17" s="1564"/>
      <c r="S17" s="1564"/>
      <c r="T17" s="1564"/>
      <c r="U17" s="1564"/>
      <c r="V17" s="1564"/>
      <c r="W17" s="1564"/>
      <c r="X17" s="1564"/>
      <c r="Y17" s="1564"/>
    </row>
    <row r="18" spans="1:25" ht="29.1" customHeight="1">
      <c r="A18" s="3016"/>
      <c r="B18" s="3019"/>
      <c r="C18" s="1586" t="s">
        <v>971</v>
      </c>
      <c r="D18" s="1587" t="s">
        <v>970</v>
      </c>
      <c r="E18" s="1625">
        <v>124.57899999999999</v>
      </c>
      <c r="F18" s="1626">
        <v>96.212999999999994</v>
      </c>
      <c r="G18" s="1627">
        <v>176.119</v>
      </c>
      <c r="H18" s="1628">
        <v>153.72900000000001</v>
      </c>
      <c r="I18" s="1576">
        <v>41.371299999999998</v>
      </c>
      <c r="J18" s="1585">
        <v>59.780099999999997</v>
      </c>
      <c r="K18" s="1576">
        <v>99.089200000000005</v>
      </c>
      <c r="L18" s="1577">
        <v>98.8643</v>
      </c>
      <c r="N18" s="1564"/>
      <c r="O18" s="1564"/>
      <c r="P18" s="1564"/>
      <c r="Q18" s="1564"/>
      <c r="R18" s="1564"/>
      <c r="S18" s="1564"/>
      <c r="T18" s="1564"/>
      <c r="U18" s="1564"/>
      <c r="V18" s="1564"/>
      <c r="W18" s="1564"/>
      <c r="X18" s="1564"/>
      <c r="Y18" s="1564"/>
    </row>
    <row r="19" spans="1:25" ht="29.1" customHeight="1">
      <c r="A19" s="3016"/>
      <c r="B19" s="3020" t="s">
        <v>972</v>
      </c>
      <c r="C19" s="3021"/>
      <c r="D19" s="1580" t="s">
        <v>973</v>
      </c>
      <c r="E19" s="1619">
        <v>156.874</v>
      </c>
      <c r="F19" s="1620">
        <v>104.35299999999999</v>
      </c>
      <c r="G19" s="1627">
        <v>246.65799999999999</v>
      </c>
      <c r="H19" s="1622">
        <v>202.596</v>
      </c>
      <c r="I19" s="1595">
        <v>57.232500000000002</v>
      </c>
      <c r="J19" s="1596">
        <v>94.144099999999995</v>
      </c>
      <c r="K19" s="1595">
        <v>138.77619999999999</v>
      </c>
      <c r="L19" s="1596">
        <v>130.29060000000001</v>
      </c>
      <c r="N19" s="1564"/>
      <c r="O19" s="1564"/>
      <c r="P19" s="1564"/>
      <c r="Q19" s="1564"/>
      <c r="R19" s="1564"/>
      <c r="S19" s="1564"/>
      <c r="T19" s="1564"/>
      <c r="U19" s="1564"/>
      <c r="V19" s="1564"/>
      <c r="W19" s="1564"/>
      <c r="X19" s="1564"/>
      <c r="Y19" s="1564"/>
    </row>
    <row r="20" spans="1:25" ht="29.1" customHeight="1">
      <c r="A20" s="3017"/>
      <c r="B20" s="3022" t="s">
        <v>979</v>
      </c>
      <c r="C20" s="3023"/>
      <c r="D20" s="1598" t="s">
        <v>973</v>
      </c>
      <c r="E20" s="1629">
        <v>125.3</v>
      </c>
      <c r="F20" s="1630">
        <v>96.480999999999995</v>
      </c>
      <c r="G20" s="1631">
        <v>177.738</v>
      </c>
      <c r="H20" s="1632">
        <v>155.495</v>
      </c>
      <c r="I20" s="1595">
        <v>41.849499999999999</v>
      </c>
      <c r="J20" s="1596">
        <v>61.167499999999997</v>
      </c>
      <c r="K20" s="1603">
        <v>100</v>
      </c>
      <c r="L20" s="1604">
        <v>100</v>
      </c>
    </row>
    <row r="21" spans="1:25" ht="29.1" customHeight="1">
      <c r="A21" s="3024" t="s">
        <v>980</v>
      </c>
      <c r="B21" s="3025"/>
      <c r="C21" s="1633" t="s">
        <v>981</v>
      </c>
      <c r="D21" s="1634" t="s">
        <v>973</v>
      </c>
      <c r="E21" s="1635">
        <v>142.81100000000001</v>
      </c>
      <c r="F21" s="1636">
        <v>94.34</v>
      </c>
      <c r="G21" s="1637">
        <v>267.63099999999997</v>
      </c>
      <c r="H21" s="1638">
        <v>196.65100000000001</v>
      </c>
      <c r="I21" s="1639">
        <v>87.401600000000002</v>
      </c>
      <c r="J21" s="1640">
        <v>108.4492</v>
      </c>
      <c r="K21" s="1641">
        <v>0</v>
      </c>
      <c r="L21" s="1642">
        <v>0</v>
      </c>
    </row>
    <row r="22" spans="1:25" ht="6.95" customHeight="1">
      <c r="A22" s="1643"/>
      <c r="B22" s="1644"/>
      <c r="C22" s="1643"/>
      <c r="D22" s="1643"/>
      <c r="E22" s="1645"/>
      <c r="F22" s="1645"/>
      <c r="G22" s="1646"/>
      <c r="H22" s="1646"/>
      <c r="I22" s="1647"/>
      <c r="J22" s="1647"/>
      <c r="K22" s="1648"/>
      <c r="L22" s="1648"/>
    </row>
    <row r="23" spans="1:25" ht="27" customHeight="1">
      <c r="A23" s="3026" t="s">
        <v>982</v>
      </c>
      <c r="B23" s="3027"/>
      <c r="C23" s="1649" t="s">
        <v>983</v>
      </c>
      <c r="D23" s="1650" t="s">
        <v>984</v>
      </c>
      <c r="E23" s="1651" t="s">
        <v>985</v>
      </c>
      <c r="F23" s="1651" t="s">
        <v>986</v>
      </c>
      <c r="G23" s="1651" t="s">
        <v>987</v>
      </c>
      <c r="H23" s="1652" t="s">
        <v>988</v>
      </c>
      <c r="I23" s="1652" t="s">
        <v>989</v>
      </c>
      <c r="J23" s="1652" t="s">
        <v>990</v>
      </c>
      <c r="K23" s="1652" t="s">
        <v>991</v>
      </c>
      <c r="L23" s="1653" t="s">
        <v>992</v>
      </c>
    </row>
    <row r="24" spans="1:25" ht="29.1" customHeight="1">
      <c r="A24" s="3028"/>
      <c r="B24" s="3029"/>
      <c r="C24" s="1655" t="s">
        <v>993</v>
      </c>
      <c r="D24" s="1656">
        <v>50.547669999999997</v>
      </c>
      <c r="E24" s="1657">
        <v>162.92272</v>
      </c>
      <c r="F24" s="1658">
        <v>175.52385000000001</v>
      </c>
      <c r="G24" s="1657">
        <v>394.96728999999999</v>
      </c>
      <c r="H24" s="1657">
        <v>296.74432999999999</v>
      </c>
      <c r="I24" s="1657">
        <v>192.74377999999999</v>
      </c>
      <c r="J24" s="1657">
        <v>288.93106</v>
      </c>
      <c r="K24" s="1657">
        <v>195.48510999999999</v>
      </c>
      <c r="L24" s="1659">
        <v>184.41994</v>
      </c>
    </row>
    <row r="25" spans="1:25" ht="29.1" customHeight="1">
      <c r="A25" s="3030"/>
      <c r="B25" s="3031"/>
      <c r="C25" s="1660" t="s">
        <v>994</v>
      </c>
      <c r="D25" s="1661">
        <v>52.581380000000003</v>
      </c>
      <c r="E25" s="1662">
        <v>157.97447</v>
      </c>
      <c r="F25" s="1663">
        <v>202.71214000000001</v>
      </c>
      <c r="G25" s="1662">
        <v>304.02282000000002</v>
      </c>
      <c r="H25" s="1662">
        <v>240.49208999999999</v>
      </c>
      <c r="I25" s="1662">
        <v>210.73310000000001</v>
      </c>
      <c r="J25" s="1662">
        <v>277.83515</v>
      </c>
      <c r="K25" s="1662">
        <v>199.86398</v>
      </c>
      <c r="L25" s="1664">
        <v>195.46428</v>
      </c>
    </row>
    <row r="26" spans="1:25" ht="5.0999999999999996" customHeight="1">
      <c r="A26" s="1665"/>
      <c r="B26" s="1665"/>
      <c r="C26" s="1666"/>
      <c r="D26" s="1666"/>
      <c r="E26" s="1667"/>
      <c r="F26" s="1667"/>
    </row>
    <row r="27" spans="1:25" ht="12.95" customHeight="1">
      <c r="A27" s="626" t="s">
        <v>995</v>
      </c>
      <c r="B27" s="626"/>
      <c r="C27" s="544"/>
      <c r="D27" s="544"/>
      <c r="E27" s="544"/>
      <c r="F27" s="1668"/>
      <c r="G27" s="576"/>
      <c r="H27" s="576"/>
      <c r="I27" s="576"/>
      <c r="J27" s="576"/>
      <c r="K27" s="576"/>
      <c r="L27" s="576"/>
    </row>
    <row r="28" spans="1:25" ht="12.95" customHeight="1">
      <c r="A28" s="626" t="s">
        <v>996</v>
      </c>
      <c r="B28" s="626"/>
      <c r="C28" s="626"/>
      <c r="D28" s="626"/>
      <c r="E28" s="626"/>
      <c r="F28" s="626"/>
      <c r="G28" s="576"/>
      <c r="H28" s="576"/>
      <c r="I28" s="576"/>
      <c r="J28" s="576"/>
      <c r="K28" s="576"/>
      <c r="L28" s="576"/>
    </row>
    <row r="29" spans="1:25" ht="12.95" customHeight="1">
      <c r="A29" s="3013" t="s">
        <v>997</v>
      </c>
      <c r="B29" s="3013"/>
      <c r="C29" s="3013"/>
      <c r="D29" s="3013"/>
      <c r="E29" s="3013"/>
      <c r="F29" s="3013"/>
      <c r="G29" s="3013"/>
      <c r="H29" s="3013"/>
      <c r="I29" s="3013"/>
      <c r="J29" s="3013"/>
      <c r="K29" s="3014"/>
      <c r="L29" s="3014"/>
    </row>
    <row r="30" spans="1:25" ht="12.95" customHeight="1">
      <c r="A30" s="626" t="s">
        <v>998</v>
      </c>
      <c r="B30" s="576"/>
      <c r="C30" s="626"/>
      <c r="D30" s="626"/>
      <c r="E30" s="626"/>
      <c r="F30" s="626"/>
      <c r="G30" s="576"/>
      <c r="H30" s="576"/>
      <c r="I30" s="576"/>
      <c r="J30" s="576"/>
      <c r="K30" s="576"/>
      <c r="L30" s="576"/>
    </row>
    <row r="31" spans="1:25" ht="12.95" customHeight="1">
      <c r="A31" s="626" t="s">
        <v>999</v>
      </c>
      <c r="B31" s="626"/>
      <c r="C31" s="626"/>
      <c r="D31" s="626"/>
      <c r="E31" s="626"/>
      <c r="F31" s="626"/>
      <c r="G31" s="576"/>
      <c r="H31" s="576"/>
      <c r="I31" s="576"/>
      <c r="J31" s="576"/>
      <c r="K31" s="576"/>
      <c r="L31" s="626"/>
    </row>
    <row r="32" spans="1:25" ht="12.95" customHeight="1">
      <c r="A32" s="305" t="s">
        <v>1000</v>
      </c>
      <c r="B32" s="626"/>
      <c r="C32" s="626"/>
      <c r="D32" s="626"/>
      <c r="E32" s="626"/>
      <c r="F32" s="626"/>
      <c r="G32" s="576"/>
      <c r="H32" s="576"/>
      <c r="I32" s="576"/>
      <c r="J32" s="576"/>
      <c r="K32" s="576"/>
      <c r="L32" s="626"/>
    </row>
    <row r="33" spans="1:12" ht="12.95" customHeight="1">
      <c r="A33" s="305" t="s">
        <v>1001</v>
      </c>
      <c r="B33" s="626"/>
      <c r="C33" s="626"/>
      <c r="D33" s="626"/>
      <c r="E33" s="626"/>
      <c r="F33" s="626"/>
      <c r="G33" s="576"/>
      <c r="H33" s="576"/>
      <c r="I33" s="576"/>
      <c r="J33" s="576"/>
      <c r="K33" s="576"/>
      <c r="L33" s="576"/>
    </row>
    <row r="34" spans="1:12" ht="12" customHeight="1">
      <c r="A34" s="634"/>
      <c r="B34" s="1669"/>
      <c r="C34" s="1670"/>
      <c r="D34" s="1670"/>
      <c r="E34" s="1670"/>
      <c r="F34" s="1670"/>
    </row>
    <row r="36" spans="1:12">
      <c r="E36" s="1671"/>
    </row>
  </sheetData>
  <mergeCells count="21">
    <mergeCell ref="K4:L4"/>
    <mergeCell ref="A4:C5"/>
    <mergeCell ref="D4:D5"/>
    <mergeCell ref="E4:F4"/>
    <mergeCell ref="G4:H4"/>
    <mergeCell ref="I4:J4"/>
    <mergeCell ref="A6:A10"/>
    <mergeCell ref="B6:B8"/>
    <mergeCell ref="B9:C9"/>
    <mergeCell ref="B10:C10"/>
    <mergeCell ref="A11:A15"/>
    <mergeCell ref="B11:B13"/>
    <mergeCell ref="B14:C14"/>
    <mergeCell ref="B15:C15"/>
    <mergeCell ref="A29:L29"/>
    <mergeCell ref="A16:A20"/>
    <mergeCell ref="B16:B18"/>
    <mergeCell ref="B19:C19"/>
    <mergeCell ref="B20:C20"/>
    <mergeCell ref="A21:B21"/>
    <mergeCell ref="A23:B25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38" orientation="portrait" useFirstPageNumber="1" r:id="rId1"/>
  <headerFooter differentOddEven="1"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1"/>
  <sheetViews>
    <sheetView showGridLines="0" view="pageBreakPreview" zoomScale="70" zoomScaleNormal="100" zoomScaleSheetLayoutView="7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9.25" style="12" customWidth="1"/>
    <col min="2" max="11" width="8.625" style="12" customWidth="1"/>
    <col min="12" max="12" width="9.25" style="12" customWidth="1"/>
    <col min="13" max="22" width="8.625" style="12" customWidth="1"/>
    <col min="23" max="23" width="9.25" style="12" customWidth="1"/>
    <col min="24" max="33" width="8.625" style="12" customWidth="1"/>
    <col min="34" max="34" width="10" style="12"/>
    <col min="35" max="41" width="10" style="1672"/>
    <col min="42" max="16384" width="10" style="12"/>
  </cols>
  <sheetData>
    <row r="1" spans="1:42" ht="20.25" customHeight="1">
      <c r="A1" s="642" t="s">
        <v>1002</v>
      </c>
      <c r="L1" s="642" t="s">
        <v>1003</v>
      </c>
      <c r="W1" s="642" t="s">
        <v>1004</v>
      </c>
    </row>
    <row r="2" spans="1:42" s="252" customFormat="1" ht="17.25">
      <c r="A2" s="252" t="s">
        <v>1005</v>
      </c>
      <c r="L2" s="252" t="s">
        <v>1006</v>
      </c>
      <c r="W2" s="252" t="s">
        <v>1007</v>
      </c>
      <c r="AI2" s="1277"/>
      <c r="AJ2" s="1277"/>
      <c r="AK2" s="1277"/>
      <c r="AL2" s="1277"/>
      <c r="AM2" s="1277"/>
      <c r="AN2" s="1277"/>
      <c r="AO2" s="1277"/>
    </row>
    <row r="3" spans="1:42" s="249" customFormat="1" ht="15" customHeight="1">
      <c r="A3" s="305"/>
      <c r="B3" s="305"/>
      <c r="C3" s="305"/>
      <c r="D3" s="305"/>
      <c r="E3" s="305"/>
      <c r="F3" s="305"/>
      <c r="G3" s="1673"/>
      <c r="H3" s="1673"/>
      <c r="I3" s="1673"/>
      <c r="J3" s="1673"/>
      <c r="K3" s="1281" t="s">
        <v>1008</v>
      </c>
      <c r="L3" s="305"/>
      <c r="M3" s="305"/>
      <c r="N3" s="305"/>
      <c r="O3" s="305"/>
      <c r="P3" s="305"/>
      <c r="Q3" s="305"/>
      <c r="R3" s="1673"/>
      <c r="S3" s="1673"/>
      <c r="T3" s="1673"/>
      <c r="U3" s="1673"/>
      <c r="V3" s="1281" t="s">
        <v>1009</v>
      </c>
      <c r="W3" s="305"/>
      <c r="X3" s="305"/>
      <c r="Y3" s="305"/>
      <c r="Z3" s="305"/>
      <c r="AA3" s="305"/>
      <c r="AB3" s="305"/>
      <c r="AC3" s="1673"/>
      <c r="AD3" s="1673"/>
      <c r="AE3" s="1673"/>
      <c r="AF3" s="1673"/>
      <c r="AG3" s="1281" t="s">
        <v>1010</v>
      </c>
      <c r="AI3" s="1274"/>
      <c r="AJ3" s="1274"/>
      <c r="AK3" s="1274"/>
      <c r="AL3" s="1274"/>
      <c r="AM3" s="1274"/>
      <c r="AN3" s="1274"/>
      <c r="AO3" s="1274"/>
    </row>
    <row r="4" spans="1:42" s="557" customFormat="1" ht="24" customHeight="1">
      <c r="A4" s="2881" t="s">
        <v>1011</v>
      </c>
      <c r="B4" s="1674" t="s">
        <v>1012</v>
      </c>
      <c r="C4" s="555"/>
      <c r="D4" s="555"/>
      <c r="E4" s="555"/>
      <c r="F4" s="555"/>
      <c r="G4" s="1675"/>
      <c r="H4" s="555"/>
      <c r="I4" s="555"/>
      <c r="J4" s="555"/>
      <c r="K4" s="556"/>
      <c r="L4" s="2881" t="s">
        <v>1011</v>
      </c>
      <c r="M4" s="1674" t="s">
        <v>1013</v>
      </c>
      <c r="N4" s="555"/>
      <c r="O4" s="555"/>
      <c r="P4" s="555"/>
      <c r="Q4" s="555"/>
      <c r="R4" s="1675"/>
      <c r="S4" s="555"/>
      <c r="T4" s="555"/>
      <c r="U4" s="555"/>
      <c r="V4" s="556"/>
      <c r="W4" s="2881" t="s">
        <v>1011</v>
      </c>
      <c r="X4" s="1674" t="s">
        <v>1014</v>
      </c>
      <c r="Y4" s="555"/>
      <c r="Z4" s="555"/>
      <c r="AA4" s="555"/>
      <c r="AB4" s="555"/>
      <c r="AC4" s="1675"/>
      <c r="AD4" s="555"/>
      <c r="AE4" s="555"/>
      <c r="AF4" s="555"/>
      <c r="AG4" s="556"/>
      <c r="AI4" s="3051"/>
      <c r="AJ4" s="3051"/>
      <c r="AK4" s="3051"/>
      <c r="AL4" s="3051"/>
      <c r="AM4" s="3051"/>
      <c r="AN4" s="3051"/>
      <c r="AO4" s="3051"/>
      <c r="AP4" s="3051"/>
    </row>
    <row r="5" spans="1:42" s="565" customFormat="1" ht="24" customHeight="1">
      <c r="A5" s="2883"/>
      <c r="B5" s="1676" t="s">
        <v>117</v>
      </c>
      <c r="C5" s="261" t="s">
        <v>127</v>
      </c>
      <c r="D5" s="261" t="s">
        <v>128</v>
      </c>
      <c r="E5" s="261" t="s">
        <v>120</v>
      </c>
      <c r="F5" s="261" t="s">
        <v>129</v>
      </c>
      <c r="G5" s="261" t="s">
        <v>130</v>
      </c>
      <c r="H5" s="561" t="s">
        <v>131</v>
      </c>
      <c r="I5" s="561" t="s">
        <v>471</v>
      </c>
      <c r="J5" s="561" t="s">
        <v>132</v>
      </c>
      <c r="K5" s="559" t="s">
        <v>1015</v>
      </c>
      <c r="L5" s="2883"/>
      <c r="M5" s="1676" t="s">
        <v>117</v>
      </c>
      <c r="N5" s="261" t="s">
        <v>127</v>
      </c>
      <c r="O5" s="261" t="s">
        <v>128</v>
      </c>
      <c r="P5" s="261" t="s">
        <v>120</v>
      </c>
      <c r="Q5" s="261" t="s">
        <v>129</v>
      </c>
      <c r="R5" s="261" t="s">
        <v>130</v>
      </c>
      <c r="S5" s="561" t="s">
        <v>131</v>
      </c>
      <c r="T5" s="561" t="s">
        <v>1016</v>
      </c>
      <c r="U5" s="561" t="s">
        <v>132</v>
      </c>
      <c r="V5" s="559" t="s">
        <v>1015</v>
      </c>
      <c r="W5" s="2883"/>
      <c r="X5" s="1676" t="s">
        <v>117</v>
      </c>
      <c r="Y5" s="261" t="s">
        <v>127</v>
      </c>
      <c r="Z5" s="261" t="s">
        <v>128</v>
      </c>
      <c r="AA5" s="261" t="s">
        <v>120</v>
      </c>
      <c r="AB5" s="261" t="s">
        <v>129</v>
      </c>
      <c r="AC5" s="261" t="s">
        <v>130</v>
      </c>
      <c r="AD5" s="561" t="s">
        <v>131</v>
      </c>
      <c r="AE5" s="561" t="s">
        <v>1016</v>
      </c>
      <c r="AF5" s="561" t="s">
        <v>132</v>
      </c>
      <c r="AG5" s="559" t="s">
        <v>1017</v>
      </c>
    </row>
    <row r="6" spans="1:42" s="543" customFormat="1" ht="29.1" customHeight="1">
      <c r="A6" s="1677">
        <v>2016</v>
      </c>
      <c r="B6" s="1678">
        <v>154175.351</v>
      </c>
      <c r="C6" s="1679">
        <v>199505.446</v>
      </c>
      <c r="D6" s="1679">
        <v>7070.5649999999996</v>
      </c>
      <c r="E6" s="1679">
        <v>13261.748</v>
      </c>
      <c r="F6" s="1679">
        <v>111709.749</v>
      </c>
      <c r="G6" s="1679">
        <v>2140.2199999999998</v>
      </c>
      <c r="H6" s="1679">
        <v>3616.837</v>
      </c>
      <c r="I6" s="1679">
        <v>17030.669999999998</v>
      </c>
      <c r="J6" s="1679">
        <v>368.30799999999999</v>
      </c>
      <c r="K6" s="1680">
        <v>508878.89199999999</v>
      </c>
      <c r="L6" s="1677">
        <v>2016</v>
      </c>
      <c r="M6" s="1678">
        <v>104891.766</v>
      </c>
      <c r="N6" s="1679">
        <v>147321.59899999999</v>
      </c>
      <c r="O6" s="1679">
        <v>6262.6450000000004</v>
      </c>
      <c r="P6" s="1679">
        <v>14624.358</v>
      </c>
      <c r="Q6" s="1679">
        <v>111019.523</v>
      </c>
      <c r="R6" s="1679">
        <v>1862.1880000000001</v>
      </c>
      <c r="S6" s="1679">
        <v>3846.3719999999998</v>
      </c>
      <c r="T6" s="1679">
        <v>15024.112999999999</v>
      </c>
      <c r="U6" s="1679">
        <v>288.214</v>
      </c>
      <c r="V6" s="1680">
        <v>405140.77799999999</v>
      </c>
      <c r="W6" s="1677">
        <v>2016</v>
      </c>
      <c r="X6" s="1681">
        <v>68.034000000000006</v>
      </c>
      <c r="Y6" s="1682">
        <v>73.843000000000004</v>
      </c>
      <c r="Z6" s="1682">
        <v>88.572999999999993</v>
      </c>
      <c r="AA6" s="1682">
        <v>110.27500000000001</v>
      </c>
      <c r="AB6" s="1682">
        <v>99.382000000000005</v>
      </c>
      <c r="AC6" s="1682">
        <v>87.009</v>
      </c>
      <c r="AD6" s="1682">
        <v>106.346</v>
      </c>
      <c r="AE6" s="1682">
        <v>88.218000000000004</v>
      </c>
      <c r="AF6" s="1682">
        <v>78.254000000000005</v>
      </c>
      <c r="AG6" s="1683">
        <v>79.614000000000004</v>
      </c>
      <c r="AI6" s="1684"/>
      <c r="AJ6" s="1684"/>
      <c r="AK6" s="1684"/>
      <c r="AL6" s="1684"/>
      <c r="AM6" s="1684"/>
      <c r="AN6" s="1684"/>
      <c r="AO6" s="1684"/>
      <c r="AP6" s="1684"/>
    </row>
    <row r="7" spans="1:42" s="543" customFormat="1" ht="29.1" customHeight="1">
      <c r="A7" s="1677">
        <v>2017</v>
      </c>
      <c r="B7" s="1678">
        <v>141097.97399999999</v>
      </c>
      <c r="C7" s="1679">
        <v>224833.514</v>
      </c>
      <c r="D7" s="1679">
        <v>4014.3490000000002</v>
      </c>
      <c r="E7" s="1679">
        <v>5734.6469999999999</v>
      </c>
      <c r="F7" s="1679">
        <v>117540.00199999999</v>
      </c>
      <c r="G7" s="1679">
        <v>2254.7179999999998</v>
      </c>
      <c r="H7" s="1679">
        <v>4170.9650000000001</v>
      </c>
      <c r="I7" s="1679">
        <v>20028.436000000002</v>
      </c>
      <c r="J7" s="1679">
        <v>554.90200000000004</v>
      </c>
      <c r="K7" s="1680">
        <v>520229.50699999998</v>
      </c>
      <c r="L7" s="1677">
        <v>2017</v>
      </c>
      <c r="M7" s="1678">
        <v>85733.61</v>
      </c>
      <c r="N7" s="1679">
        <v>177549.27900000001</v>
      </c>
      <c r="O7" s="1679">
        <v>3849.4349999999999</v>
      </c>
      <c r="P7" s="1679">
        <v>9485.1710000000003</v>
      </c>
      <c r="Q7" s="1679">
        <v>131631.98300000001</v>
      </c>
      <c r="R7" s="1679">
        <v>2185.962</v>
      </c>
      <c r="S7" s="1679">
        <v>4502.9679999999998</v>
      </c>
      <c r="T7" s="1679">
        <v>18032.317999999999</v>
      </c>
      <c r="U7" s="1679">
        <v>455.01799999999997</v>
      </c>
      <c r="V7" s="1680">
        <v>433425.74300000002</v>
      </c>
      <c r="W7" s="1677">
        <v>2017</v>
      </c>
      <c r="X7" s="1681">
        <v>60.762</v>
      </c>
      <c r="Y7" s="1682">
        <v>78.968999999999994</v>
      </c>
      <c r="Z7" s="1682">
        <v>95.891999999999996</v>
      </c>
      <c r="AA7" s="1682">
        <v>165.40100000000001</v>
      </c>
      <c r="AB7" s="1682">
        <v>111.989</v>
      </c>
      <c r="AC7" s="1682">
        <v>96.950999999999993</v>
      </c>
      <c r="AD7" s="1682">
        <v>107.96</v>
      </c>
      <c r="AE7" s="1682">
        <v>90.034000000000006</v>
      </c>
      <c r="AF7" s="1682">
        <v>82</v>
      </c>
      <c r="AG7" s="1683">
        <v>83.313999999999993</v>
      </c>
      <c r="AI7" s="1684"/>
      <c r="AJ7" s="1684"/>
      <c r="AK7" s="1684"/>
      <c r="AL7" s="1684"/>
      <c r="AM7" s="1684"/>
      <c r="AN7" s="1684"/>
      <c r="AO7" s="1684"/>
      <c r="AP7" s="1684"/>
    </row>
    <row r="8" spans="1:42" s="543" customFormat="1" ht="29.1" customHeight="1">
      <c r="A8" s="1677">
        <v>2018</v>
      </c>
      <c r="B8" s="1678">
        <v>126882.561</v>
      </c>
      <c r="C8" s="1679">
        <v>226584.69</v>
      </c>
      <c r="D8" s="1679">
        <v>2419.502</v>
      </c>
      <c r="E8" s="1679">
        <v>6833.6310000000003</v>
      </c>
      <c r="F8" s="1679">
        <v>144039.383</v>
      </c>
      <c r="G8" s="1679">
        <v>2762.67</v>
      </c>
      <c r="H8" s="1679">
        <v>3891.7809999999999</v>
      </c>
      <c r="I8" s="1679">
        <v>22164.646000000001</v>
      </c>
      <c r="J8" s="1679">
        <v>708.58600000000001</v>
      </c>
      <c r="K8" s="1680">
        <v>536287.44999999995</v>
      </c>
      <c r="L8" s="1677">
        <v>2018</v>
      </c>
      <c r="M8" s="1678">
        <v>78893.08</v>
      </c>
      <c r="N8" s="1679">
        <v>187929.13200000001</v>
      </c>
      <c r="O8" s="1679">
        <v>2576.4949999999999</v>
      </c>
      <c r="P8" s="1679">
        <v>11847.549000000001</v>
      </c>
      <c r="Q8" s="1679">
        <v>174851.90599999999</v>
      </c>
      <c r="R8" s="1679">
        <v>3021.34</v>
      </c>
      <c r="S8" s="1679">
        <v>4896.1899999999996</v>
      </c>
      <c r="T8" s="1679">
        <v>21609.916000000001</v>
      </c>
      <c r="U8" s="1679">
        <v>681.98500000000001</v>
      </c>
      <c r="V8" s="1680">
        <v>486307.59299999999</v>
      </c>
      <c r="W8" s="1677">
        <v>2018</v>
      </c>
      <c r="X8" s="1681">
        <v>62.177999999999997</v>
      </c>
      <c r="Y8" s="1682">
        <v>82.94</v>
      </c>
      <c r="Z8" s="1682">
        <v>106.489</v>
      </c>
      <c r="AA8" s="1682">
        <v>173.37100000000001</v>
      </c>
      <c r="AB8" s="1682">
        <v>121.392</v>
      </c>
      <c r="AC8" s="1682">
        <v>109.363</v>
      </c>
      <c r="AD8" s="1682">
        <v>125.80800000000001</v>
      </c>
      <c r="AE8" s="1682">
        <v>97.497</v>
      </c>
      <c r="AF8" s="1682">
        <v>96.245999999999995</v>
      </c>
      <c r="AG8" s="1683">
        <v>90.68</v>
      </c>
      <c r="AI8" s="1684"/>
      <c r="AJ8" s="1684"/>
      <c r="AK8" s="1684"/>
      <c r="AL8" s="1684"/>
      <c r="AM8" s="1684"/>
      <c r="AN8" s="1684"/>
      <c r="AO8" s="1684"/>
      <c r="AP8" s="1684"/>
    </row>
    <row r="9" spans="1:42" s="543" customFormat="1" ht="29.1" customHeight="1">
      <c r="A9" s="1677">
        <v>2019</v>
      </c>
      <c r="B9" s="1678">
        <v>138607.255</v>
      </c>
      <c r="C9" s="1679">
        <v>215011.742</v>
      </c>
      <c r="D9" s="1679">
        <v>2330.5010000000002</v>
      </c>
      <c r="E9" s="1679">
        <v>4010.6759999999999</v>
      </c>
      <c r="F9" s="1679">
        <v>138654.98300000001</v>
      </c>
      <c r="G9" s="1679">
        <v>2192.77</v>
      </c>
      <c r="H9" s="1679">
        <v>3444.24</v>
      </c>
      <c r="I9" s="1679">
        <v>22575.079000000002</v>
      </c>
      <c r="J9" s="1679">
        <v>2247.3530000000001</v>
      </c>
      <c r="K9" s="1680">
        <v>529074.59900000005</v>
      </c>
      <c r="L9" s="1677">
        <v>2019</v>
      </c>
      <c r="M9" s="1678">
        <v>80937.55</v>
      </c>
      <c r="N9" s="1679">
        <v>188076.71299999999</v>
      </c>
      <c r="O9" s="1679">
        <v>2396.9569999999999</v>
      </c>
      <c r="P9" s="1679">
        <v>9175.9490000000005</v>
      </c>
      <c r="Q9" s="1679">
        <v>165184.783</v>
      </c>
      <c r="R9" s="1679">
        <v>2364.386</v>
      </c>
      <c r="S9" s="1679">
        <v>4188.9290000000001</v>
      </c>
      <c r="T9" s="1679">
        <v>22416.960999999999</v>
      </c>
      <c r="U9" s="1679">
        <v>2112.723</v>
      </c>
      <c r="V9" s="1680">
        <v>476854.951</v>
      </c>
      <c r="W9" s="1677">
        <v>2019</v>
      </c>
      <c r="X9" s="1681">
        <v>58.393000000000001</v>
      </c>
      <c r="Y9" s="1682">
        <v>87.472999999999999</v>
      </c>
      <c r="Z9" s="1682">
        <v>102.852</v>
      </c>
      <c r="AA9" s="1682">
        <v>228.78800000000001</v>
      </c>
      <c r="AB9" s="1682">
        <v>119.134</v>
      </c>
      <c r="AC9" s="1682">
        <v>107.82599999999999</v>
      </c>
      <c r="AD9" s="1682">
        <v>121.621</v>
      </c>
      <c r="AE9" s="1682">
        <v>99.3</v>
      </c>
      <c r="AF9" s="1682">
        <v>94.009</v>
      </c>
      <c r="AG9" s="1683">
        <v>90.13</v>
      </c>
      <c r="AI9" s="1684"/>
      <c r="AJ9" s="1684"/>
      <c r="AK9" s="1684"/>
      <c r="AL9" s="1684"/>
      <c r="AM9" s="1684"/>
      <c r="AN9" s="1684"/>
      <c r="AO9" s="1684"/>
      <c r="AP9" s="1684"/>
    </row>
    <row r="10" spans="1:42" s="543" customFormat="1" ht="29.1" customHeight="1">
      <c r="A10" s="1685">
        <v>2020</v>
      </c>
      <c r="B10" s="1678">
        <v>152319.09599999999</v>
      </c>
      <c r="C10" s="1679">
        <v>185178.32199999999</v>
      </c>
      <c r="D10" s="1679">
        <v>1875.6949999999999</v>
      </c>
      <c r="E10" s="1679">
        <v>2184.0169999999998</v>
      </c>
      <c r="F10" s="1679">
        <v>140783.81400000001</v>
      </c>
      <c r="G10" s="1679">
        <v>3155.8580000000002</v>
      </c>
      <c r="H10" s="1679">
        <v>3256.7660000000001</v>
      </c>
      <c r="I10" s="1679">
        <v>19179.383000000002</v>
      </c>
      <c r="J10" s="1679">
        <v>7174.1670000000004</v>
      </c>
      <c r="K10" s="1680">
        <v>515107.11800000002</v>
      </c>
      <c r="L10" s="1685">
        <f t="shared" ref="L10:L26" si="0">A10</f>
        <v>2020</v>
      </c>
      <c r="M10" s="1678">
        <v>90917.53</v>
      </c>
      <c r="N10" s="1679">
        <v>152093.78899999999</v>
      </c>
      <c r="O10" s="1679">
        <v>1528.213</v>
      </c>
      <c r="P10" s="1679">
        <v>4217.7309999999998</v>
      </c>
      <c r="Q10" s="1679">
        <v>139134.60399999999</v>
      </c>
      <c r="R10" s="1679">
        <v>2578.9830000000002</v>
      </c>
      <c r="S10" s="1679">
        <v>3682.433</v>
      </c>
      <c r="T10" s="1679">
        <v>15390.189</v>
      </c>
      <c r="U10" s="1679">
        <v>6065.5559999999996</v>
      </c>
      <c r="V10" s="1680">
        <v>415609.02899999998</v>
      </c>
      <c r="W10" s="1685">
        <f t="shared" ref="W10:W11" si="1">A10</f>
        <v>2020</v>
      </c>
      <c r="X10" s="1681">
        <v>59.689</v>
      </c>
      <c r="Y10" s="1682">
        <v>82.134</v>
      </c>
      <c r="Z10" s="1682">
        <v>81.474999999999994</v>
      </c>
      <c r="AA10" s="1682">
        <v>193.11799999999999</v>
      </c>
      <c r="AB10" s="1682">
        <v>98.828999999999994</v>
      </c>
      <c r="AC10" s="1682">
        <v>81.721000000000004</v>
      </c>
      <c r="AD10" s="1682">
        <v>113.07</v>
      </c>
      <c r="AE10" s="1682">
        <v>80.242999999999995</v>
      </c>
      <c r="AF10" s="1682">
        <v>84.546999999999997</v>
      </c>
      <c r="AG10" s="1683">
        <v>80.683999999999997</v>
      </c>
      <c r="AI10" s="1684"/>
      <c r="AJ10" s="1684"/>
      <c r="AK10" s="1684"/>
      <c r="AL10" s="1684"/>
      <c r="AM10" s="1684"/>
      <c r="AN10" s="1684"/>
      <c r="AO10" s="1684"/>
      <c r="AP10" s="1684"/>
    </row>
    <row r="11" spans="1:42" s="1693" customFormat="1" ht="29.1" customHeight="1">
      <c r="A11" s="1686">
        <v>2021</v>
      </c>
      <c r="B11" s="1687">
        <v>150162.75399999999</v>
      </c>
      <c r="C11" s="1688">
        <v>186812.679</v>
      </c>
      <c r="D11" s="1688">
        <v>1653.6420000000001</v>
      </c>
      <c r="E11" s="1688">
        <v>2110.3629999999998</v>
      </c>
      <c r="F11" s="1688">
        <v>163078.533</v>
      </c>
      <c r="G11" s="1688">
        <v>2348.56</v>
      </c>
      <c r="H11" s="1688">
        <v>3666.7579999999998</v>
      </c>
      <c r="I11" s="1688">
        <v>23367.544999999998</v>
      </c>
      <c r="J11" s="1688">
        <v>2784.6559999999999</v>
      </c>
      <c r="K11" s="1689">
        <v>535985.49</v>
      </c>
      <c r="L11" s="1686">
        <f t="shared" si="0"/>
        <v>2021</v>
      </c>
      <c r="M11" s="1687">
        <v>84507.58</v>
      </c>
      <c r="N11" s="1688">
        <v>190008.97399999999</v>
      </c>
      <c r="O11" s="1688">
        <v>1718.4469999999999</v>
      </c>
      <c r="P11" s="1688">
        <v>4603.1660000000002</v>
      </c>
      <c r="Q11" s="1688">
        <v>199552.51699999999</v>
      </c>
      <c r="R11" s="1688">
        <v>2528.058</v>
      </c>
      <c r="S11" s="1688">
        <v>5147.4129999999996</v>
      </c>
      <c r="T11" s="1688">
        <v>24975.137999999999</v>
      </c>
      <c r="U11" s="1688">
        <v>2647.076</v>
      </c>
      <c r="V11" s="1689">
        <v>515688.36700000003</v>
      </c>
      <c r="W11" s="1686">
        <f t="shared" si="1"/>
        <v>2021</v>
      </c>
      <c r="X11" s="1690">
        <v>56.277000000000001</v>
      </c>
      <c r="Y11" s="1691">
        <v>101.711</v>
      </c>
      <c r="Z11" s="1691">
        <v>103.919</v>
      </c>
      <c r="AA11" s="1691">
        <v>218.12200000000001</v>
      </c>
      <c r="AB11" s="1691">
        <v>122.366</v>
      </c>
      <c r="AC11" s="1691">
        <v>107.643</v>
      </c>
      <c r="AD11" s="1691">
        <v>140.38</v>
      </c>
      <c r="AE11" s="1691">
        <v>106.88</v>
      </c>
      <c r="AF11" s="1691">
        <v>95.058999999999997</v>
      </c>
      <c r="AG11" s="1692">
        <v>96.212999999999994</v>
      </c>
      <c r="AI11" s="1694"/>
      <c r="AJ11" s="1694"/>
      <c r="AK11" s="1694"/>
      <c r="AL11" s="1694"/>
      <c r="AM11" s="1694"/>
      <c r="AN11" s="1694"/>
      <c r="AO11" s="1694"/>
      <c r="AP11" s="1694"/>
    </row>
    <row r="12" spans="1:42" s="543" customFormat="1" ht="29.1" customHeight="1">
      <c r="A12" s="1695" t="s">
        <v>795</v>
      </c>
      <c r="B12" s="1687">
        <v>150162.75399999999</v>
      </c>
      <c r="C12" s="1688">
        <v>186812.679</v>
      </c>
      <c r="D12" s="1688">
        <v>1653.6420000000001</v>
      </c>
      <c r="E12" s="1688">
        <v>2110.3629999999998</v>
      </c>
      <c r="F12" s="1688">
        <v>163078.533</v>
      </c>
      <c r="G12" s="1688">
        <v>2348.56</v>
      </c>
      <c r="H12" s="1688">
        <v>3666.7579999999998</v>
      </c>
      <c r="I12" s="1688">
        <v>23367.544999999998</v>
      </c>
      <c r="J12" s="1688">
        <v>2784.6559999999999</v>
      </c>
      <c r="K12" s="1689">
        <v>535985.49</v>
      </c>
      <c r="L12" s="1696" t="str">
        <f t="shared" si="0"/>
        <v>2021.01~12</v>
      </c>
      <c r="M12" s="1687">
        <v>84507.58</v>
      </c>
      <c r="N12" s="1688">
        <v>190008.97399999999</v>
      </c>
      <c r="O12" s="1688">
        <v>1718.4469999999999</v>
      </c>
      <c r="P12" s="1688">
        <v>4603.1660000000002</v>
      </c>
      <c r="Q12" s="1688">
        <v>199552.51699999999</v>
      </c>
      <c r="R12" s="1688">
        <v>2528.058</v>
      </c>
      <c r="S12" s="1688">
        <v>5147.4129999999996</v>
      </c>
      <c r="T12" s="1688">
        <v>24975.137999999999</v>
      </c>
      <c r="U12" s="1688">
        <v>2647.076</v>
      </c>
      <c r="V12" s="1689">
        <v>515688.36700000003</v>
      </c>
      <c r="W12" s="1696" t="str">
        <f t="shared" ref="W12:W26" si="2">L12</f>
        <v>2021.01~12</v>
      </c>
      <c r="X12" s="1690">
        <v>56.277000000000001</v>
      </c>
      <c r="Y12" s="1691">
        <v>101.711</v>
      </c>
      <c r="Z12" s="1691">
        <v>103.919</v>
      </c>
      <c r="AA12" s="1691">
        <v>218.12200000000001</v>
      </c>
      <c r="AB12" s="1691">
        <v>122.366</v>
      </c>
      <c r="AC12" s="1691">
        <v>107.643</v>
      </c>
      <c r="AD12" s="1691">
        <v>140.38</v>
      </c>
      <c r="AE12" s="1691">
        <v>106.88</v>
      </c>
      <c r="AF12" s="1691">
        <v>95.058999999999997</v>
      </c>
      <c r="AG12" s="1692">
        <v>96.212999999999994</v>
      </c>
      <c r="AI12" s="1684"/>
      <c r="AJ12" s="1684"/>
      <c r="AK12" s="1684"/>
      <c r="AL12" s="1684"/>
      <c r="AM12" s="1684"/>
      <c r="AN12" s="1684"/>
      <c r="AO12" s="1684"/>
      <c r="AP12" s="1684"/>
    </row>
    <row r="13" spans="1:42" s="1698" customFormat="1" ht="29.1" customHeight="1">
      <c r="A13" s="1507">
        <v>2021.12</v>
      </c>
      <c r="B13" s="1678">
        <v>15738.062</v>
      </c>
      <c r="C13" s="1679">
        <v>17394.518</v>
      </c>
      <c r="D13" s="1679">
        <v>0</v>
      </c>
      <c r="E13" s="1679">
        <v>169.268</v>
      </c>
      <c r="F13" s="1679">
        <v>14087.517</v>
      </c>
      <c r="G13" s="1679">
        <v>134.959</v>
      </c>
      <c r="H13" s="1679">
        <v>337.22399999999999</v>
      </c>
      <c r="I13" s="1679">
        <v>2170.8679999999999</v>
      </c>
      <c r="J13" s="1679">
        <v>202.39400000000001</v>
      </c>
      <c r="K13" s="1680">
        <v>50234.81</v>
      </c>
      <c r="L13" s="1697">
        <f t="shared" si="0"/>
        <v>2021.12</v>
      </c>
      <c r="M13" s="1678">
        <v>7966.5870000000004</v>
      </c>
      <c r="N13" s="1679">
        <v>21893.328000000001</v>
      </c>
      <c r="O13" s="1679">
        <v>17.831</v>
      </c>
      <c r="P13" s="1679">
        <v>511.93299999999999</v>
      </c>
      <c r="Q13" s="1679">
        <v>27318.466</v>
      </c>
      <c r="R13" s="1679">
        <v>239.12799999999999</v>
      </c>
      <c r="S13" s="1679">
        <v>914.43899999999996</v>
      </c>
      <c r="T13" s="1679">
        <v>3420.86</v>
      </c>
      <c r="U13" s="1679">
        <v>299.46899999999999</v>
      </c>
      <c r="V13" s="1680">
        <v>62582.038999999997</v>
      </c>
      <c r="W13" s="1697">
        <f t="shared" si="2"/>
        <v>2021.12</v>
      </c>
      <c r="X13" s="1681">
        <v>50.62</v>
      </c>
      <c r="Y13" s="1682">
        <v>125.863</v>
      </c>
      <c r="Z13" s="1682" t="s">
        <v>171</v>
      </c>
      <c r="AA13" s="1682">
        <v>302.43900000000002</v>
      </c>
      <c r="AB13" s="1682">
        <v>193.92</v>
      </c>
      <c r="AC13" s="1682">
        <v>177.185</v>
      </c>
      <c r="AD13" s="1682">
        <v>271.16699999999997</v>
      </c>
      <c r="AE13" s="1682">
        <v>157.58000000000001</v>
      </c>
      <c r="AF13" s="1682">
        <v>147.96299999999999</v>
      </c>
      <c r="AG13" s="1683">
        <v>124.57899999999999</v>
      </c>
      <c r="AI13" s="1699"/>
      <c r="AJ13" s="1684"/>
      <c r="AK13" s="1699"/>
      <c r="AL13" s="1699"/>
      <c r="AM13" s="1684"/>
      <c r="AN13" s="1699"/>
      <c r="AO13" s="1699"/>
      <c r="AP13" s="1684"/>
    </row>
    <row r="14" spans="1:42" s="1707" customFormat="1" ht="29.1" customHeight="1">
      <c r="A14" s="1700" t="s">
        <v>796</v>
      </c>
      <c r="B14" s="1701">
        <v>167346.01800000001</v>
      </c>
      <c r="C14" s="1702">
        <v>184292.90400000001</v>
      </c>
      <c r="D14" s="1702">
        <v>1675.038</v>
      </c>
      <c r="E14" s="1702">
        <v>1336.8489999999999</v>
      </c>
      <c r="F14" s="1702">
        <v>159460.674</v>
      </c>
      <c r="G14" s="1702">
        <v>2922.79</v>
      </c>
      <c r="H14" s="1702">
        <v>3701.973</v>
      </c>
      <c r="I14" s="1702">
        <v>28115.333999999999</v>
      </c>
      <c r="J14" s="1702">
        <v>1980.6780000000001</v>
      </c>
      <c r="K14" s="1703">
        <v>550832.25899999996</v>
      </c>
      <c r="L14" s="1700" t="str">
        <f t="shared" si="0"/>
        <v>2022.01~12</v>
      </c>
      <c r="M14" s="1701">
        <v>87992.839000000007</v>
      </c>
      <c r="N14" s="1702">
        <v>291135.74200000003</v>
      </c>
      <c r="O14" s="1702">
        <v>3395.5059999999999</v>
      </c>
      <c r="P14" s="1702">
        <v>4064.326</v>
      </c>
      <c r="Q14" s="1702">
        <v>382542.86900000001</v>
      </c>
      <c r="R14" s="1702">
        <v>6161.5870000000004</v>
      </c>
      <c r="S14" s="1702">
        <v>10285.384</v>
      </c>
      <c r="T14" s="1702">
        <v>57325.08</v>
      </c>
      <c r="U14" s="1702">
        <v>3888.125</v>
      </c>
      <c r="V14" s="1703">
        <v>846791.45700000005</v>
      </c>
      <c r="W14" s="1700" t="str">
        <f t="shared" si="2"/>
        <v>2022.01~12</v>
      </c>
      <c r="X14" s="1704">
        <v>52.581000000000003</v>
      </c>
      <c r="Y14" s="1705">
        <v>157.97399999999999</v>
      </c>
      <c r="Z14" s="1705">
        <v>202.71199999999999</v>
      </c>
      <c r="AA14" s="1705">
        <v>304.02300000000002</v>
      </c>
      <c r="AB14" s="1705">
        <v>239.898</v>
      </c>
      <c r="AC14" s="1705">
        <v>210.81200000000001</v>
      </c>
      <c r="AD14" s="1705">
        <v>277.83499999999998</v>
      </c>
      <c r="AE14" s="1705">
        <v>203.893</v>
      </c>
      <c r="AF14" s="1705">
        <v>196.303</v>
      </c>
      <c r="AG14" s="1706">
        <v>153.72900000000001</v>
      </c>
      <c r="AI14" s="1708"/>
      <c r="AJ14" s="1708"/>
      <c r="AK14" s="1708"/>
      <c r="AL14" s="1708"/>
      <c r="AM14" s="1708"/>
      <c r="AN14" s="1708"/>
      <c r="AO14" s="1708"/>
      <c r="AP14" s="1708"/>
    </row>
    <row r="15" spans="1:42" s="543" customFormat="1" ht="29.1" customHeight="1">
      <c r="A15" s="1507">
        <v>2022.01</v>
      </c>
      <c r="B15" s="1678">
        <v>15324.199000000001</v>
      </c>
      <c r="C15" s="1679">
        <v>17748.192999999999</v>
      </c>
      <c r="D15" s="1679">
        <v>0</v>
      </c>
      <c r="E15" s="1679">
        <v>466.27300000000002</v>
      </c>
      <c r="F15" s="1679">
        <v>14965.861000000001</v>
      </c>
      <c r="G15" s="1679">
        <v>148.07</v>
      </c>
      <c r="H15" s="1679">
        <v>329.30599999999998</v>
      </c>
      <c r="I15" s="1679">
        <v>2158.0430000000001</v>
      </c>
      <c r="J15" s="1679">
        <v>190.078</v>
      </c>
      <c r="K15" s="1680">
        <v>51330.023999999998</v>
      </c>
      <c r="L15" s="1507">
        <f t="shared" si="0"/>
        <v>2022.01</v>
      </c>
      <c r="M15" s="1678">
        <v>9441.098</v>
      </c>
      <c r="N15" s="1679">
        <v>24064.317999999999</v>
      </c>
      <c r="O15" s="1679">
        <v>17.826000000000001</v>
      </c>
      <c r="P15" s="1679">
        <v>1005.378</v>
      </c>
      <c r="Q15" s="1679">
        <v>30875.219000000001</v>
      </c>
      <c r="R15" s="1709">
        <v>280.85300000000001</v>
      </c>
      <c r="S15" s="1710">
        <v>987.48699999999997</v>
      </c>
      <c r="T15" s="1679">
        <v>3623.7640000000001</v>
      </c>
      <c r="U15" s="1679">
        <v>302.40499999999997</v>
      </c>
      <c r="V15" s="1680">
        <v>70598.347999999998</v>
      </c>
      <c r="W15" s="1507">
        <f t="shared" si="2"/>
        <v>2022.01</v>
      </c>
      <c r="X15" s="1681">
        <v>61.609000000000002</v>
      </c>
      <c r="Y15" s="1682">
        <v>135.58699999999999</v>
      </c>
      <c r="Z15" s="1682" t="s">
        <v>171</v>
      </c>
      <c r="AA15" s="1682">
        <v>215.62</v>
      </c>
      <c r="AB15" s="1682">
        <v>206.304</v>
      </c>
      <c r="AC15" s="1682">
        <v>189.67599999999999</v>
      </c>
      <c r="AD15" s="1682">
        <v>299.86900000000003</v>
      </c>
      <c r="AE15" s="1682">
        <v>167.91900000000001</v>
      </c>
      <c r="AF15" s="1682">
        <v>159.095</v>
      </c>
      <c r="AG15" s="1711">
        <v>137.53800000000001</v>
      </c>
      <c r="AI15" s="1684"/>
      <c r="AJ15" s="1684"/>
      <c r="AK15" s="1684"/>
      <c r="AL15" s="1684"/>
      <c r="AM15" s="1684"/>
      <c r="AN15" s="1684"/>
      <c r="AO15" s="1684"/>
      <c r="AP15" s="1684"/>
    </row>
    <row r="16" spans="1:42" s="1712" customFormat="1" ht="29.1" customHeight="1">
      <c r="A16" s="1507">
        <v>2022.02</v>
      </c>
      <c r="B16" s="1678">
        <v>13307.037</v>
      </c>
      <c r="C16" s="1679">
        <v>15426.665999999999</v>
      </c>
      <c r="D16" s="1679">
        <v>0</v>
      </c>
      <c r="E16" s="1679">
        <v>141.46299999999999</v>
      </c>
      <c r="F16" s="1679">
        <v>13328.450999999999</v>
      </c>
      <c r="G16" s="1679">
        <v>130.47</v>
      </c>
      <c r="H16" s="1679">
        <v>322.685</v>
      </c>
      <c r="I16" s="1679">
        <v>2243.1010000000001</v>
      </c>
      <c r="J16" s="1679">
        <v>194.624</v>
      </c>
      <c r="K16" s="1680">
        <v>45094.497000000003</v>
      </c>
      <c r="L16" s="1507">
        <f t="shared" si="0"/>
        <v>2022.02</v>
      </c>
      <c r="M16" s="1678">
        <v>9047.7960000000003</v>
      </c>
      <c r="N16" s="1679">
        <v>23918.703000000001</v>
      </c>
      <c r="O16" s="1679">
        <v>16.100000000000001</v>
      </c>
      <c r="P16" s="1679">
        <v>384.28300000000002</v>
      </c>
      <c r="Q16" s="1679">
        <v>32984.697</v>
      </c>
      <c r="R16" s="1679">
        <v>297.17</v>
      </c>
      <c r="S16" s="1679">
        <v>928.98900000000003</v>
      </c>
      <c r="T16" s="1679">
        <v>4560.9799999999996</v>
      </c>
      <c r="U16" s="1679">
        <v>388.57</v>
      </c>
      <c r="V16" s="1680">
        <v>72527.289000000004</v>
      </c>
      <c r="W16" s="1507">
        <f t="shared" si="2"/>
        <v>2022.02</v>
      </c>
      <c r="X16" s="1681">
        <v>67.992999999999995</v>
      </c>
      <c r="Y16" s="1682">
        <v>155.048</v>
      </c>
      <c r="Z16" s="1682" t="s">
        <v>171</v>
      </c>
      <c r="AA16" s="1682">
        <v>271.64999999999998</v>
      </c>
      <c r="AB16" s="1682">
        <v>247.476</v>
      </c>
      <c r="AC16" s="1682">
        <v>227.76900000000001</v>
      </c>
      <c r="AD16" s="1682">
        <v>287.89299999999997</v>
      </c>
      <c r="AE16" s="1682">
        <v>203.334</v>
      </c>
      <c r="AF16" s="1682">
        <v>199.65199999999999</v>
      </c>
      <c r="AG16" s="1683">
        <v>160.834</v>
      </c>
      <c r="AI16" s="1713"/>
      <c r="AJ16" s="1713"/>
      <c r="AK16" s="1713"/>
      <c r="AL16" s="1713"/>
      <c r="AM16" s="1713"/>
      <c r="AN16" s="1713"/>
      <c r="AO16" s="1713"/>
      <c r="AP16" s="1713"/>
    </row>
    <row r="17" spans="1:43" s="543" customFormat="1" ht="29.1" customHeight="1">
      <c r="A17" s="1507">
        <v>2022.03</v>
      </c>
      <c r="B17" s="1678">
        <v>13194.626</v>
      </c>
      <c r="C17" s="1679">
        <v>13618.445</v>
      </c>
      <c r="D17" s="1679">
        <v>0.104</v>
      </c>
      <c r="E17" s="1679">
        <v>117.014</v>
      </c>
      <c r="F17" s="1679">
        <v>16310.325000000001</v>
      </c>
      <c r="G17" s="1679">
        <v>160.624</v>
      </c>
      <c r="H17" s="1679">
        <v>342.71499999999997</v>
      </c>
      <c r="I17" s="1679">
        <v>2333.3609999999999</v>
      </c>
      <c r="J17" s="1679">
        <v>179.36600000000001</v>
      </c>
      <c r="K17" s="1680">
        <v>46256.580999999998</v>
      </c>
      <c r="L17" s="1507">
        <f t="shared" si="0"/>
        <v>2022.03</v>
      </c>
      <c r="M17" s="1678">
        <v>7834.8450000000003</v>
      </c>
      <c r="N17" s="1679">
        <v>20171.510999999999</v>
      </c>
      <c r="O17" s="1679">
        <v>17.998000000000001</v>
      </c>
      <c r="P17" s="1679">
        <v>323.51600000000002</v>
      </c>
      <c r="Q17" s="1679">
        <v>35625.014999999999</v>
      </c>
      <c r="R17" s="1679">
        <v>327.08800000000002</v>
      </c>
      <c r="S17" s="1679">
        <v>777.73299999999995</v>
      </c>
      <c r="T17" s="1679">
        <v>4680.7809999999999</v>
      </c>
      <c r="U17" s="1679">
        <v>349.255</v>
      </c>
      <c r="V17" s="1680">
        <v>70107.741999999998</v>
      </c>
      <c r="W17" s="1507">
        <f t="shared" si="2"/>
        <v>2022.03</v>
      </c>
      <c r="X17" s="1681">
        <v>59.378999999999998</v>
      </c>
      <c r="Y17" s="1682">
        <v>148.119</v>
      </c>
      <c r="Z17" s="1682">
        <v>17235.777999999998</v>
      </c>
      <c r="AA17" s="1682">
        <v>276.47699999999998</v>
      </c>
      <c r="AB17" s="1682">
        <v>218.42</v>
      </c>
      <c r="AC17" s="1682">
        <v>203.63499999999999</v>
      </c>
      <c r="AD17" s="1682">
        <v>226.93299999999999</v>
      </c>
      <c r="AE17" s="1682">
        <v>200.60300000000001</v>
      </c>
      <c r="AF17" s="1682">
        <v>194.71600000000001</v>
      </c>
      <c r="AG17" s="1683">
        <v>151.56299999999999</v>
      </c>
      <c r="AI17" s="1684"/>
      <c r="AJ17" s="1684"/>
      <c r="AK17" s="1684"/>
      <c r="AL17" s="1684"/>
      <c r="AM17" s="1684"/>
      <c r="AN17" s="1684"/>
      <c r="AO17" s="1684"/>
      <c r="AP17" s="1684"/>
    </row>
    <row r="18" spans="1:43" s="543" customFormat="1" ht="29.1" customHeight="1">
      <c r="A18" s="1507">
        <v>2022.04</v>
      </c>
      <c r="B18" s="1678">
        <v>12732.508</v>
      </c>
      <c r="C18" s="1679">
        <v>12582.779</v>
      </c>
      <c r="D18" s="1679">
        <v>212.34299999999999</v>
      </c>
      <c r="E18" s="1679">
        <v>74.572000000000003</v>
      </c>
      <c r="F18" s="1679">
        <v>12618.001</v>
      </c>
      <c r="G18" s="1679">
        <v>156.09899999999999</v>
      </c>
      <c r="H18" s="1679">
        <v>265.36599999999999</v>
      </c>
      <c r="I18" s="1679">
        <v>2441.8960000000002</v>
      </c>
      <c r="J18" s="1679">
        <v>147.965</v>
      </c>
      <c r="K18" s="1680">
        <v>41231.53</v>
      </c>
      <c r="L18" s="1507">
        <f t="shared" si="0"/>
        <v>2022.04</v>
      </c>
      <c r="M18" s="1678">
        <v>6804.1279999999997</v>
      </c>
      <c r="N18" s="1679">
        <v>20407.017</v>
      </c>
      <c r="O18" s="1679">
        <v>447.75599999999997</v>
      </c>
      <c r="P18" s="1679">
        <v>218.58199999999999</v>
      </c>
      <c r="Q18" s="1679">
        <v>28985.712</v>
      </c>
      <c r="R18" s="1679">
        <v>330.31099999999998</v>
      </c>
      <c r="S18" s="1679">
        <v>633.16399999999999</v>
      </c>
      <c r="T18" s="1679">
        <v>5097.7269999999999</v>
      </c>
      <c r="U18" s="1679">
        <v>302.01499999999999</v>
      </c>
      <c r="V18" s="1680">
        <v>63226.411</v>
      </c>
      <c r="W18" s="1507">
        <f t="shared" si="2"/>
        <v>2022.04</v>
      </c>
      <c r="X18" s="1681">
        <v>53.439</v>
      </c>
      <c r="Y18" s="1682">
        <v>162.18199999999999</v>
      </c>
      <c r="Z18" s="1682">
        <v>210.86500000000001</v>
      </c>
      <c r="AA18" s="1682">
        <v>293.11599999999999</v>
      </c>
      <c r="AB18" s="1682">
        <v>229.71700000000001</v>
      </c>
      <c r="AC18" s="1682">
        <v>211.60400000000001</v>
      </c>
      <c r="AD18" s="1682">
        <v>238.6</v>
      </c>
      <c r="AE18" s="1682">
        <v>208.761</v>
      </c>
      <c r="AF18" s="1682">
        <v>204.11199999999999</v>
      </c>
      <c r="AG18" s="1683">
        <v>153.345</v>
      </c>
      <c r="AI18" s="1684"/>
      <c r="AJ18" s="1684"/>
      <c r="AK18" s="1684"/>
      <c r="AL18" s="1684"/>
      <c r="AM18" s="1684"/>
      <c r="AN18" s="1684"/>
      <c r="AO18" s="1684"/>
      <c r="AP18" s="1684"/>
    </row>
    <row r="19" spans="1:43" s="543" customFormat="1" ht="29.1" customHeight="1">
      <c r="A19" s="1507">
        <v>2022.05</v>
      </c>
      <c r="B19" s="1678">
        <v>13892.55</v>
      </c>
      <c r="C19" s="1679">
        <v>12892.842000000001</v>
      </c>
      <c r="D19" s="1679">
        <v>148.75200000000001</v>
      </c>
      <c r="E19" s="1679">
        <v>37.018999999999998</v>
      </c>
      <c r="F19" s="1679">
        <v>11800.669</v>
      </c>
      <c r="G19" s="1679">
        <v>190.53399999999999</v>
      </c>
      <c r="H19" s="1679">
        <v>292.43</v>
      </c>
      <c r="I19" s="1679">
        <v>2607.761</v>
      </c>
      <c r="J19" s="1679">
        <v>136.92699999999999</v>
      </c>
      <c r="K19" s="1680">
        <v>41999.483</v>
      </c>
      <c r="L19" s="1507">
        <f t="shared" si="0"/>
        <v>2022.05</v>
      </c>
      <c r="M19" s="1678">
        <v>5483.7730000000001</v>
      </c>
      <c r="N19" s="1679">
        <v>19001.834999999999</v>
      </c>
      <c r="O19" s="1679">
        <v>218.376</v>
      </c>
      <c r="P19" s="1679">
        <v>116.503</v>
      </c>
      <c r="Q19" s="1679">
        <v>20073.486000000001</v>
      </c>
      <c r="R19" s="1679">
        <v>280.63400000000001</v>
      </c>
      <c r="S19" s="1679">
        <v>490.762</v>
      </c>
      <c r="T19" s="1679">
        <v>4082.8829999999998</v>
      </c>
      <c r="U19" s="1679">
        <v>201</v>
      </c>
      <c r="V19" s="1680">
        <v>49949.252</v>
      </c>
      <c r="W19" s="1507">
        <f t="shared" si="2"/>
        <v>2022.05</v>
      </c>
      <c r="X19" s="1681">
        <v>39.472999999999999</v>
      </c>
      <c r="Y19" s="1682">
        <v>147.38300000000001</v>
      </c>
      <c r="Z19" s="1682">
        <v>146.80600000000001</v>
      </c>
      <c r="AA19" s="1682">
        <v>314.709</v>
      </c>
      <c r="AB19" s="1682">
        <v>170.10499999999999</v>
      </c>
      <c r="AC19" s="1682">
        <v>147.28800000000001</v>
      </c>
      <c r="AD19" s="1682">
        <v>167.822</v>
      </c>
      <c r="AE19" s="1682">
        <v>156.56700000000001</v>
      </c>
      <c r="AF19" s="1682">
        <v>146.79300000000001</v>
      </c>
      <c r="AG19" s="1683">
        <v>118.928</v>
      </c>
      <c r="AI19" s="1684"/>
      <c r="AJ19" s="1684"/>
      <c r="AK19" s="1684"/>
      <c r="AL19" s="1684"/>
      <c r="AM19" s="1684"/>
      <c r="AN19" s="1684"/>
      <c r="AO19" s="1684"/>
      <c r="AP19" s="1684"/>
    </row>
    <row r="20" spans="1:43" s="1714" customFormat="1" ht="29.1" customHeight="1">
      <c r="A20" s="1507">
        <v>2022.06</v>
      </c>
      <c r="B20" s="1678">
        <v>13990.404</v>
      </c>
      <c r="C20" s="1679">
        <v>14782.864</v>
      </c>
      <c r="D20" s="1679">
        <v>139.87299999999999</v>
      </c>
      <c r="E20" s="1679">
        <v>58.348999999999997</v>
      </c>
      <c r="F20" s="1679">
        <v>12185.967000000001</v>
      </c>
      <c r="G20" s="1679">
        <v>227.26300000000001</v>
      </c>
      <c r="H20" s="1679">
        <v>275.20499999999998</v>
      </c>
      <c r="I20" s="1679">
        <v>2108.9650000000001</v>
      </c>
      <c r="J20" s="1679">
        <v>130.13399999999999</v>
      </c>
      <c r="K20" s="1680">
        <v>43899.023999999998</v>
      </c>
      <c r="L20" s="1507">
        <f t="shared" si="0"/>
        <v>2022.06</v>
      </c>
      <c r="M20" s="1678">
        <v>5394.2849999999999</v>
      </c>
      <c r="N20" s="1679">
        <v>18738.597000000002</v>
      </c>
      <c r="O20" s="1679">
        <v>186.696</v>
      </c>
      <c r="P20" s="1679">
        <v>214.00700000000001</v>
      </c>
      <c r="Q20" s="1679">
        <v>18980.741000000002</v>
      </c>
      <c r="R20" s="1679">
        <v>323.59199999999998</v>
      </c>
      <c r="S20" s="1679">
        <v>465.48399999999998</v>
      </c>
      <c r="T20" s="1679">
        <v>3058.154</v>
      </c>
      <c r="U20" s="1679">
        <v>176.22900000000001</v>
      </c>
      <c r="V20" s="1680">
        <v>47537.785000000003</v>
      </c>
      <c r="W20" s="1507">
        <f t="shared" si="2"/>
        <v>2022.06</v>
      </c>
      <c r="X20" s="1681">
        <v>38.557000000000002</v>
      </c>
      <c r="Y20" s="1682">
        <v>126.759</v>
      </c>
      <c r="Z20" s="1682">
        <v>133.47499999999999</v>
      </c>
      <c r="AA20" s="1682">
        <v>366.77</v>
      </c>
      <c r="AB20" s="1682">
        <v>155.75899999999999</v>
      </c>
      <c r="AC20" s="1682">
        <v>142.387</v>
      </c>
      <c r="AD20" s="1682">
        <v>169.14099999999999</v>
      </c>
      <c r="AE20" s="1682">
        <v>145.00700000000001</v>
      </c>
      <c r="AF20" s="1682">
        <v>135.41999999999999</v>
      </c>
      <c r="AG20" s="1683">
        <v>108.289</v>
      </c>
      <c r="AI20" s="1715"/>
      <c r="AJ20" s="1715"/>
      <c r="AK20" s="1715"/>
      <c r="AL20" s="1715"/>
      <c r="AM20" s="1715"/>
      <c r="AN20" s="1715"/>
      <c r="AO20" s="1715"/>
      <c r="AP20" s="1715"/>
    </row>
    <row r="21" spans="1:43" s="1716" customFormat="1" ht="29.1" customHeight="1">
      <c r="A21" s="1507">
        <v>2022.07</v>
      </c>
      <c r="B21" s="1678">
        <v>14567.217000000001</v>
      </c>
      <c r="C21" s="1679">
        <v>18678.952000000001</v>
      </c>
      <c r="D21" s="1679">
        <v>245.62299999999999</v>
      </c>
      <c r="E21" s="1679">
        <v>78.531999999999996</v>
      </c>
      <c r="F21" s="1679">
        <v>14451.755999999999</v>
      </c>
      <c r="G21" s="1679">
        <v>335.27600000000001</v>
      </c>
      <c r="H21" s="1679">
        <v>285.55</v>
      </c>
      <c r="I21" s="1679">
        <v>2121.36</v>
      </c>
      <c r="J21" s="1679">
        <v>142.261</v>
      </c>
      <c r="K21" s="1680">
        <v>50906.527000000002</v>
      </c>
      <c r="L21" s="1507">
        <f t="shared" si="0"/>
        <v>2022.07</v>
      </c>
      <c r="M21" s="1678">
        <v>7584.5919999999996</v>
      </c>
      <c r="N21" s="1679">
        <v>28204.184000000001</v>
      </c>
      <c r="O21" s="1679">
        <v>406.029</v>
      </c>
      <c r="P21" s="1679">
        <v>350.15499999999997</v>
      </c>
      <c r="Q21" s="1679">
        <v>28641.063999999998</v>
      </c>
      <c r="R21" s="1679">
        <v>598.84400000000005</v>
      </c>
      <c r="S21" s="1679">
        <v>838.23599999999999</v>
      </c>
      <c r="T21" s="1679">
        <v>3648.75</v>
      </c>
      <c r="U21" s="1679">
        <v>226.542</v>
      </c>
      <c r="V21" s="1680">
        <v>70498.395999999993</v>
      </c>
      <c r="W21" s="1507">
        <f t="shared" si="2"/>
        <v>2022.07</v>
      </c>
      <c r="X21" s="1681">
        <v>52.066000000000003</v>
      </c>
      <c r="Y21" s="1682">
        <v>150.994</v>
      </c>
      <c r="Z21" s="1682">
        <v>165.30600000000001</v>
      </c>
      <c r="AA21" s="1682">
        <v>445.87700000000001</v>
      </c>
      <c r="AB21" s="1682">
        <v>198.184</v>
      </c>
      <c r="AC21" s="1682">
        <v>178.61199999999999</v>
      </c>
      <c r="AD21" s="1682">
        <v>293.55200000000002</v>
      </c>
      <c r="AE21" s="1682">
        <v>172</v>
      </c>
      <c r="AF21" s="1682">
        <v>159.244</v>
      </c>
      <c r="AG21" s="1683">
        <v>138.48599999999999</v>
      </c>
      <c r="AI21" s="1717"/>
      <c r="AJ21" s="1717"/>
      <c r="AK21" s="1717"/>
      <c r="AL21" s="1717"/>
      <c r="AM21" s="1717"/>
      <c r="AN21" s="1717"/>
      <c r="AO21" s="1717"/>
      <c r="AP21" s="1717"/>
    </row>
    <row r="22" spans="1:43" s="1698" customFormat="1" ht="29.1" customHeight="1">
      <c r="A22" s="1507">
        <v>2022.08</v>
      </c>
      <c r="B22" s="1678">
        <v>15471.885</v>
      </c>
      <c r="C22" s="1679">
        <v>17848.949000000001</v>
      </c>
      <c r="D22" s="1679">
        <v>245.07900000000001</v>
      </c>
      <c r="E22" s="1679">
        <v>45.844000000000001</v>
      </c>
      <c r="F22" s="1679">
        <v>12893.695</v>
      </c>
      <c r="G22" s="1679">
        <v>623.23599999999999</v>
      </c>
      <c r="H22" s="1679">
        <v>327.74</v>
      </c>
      <c r="I22" s="1679">
        <v>2494.5070000000001</v>
      </c>
      <c r="J22" s="1679">
        <v>169.77500000000001</v>
      </c>
      <c r="K22" s="1680">
        <v>50120.71</v>
      </c>
      <c r="L22" s="1507">
        <f t="shared" si="0"/>
        <v>2022.08</v>
      </c>
      <c r="M22" s="1678">
        <v>9438.6509999999998</v>
      </c>
      <c r="N22" s="1679">
        <v>33873.61</v>
      </c>
      <c r="O22" s="1679">
        <v>525.39700000000005</v>
      </c>
      <c r="P22" s="1679">
        <v>277.589</v>
      </c>
      <c r="Q22" s="1679">
        <v>35394.218000000001</v>
      </c>
      <c r="R22" s="1679">
        <v>1377.181</v>
      </c>
      <c r="S22" s="1679">
        <v>1236.095</v>
      </c>
      <c r="T22" s="1679">
        <v>5499.9269999999997</v>
      </c>
      <c r="U22" s="1679">
        <v>359.13499999999999</v>
      </c>
      <c r="V22" s="1680">
        <v>87981.801999999996</v>
      </c>
      <c r="W22" s="1507">
        <f t="shared" si="2"/>
        <v>2022.08</v>
      </c>
      <c r="X22" s="1681">
        <v>61.005000000000003</v>
      </c>
      <c r="Y22" s="1682">
        <v>189.779</v>
      </c>
      <c r="Z22" s="1682">
        <v>214.37899999999999</v>
      </c>
      <c r="AA22" s="1682">
        <v>605.51</v>
      </c>
      <c r="AB22" s="1682">
        <v>274.50799999999998</v>
      </c>
      <c r="AC22" s="1682">
        <v>220.97300000000001</v>
      </c>
      <c r="AD22" s="1682">
        <v>377.15699999999998</v>
      </c>
      <c r="AE22" s="1682">
        <v>220.482</v>
      </c>
      <c r="AF22" s="1682">
        <v>211.536</v>
      </c>
      <c r="AG22" s="1683">
        <v>175.54</v>
      </c>
      <c r="AI22" s="1699"/>
      <c r="AJ22" s="1699"/>
      <c r="AK22" s="1699"/>
      <c r="AL22" s="1699"/>
      <c r="AM22" s="1699"/>
      <c r="AN22" s="1699"/>
      <c r="AO22" s="1699"/>
      <c r="AP22" s="1699"/>
    </row>
    <row r="23" spans="1:43" s="543" customFormat="1" ht="29.1" customHeight="1">
      <c r="A23" s="1507">
        <v>2022.09</v>
      </c>
      <c r="B23" s="1678">
        <v>13377.869000000001</v>
      </c>
      <c r="C23" s="1679">
        <v>14753.817999999999</v>
      </c>
      <c r="D23" s="1679">
        <v>133.82900000000001</v>
      </c>
      <c r="E23" s="1679">
        <v>52.591000000000001</v>
      </c>
      <c r="F23" s="1679">
        <v>11013.079</v>
      </c>
      <c r="G23" s="1679">
        <v>419.613</v>
      </c>
      <c r="H23" s="1679">
        <v>314.63900000000001</v>
      </c>
      <c r="I23" s="1679">
        <v>2374.511</v>
      </c>
      <c r="J23" s="1679">
        <v>147.471</v>
      </c>
      <c r="K23" s="1680">
        <v>42587.421000000002</v>
      </c>
      <c r="L23" s="1507">
        <f t="shared" si="0"/>
        <v>2022.09</v>
      </c>
      <c r="M23" s="1678">
        <v>6503.5469999999996</v>
      </c>
      <c r="N23" s="1679">
        <v>27140.392</v>
      </c>
      <c r="O23" s="1679">
        <v>346.71699999999998</v>
      </c>
      <c r="P23" s="1679">
        <v>226.10400000000001</v>
      </c>
      <c r="Q23" s="1679">
        <v>32422.127</v>
      </c>
      <c r="R23" s="1679">
        <v>1022.619</v>
      </c>
      <c r="S23" s="1679">
        <v>1025.1869999999999</v>
      </c>
      <c r="T23" s="1679">
        <v>6079.6689999999999</v>
      </c>
      <c r="U23" s="1679">
        <v>346.14499999999998</v>
      </c>
      <c r="V23" s="1680">
        <v>75112.505999999994</v>
      </c>
      <c r="W23" s="1507">
        <f t="shared" si="2"/>
        <v>2022.09</v>
      </c>
      <c r="X23" s="1681">
        <v>48.613999999999997</v>
      </c>
      <c r="Y23" s="1682">
        <v>183.95500000000001</v>
      </c>
      <c r="Z23" s="1682">
        <v>259.07400000000001</v>
      </c>
      <c r="AA23" s="1682">
        <v>429.93299999999999</v>
      </c>
      <c r="AB23" s="1682">
        <v>294.39699999999999</v>
      </c>
      <c r="AC23" s="1682">
        <v>243.70500000000001</v>
      </c>
      <c r="AD23" s="1682">
        <v>325.83</v>
      </c>
      <c r="AE23" s="1682">
        <v>256.03899999999999</v>
      </c>
      <c r="AF23" s="1682">
        <v>234.72</v>
      </c>
      <c r="AG23" s="1683">
        <v>176.37299999999999</v>
      </c>
      <c r="AI23" s="1684"/>
      <c r="AJ23" s="1684"/>
      <c r="AK23" s="1684"/>
      <c r="AL23" s="1684"/>
      <c r="AM23" s="1684"/>
      <c r="AN23" s="1684"/>
      <c r="AO23" s="1684"/>
      <c r="AP23" s="1684"/>
    </row>
    <row r="24" spans="1:43" s="1698" customFormat="1" ht="29.1" customHeight="1">
      <c r="A24" s="1508">
        <v>2022.1</v>
      </c>
      <c r="B24" s="1718">
        <v>13668.813</v>
      </c>
      <c r="C24" s="1719">
        <v>13771.266</v>
      </c>
      <c r="D24" s="1719">
        <v>176.95599999999999</v>
      </c>
      <c r="E24" s="1719">
        <v>68.414000000000001</v>
      </c>
      <c r="F24" s="1719">
        <v>11135.678</v>
      </c>
      <c r="G24" s="1719">
        <v>203.024</v>
      </c>
      <c r="H24" s="1719">
        <v>322.7</v>
      </c>
      <c r="I24" s="1719">
        <v>2496.9050000000002</v>
      </c>
      <c r="J24" s="1719">
        <v>218.173</v>
      </c>
      <c r="K24" s="1720">
        <v>42061.928999999996</v>
      </c>
      <c r="L24" s="1508">
        <f t="shared" si="0"/>
        <v>2022.1</v>
      </c>
      <c r="M24" s="1718">
        <v>6660.2520000000004</v>
      </c>
      <c r="N24" s="1719">
        <v>24745.385999999999</v>
      </c>
      <c r="O24" s="1719">
        <v>464.79</v>
      </c>
      <c r="P24" s="1719">
        <v>224.529</v>
      </c>
      <c r="Q24" s="1719">
        <v>33865.245999999999</v>
      </c>
      <c r="R24" s="1719">
        <v>564.08600000000001</v>
      </c>
      <c r="S24" s="1719">
        <v>1029.1890000000001</v>
      </c>
      <c r="T24" s="1719">
        <v>6685.0969999999998</v>
      </c>
      <c r="U24" s="1719">
        <v>561.399</v>
      </c>
      <c r="V24" s="1720">
        <v>74799.972999999998</v>
      </c>
      <c r="W24" s="1508">
        <f t="shared" si="2"/>
        <v>2022.1</v>
      </c>
      <c r="X24" s="1721">
        <v>48.725999999999999</v>
      </c>
      <c r="Y24" s="1722">
        <v>179.68899999999999</v>
      </c>
      <c r="Z24" s="1722">
        <v>262.65800000000002</v>
      </c>
      <c r="AA24" s="1722">
        <v>328.19099999999997</v>
      </c>
      <c r="AB24" s="1722">
        <v>304.11500000000001</v>
      </c>
      <c r="AC24" s="1722">
        <v>277.84199999999998</v>
      </c>
      <c r="AD24" s="1722">
        <v>318.93</v>
      </c>
      <c r="AE24" s="1722">
        <v>267.73500000000001</v>
      </c>
      <c r="AF24" s="1722">
        <v>257.31900000000002</v>
      </c>
      <c r="AG24" s="1723">
        <v>177.833</v>
      </c>
      <c r="AI24" s="1699"/>
      <c r="AJ24" s="1699"/>
      <c r="AK24" s="1699"/>
      <c r="AL24" s="1699"/>
      <c r="AM24" s="1699"/>
      <c r="AN24" s="1699"/>
      <c r="AO24" s="1699"/>
      <c r="AP24" s="1699"/>
    </row>
    <row r="25" spans="1:43" s="1698" customFormat="1" ht="29.1" customHeight="1">
      <c r="A25" s="1508">
        <v>2022.11</v>
      </c>
      <c r="B25" s="1718">
        <v>13331.346</v>
      </c>
      <c r="C25" s="1719">
        <v>14313.976000000001</v>
      </c>
      <c r="D25" s="1719">
        <v>125.875</v>
      </c>
      <c r="E25" s="1719">
        <v>81.212999999999994</v>
      </c>
      <c r="F25" s="1719">
        <v>12361.645</v>
      </c>
      <c r="G25" s="1719">
        <v>170.90299999999999</v>
      </c>
      <c r="H25" s="1719">
        <v>311.52600000000001</v>
      </c>
      <c r="I25" s="1719">
        <v>2225.8960000000002</v>
      </c>
      <c r="J25" s="1719">
        <v>145.60900000000001</v>
      </c>
      <c r="K25" s="1720">
        <v>43067.989000000001</v>
      </c>
      <c r="L25" s="1508">
        <f t="shared" si="0"/>
        <v>2022.11</v>
      </c>
      <c r="M25" s="1718">
        <v>6476.7479999999996</v>
      </c>
      <c r="N25" s="1719">
        <v>21749.132000000001</v>
      </c>
      <c r="O25" s="1719">
        <v>314.97199999999998</v>
      </c>
      <c r="P25" s="1719">
        <v>267.23200000000003</v>
      </c>
      <c r="Q25" s="1719">
        <v>36139.487000000001</v>
      </c>
      <c r="R25" s="1719">
        <v>455.3</v>
      </c>
      <c r="S25" s="1719">
        <v>971.27200000000005</v>
      </c>
      <c r="T25" s="1719">
        <v>5662.4369999999999</v>
      </c>
      <c r="U25" s="1719">
        <v>346.46100000000001</v>
      </c>
      <c r="V25" s="1720">
        <v>72383.039999999994</v>
      </c>
      <c r="W25" s="1508">
        <f t="shared" si="2"/>
        <v>2022.11</v>
      </c>
      <c r="X25" s="1721">
        <v>48.582999999999998</v>
      </c>
      <c r="Y25" s="1722">
        <v>151.94300000000001</v>
      </c>
      <c r="Z25" s="1722">
        <v>250.22499999999999</v>
      </c>
      <c r="AA25" s="1722">
        <v>329.05</v>
      </c>
      <c r="AB25" s="1722">
        <v>292.35199999999998</v>
      </c>
      <c r="AC25" s="1722">
        <v>266.40899999999999</v>
      </c>
      <c r="AD25" s="1722">
        <v>311.779</v>
      </c>
      <c r="AE25" s="1722">
        <v>254.38900000000001</v>
      </c>
      <c r="AF25" s="1722">
        <v>237.93899999999999</v>
      </c>
      <c r="AG25" s="1723">
        <v>168.06700000000001</v>
      </c>
      <c r="AI25" s="1699"/>
      <c r="AJ25" s="1699"/>
      <c r="AK25" s="1699"/>
      <c r="AL25" s="1699"/>
      <c r="AM25" s="1699"/>
      <c r="AN25" s="1699"/>
      <c r="AO25" s="1699"/>
      <c r="AP25" s="1699"/>
    </row>
    <row r="26" spans="1:43" s="1698" customFormat="1" ht="29.1" customHeight="1">
      <c r="A26" s="1514">
        <v>2022.12</v>
      </c>
      <c r="B26" s="1724">
        <v>14487.564</v>
      </c>
      <c r="C26" s="1725">
        <v>17874.153999999999</v>
      </c>
      <c r="D26" s="1725">
        <v>246.60499999999999</v>
      </c>
      <c r="E26" s="1725">
        <v>115.566</v>
      </c>
      <c r="F26" s="1725">
        <v>16395.545999999998</v>
      </c>
      <c r="G26" s="1725">
        <v>157.678</v>
      </c>
      <c r="H26" s="1725">
        <v>312.11099999999999</v>
      </c>
      <c r="I26" s="1725">
        <v>2509.027</v>
      </c>
      <c r="J26" s="1725">
        <v>178.29300000000001</v>
      </c>
      <c r="K26" s="1726">
        <v>52276.544000000002</v>
      </c>
      <c r="L26" s="1514">
        <f t="shared" si="0"/>
        <v>2022.12</v>
      </c>
      <c r="M26" s="1724">
        <v>7323.1260000000002</v>
      </c>
      <c r="N26" s="1725">
        <v>29121.059000000001</v>
      </c>
      <c r="O26" s="1725">
        <v>432.85</v>
      </c>
      <c r="P26" s="1725">
        <v>456.447</v>
      </c>
      <c r="Q26" s="1725">
        <v>48555.856</v>
      </c>
      <c r="R26" s="1725">
        <v>303.90899999999999</v>
      </c>
      <c r="S26" s="1725">
        <v>901.78499999999997</v>
      </c>
      <c r="T26" s="1725">
        <v>4644.9110000000001</v>
      </c>
      <c r="U26" s="1725">
        <v>328.97</v>
      </c>
      <c r="V26" s="1726">
        <v>92068.913</v>
      </c>
      <c r="W26" s="1514">
        <f t="shared" si="2"/>
        <v>2022.12</v>
      </c>
      <c r="X26" s="1727">
        <v>50.548000000000002</v>
      </c>
      <c r="Y26" s="1728">
        <v>162.923</v>
      </c>
      <c r="Z26" s="1728">
        <v>175.524</v>
      </c>
      <c r="AA26" s="1728">
        <v>394.96699999999998</v>
      </c>
      <c r="AB26" s="1728">
        <v>296.15300000000002</v>
      </c>
      <c r="AC26" s="1728">
        <v>192.74</v>
      </c>
      <c r="AD26" s="1728">
        <v>288.93099999999998</v>
      </c>
      <c r="AE26" s="1728">
        <v>185.12799999999999</v>
      </c>
      <c r="AF26" s="1728">
        <v>184.51</v>
      </c>
      <c r="AG26" s="1729">
        <v>176.119</v>
      </c>
      <c r="AH26" s="1730"/>
      <c r="AI26" s="1731"/>
      <c r="AJ26" s="1684"/>
      <c r="AK26" s="1731"/>
      <c r="AL26" s="1731"/>
      <c r="AM26" s="1684"/>
      <c r="AN26" s="1731"/>
      <c r="AO26" s="1731"/>
      <c r="AP26" s="1684"/>
      <c r="AQ26" s="1730"/>
    </row>
    <row r="27" spans="1:43" s="1698" customFormat="1" ht="3" customHeight="1">
      <c r="A27" s="1732"/>
      <c r="B27" s="1597"/>
      <c r="C27" s="1597"/>
      <c r="D27" s="1597"/>
      <c r="E27" s="1597"/>
      <c r="F27" s="1597"/>
      <c r="G27" s="1597"/>
      <c r="H27" s="1597"/>
      <c r="I27" s="1597"/>
      <c r="J27" s="1597"/>
      <c r="K27" s="1597"/>
      <c r="L27" s="1732"/>
      <c r="M27" s="1597"/>
      <c r="N27" s="1597"/>
      <c r="O27" s="1597"/>
      <c r="P27" s="1597"/>
      <c r="Q27" s="1597"/>
      <c r="R27" s="1597"/>
      <c r="S27" s="1597"/>
      <c r="T27" s="1597"/>
      <c r="U27" s="1597"/>
      <c r="V27" s="1597"/>
      <c r="W27" s="1732"/>
      <c r="X27" s="1612"/>
      <c r="Y27" s="1612"/>
      <c r="Z27" s="1612"/>
      <c r="AA27" s="1612"/>
      <c r="AB27" s="1612"/>
      <c r="AC27" s="1612"/>
      <c r="AD27" s="1612"/>
      <c r="AE27" s="1612"/>
      <c r="AF27" s="1612"/>
      <c r="AG27" s="1612"/>
      <c r="AI27" s="1699"/>
      <c r="AJ27" s="1699"/>
      <c r="AK27" s="1699"/>
      <c r="AL27" s="1699"/>
      <c r="AM27" s="1699"/>
      <c r="AN27" s="1699"/>
      <c r="AO27" s="1699"/>
    </row>
    <row r="28" spans="1:43" s="249" customFormat="1" ht="12" customHeight="1">
      <c r="A28" s="305" t="s">
        <v>1018</v>
      </c>
      <c r="B28" s="305"/>
      <c r="C28" s="305"/>
      <c r="D28" s="305"/>
      <c r="E28" s="305"/>
      <c r="F28" s="305"/>
      <c r="G28" s="305"/>
      <c r="H28" s="305"/>
      <c r="I28" s="305"/>
      <c r="J28" s="305"/>
      <c r="K28" s="305"/>
      <c r="L28" s="305" t="s">
        <v>1019</v>
      </c>
      <c r="M28" s="305"/>
      <c r="N28" s="305"/>
      <c r="O28" s="305"/>
      <c r="P28" s="305"/>
      <c r="Q28" s="305"/>
      <c r="R28" s="305"/>
      <c r="S28" s="305"/>
      <c r="T28" s="305"/>
      <c r="U28" s="305"/>
      <c r="V28" s="631"/>
      <c r="W28" s="305" t="s">
        <v>1020</v>
      </c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I28" s="1274"/>
      <c r="AJ28" s="1274"/>
      <c r="AK28" s="1274"/>
      <c r="AL28" s="1274"/>
      <c r="AM28" s="1274"/>
      <c r="AN28" s="1274"/>
      <c r="AO28" s="1274"/>
    </row>
    <row r="29" spans="1:43" s="249" customFormat="1" ht="12" customHeight="1">
      <c r="A29" s="626" t="s">
        <v>1021</v>
      </c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0" t="s">
        <v>1022</v>
      </c>
      <c r="M29" s="3050"/>
      <c r="N29" s="3050"/>
      <c r="O29" s="3050"/>
      <c r="P29" s="3050"/>
      <c r="Q29" s="3050"/>
      <c r="R29" s="3050"/>
      <c r="S29" s="3050"/>
      <c r="T29" s="366"/>
      <c r="U29" s="366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I29" s="1274"/>
      <c r="AJ29" s="1274"/>
      <c r="AK29" s="1274"/>
      <c r="AL29" s="1274"/>
      <c r="AM29" s="1274"/>
      <c r="AN29" s="1274"/>
      <c r="AO29" s="1274"/>
    </row>
    <row r="30" spans="1:43" ht="12" customHeight="1">
      <c r="A30" s="626" t="s">
        <v>1023</v>
      </c>
      <c r="I30" s="635"/>
      <c r="J30" s="635"/>
      <c r="K30" s="635"/>
      <c r="L30" s="3050" t="s">
        <v>1024</v>
      </c>
      <c r="M30" s="3050"/>
      <c r="N30" s="3050"/>
      <c r="O30" s="3050"/>
      <c r="P30" s="3050"/>
      <c r="Q30" s="3050"/>
      <c r="R30" s="3050"/>
      <c r="S30" s="3050"/>
      <c r="T30" s="635"/>
      <c r="U30" s="635"/>
      <c r="V30" s="635"/>
      <c r="AE30" s="1733"/>
      <c r="AF30" s="1733"/>
      <c r="AG30" s="1733"/>
    </row>
    <row r="31" spans="1:43">
      <c r="I31" s="635"/>
      <c r="J31" s="635"/>
      <c r="K31" s="635"/>
      <c r="T31" s="635"/>
      <c r="U31" s="635"/>
      <c r="V31" s="635"/>
      <c r="AE31" s="1733"/>
      <c r="AF31" s="1733"/>
      <c r="AG31" s="1733"/>
    </row>
  </sheetData>
  <mergeCells count="8">
    <mergeCell ref="AI4:AJ4"/>
    <mergeCell ref="AK4:AM4"/>
    <mergeCell ref="AN4:AP4"/>
    <mergeCell ref="L29:S29"/>
    <mergeCell ref="L30:S30"/>
    <mergeCell ref="A4:A5"/>
    <mergeCell ref="L4:L5"/>
    <mergeCell ref="W4:W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78" firstPageNumber="39" orientation="portrait" useFirstPageNumber="1" r:id="rId1"/>
  <headerFooter differentOddEven="1" scaleWithDoc="0" alignWithMargins="0"/>
  <colBreaks count="1" manualBreakCount="1">
    <brk id="11" max="29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1"/>
  <sheetViews>
    <sheetView view="pageBreakPreview" zoomScale="70" zoomScaleNormal="100" zoomScaleSheetLayoutView="70" workbookViewId="0">
      <pane xSplit="1" ySplit="5" topLeftCell="D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1.625" style="12" customWidth="1"/>
    <col min="2" max="9" width="10.25" style="12" customWidth="1"/>
    <col min="10" max="10" width="11.625" style="12" customWidth="1"/>
    <col min="11" max="18" width="10.25" style="12" customWidth="1"/>
    <col min="19" max="19" width="11.625" style="12" customWidth="1"/>
    <col min="20" max="27" width="10.25" style="12" customWidth="1"/>
    <col min="28" max="16384" width="10" style="12"/>
  </cols>
  <sheetData>
    <row r="1" spans="1:27" s="249" customFormat="1" ht="20.25" customHeight="1">
      <c r="A1" s="248" t="s">
        <v>1025</v>
      </c>
      <c r="B1" s="1049"/>
      <c r="J1" s="248" t="s">
        <v>1026</v>
      </c>
      <c r="K1" s="1049"/>
      <c r="S1" s="248" t="s">
        <v>1027</v>
      </c>
      <c r="T1" s="1049"/>
    </row>
    <row r="2" spans="1:27" s="252" customFormat="1" ht="17.25">
      <c r="A2" s="252" t="s">
        <v>1028</v>
      </c>
      <c r="J2" s="252" t="s">
        <v>1029</v>
      </c>
      <c r="S2" s="252" t="s">
        <v>1030</v>
      </c>
    </row>
    <row r="3" spans="1:27" s="249" customFormat="1" ht="15" customHeight="1">
      <c r="A3" s="250"/>
      <c r="B3" s="250"/>
      <c r="C3" s="250"/>
      <c r="D3" s="250"/>
      <c r="E3" s="250"/>
      <c r="F3" s="250"/>
      <c r="G3" s="250"/>
      <c r="I3" s="1281" t="s">
        <v>1031</v>
      </c>
      <c r="J3" s="305"/>
      <c r="K3" s="305"/>
      <c r="L3" s="305"/>
      <c r="M3" s="305"/>
      <c r="N3" s="305"/>
      <c r="O3" s="305"/>
      <c r="P3" s="305"/>
      <c r="R3" s="1281" t="s">
        <v>1032</v>
      </c>
      <c r="S3" s="305"/>
      <c r="T3" s="305"/>
      <c r="U3" s="305"/>
      <c r="V3" s="305"/>
      <c r="W3" s="305"/>
      <c r="X3" s="305"/>
      <c r="Y3" s="305"/>
      <c r="AA3" s="1281" t="s">
        <v>1033</v>
      </c>
    </row>
    <row r="4" spans="1:27" s="557" customFormat="1" ht="27.95" customHeight="1">
      <c r="A4" s="2881" t="s">
        <v>1011</v>
      </c>
      <c r="B4" s="1674" t="s">
        <v>1012</v>
      </c>
      <c r="C4" s="555"/>
      <c r="D4" s="555"/>
      <c r="E4" s="555"/>
      <c r="F4" s="555"/>
      <c r="G4" s="555"/>
      <c r="H4" s="1675"/>
      <c r="I4" s="556"/>
      <c r="J4" s="2881" t="s">
        <v>1011</v>
      </c>
      <c r="K4" s="1674" t="s">
        <v>1013</v>
      </c>
      <c r="L4" s="555"/>
      <c r="M4" s="555"/>
      <c r="N4" s="555"/>
      <c r="O4" s="555"/>
      <c r="P4" s="555"/>
      <c r="Q4" s="1675"/>
      <c r="R4" s="556"/>
      <c r="S4" s="2881" t="s">
        <v>1011</v>
      </c>
      <c r="T4" s="1674" t="s">
        <v>1014</v>
      </c>
      <c r="U4" s="555"/>
      <c r="V4" s="555"/>
      <c r="W4" s="555"/>
      <c r="X4" s="555"/>
      <c r="Y4" s="555"/>
      <c r="Z4" s="1675"/>
      <c r="AA4" s="556"/>
    </row>
    <row r="5" spans="1:27" s="565" customFormat="1" ht="27.95" customHeight="1">
      <c r="A5" s="2883"/>
      <c r="B5" s="1676" t="s">
        <v>527</v>
      </c>
      <c r="C5" s="261" t="s">
        <v>1034</v>
      </c>
      <c r="D5" s="261" t="s">
        <v>1035</v>
      </c>
      <c r="E5" s="261" t="s">
        <v>1036</v>
      </c>
      <c r="F5" s="261" t="s">
        <v>1037</v>
      </c>
      <c r="G5" s="561" t="s">
        <v>1038</v>
      </c>
      <c r="H5" s="261" t="s">
        <v>1039</v>
      </c>
      <c r="I5" s="559" t="s">
        <v>1015</v>
      </c>
      <c r="J5" s="2883"/>
      <c r="K5" s="1676" t="s">
        <v>527</v>
      </c>
      <c r="L5" s="261" t="s">
        <v>1034</v>
      </c>
      <c r="M5" s="261" t="s">
        <v>1035</v>
      </c>
      <c r="N5" s="261" t="s">
        <v>1036</v>
      </c>
      <c r="O5" s="261" t="s">
        <v>1037</v>
      </c>
      <c r="P5" s="561" t="s">
        <v>1038</v>
      </c>
      <c r="Q5" s="261" t="s">
        <v>1039</v>
      </c>
      <c r="R5" s="559" t="s">
        <v>1015</v>
      </c>
      <c r="S5" s="2883"/>
      <c r="T5" s="1676" t="s">
        <v>527</v>
      </c>
      <c r="U5" s="261" t="s">
        <v>1034</v>
      </c>
      <c r="V5" s="261" t="s">
        <v>1035</v>
      </c>
      <c r="W5" s="261" t="s">
        <v>1036</v>
      </c>
      <c r="X5" s="261" t="s">
        <v>1037</v>
      </c>
      <c r="Y5" s="561" t="s">
        <v>1038</v>
      </c>
      <c r="Z5" s="261" t="s">
        <v>1039</v>
      </c>
      <c r="AA5" s="559" t="s">
        <v>1040</v>
      </c>
    </row>
    <row r="6" spans="1:27" s="1698" customFormat="1" ht="29.1" customHeight="1">
      <c r="A6" s="1677">
        <v>2016</v>
      </c>
      <c r="B6" s="1734">
        <v>158667.95499999999</v>
      </c>
      <c r="C6" s="1735">
        <v>67720.642999999996</v>
      </c>
      <c r="D6" s="1736">
        <v>42896.046000000002</v>
      </c>
      <c r="E6" s="1736">
        <v>48379.783000000003</v>
      </c>
      <c r="F6" s="1736">
        <v>47968.622000000003</v>
      </c>
      <c r="G6" s="1736">
        <v>49260.324999999997</v>
      </c>
      <c r="H6" s="1736">
        <v>93985.517999999996</v>
      </c>
      <c r="I6" s="1737">
        <v>508878.89199999999</v>
      </c>
      <c r="J6" s="1677">
        <f>A6</f>
        <v>2016</v>
      </c>
      <c r="K6" s="1734">
        <v>109485.348</v>
      </c>
      <c r="L6" s="1735">
        <v>48468.247000000003</v>
      </c>
      <c r="M6" s="1736">
        <v>36212.853999999999</v>
      </c>
      <c r="N6" s="1736">
        <v>41414.156999999999</v>
      </c>
      <c r="O6" s="1736">
        <v>41553.767</v>
      </c>
      <c r="P6" s="1736">
        <v>41685.688999999998</v>
      </c>
      <c r="Q6" s="1736">
        <v>86320.716</v>
      </c>
      <c r="R6" s="1737">
        <v>405140.77799999999</v>
      </c>
      <c r="S6" s="1677">
        <f t="shared" ref="S6:S11" si="0">A6</f>
        <v>2016</v>
      </c>
      <c r="T6" s="1738">
        <v>69.003</v>
      </c>
      <c r="U6" s="1739">
        <v>71.570999999999998</v>
      </c>
      <c r="V6" s="1740">
        <v>84.42</v>
      </c>
      <c r="W6" s="1740">
        <v>85.602000000000004</v>
      </c>
      <c r="X6" s="1740">
        <v>86.626999999999995</v>
      </c>
      <c r="Y6" s="1740">
        <v>84.623000000000005</v>
      </c>
      <c r="Z6" s="1740">
        <v>91.844999999999999</v>
      </c>
      <c r="AA6" s="1741">
        <v>79.614000000000004</v>
      </c>
    </row>
    <row r="7" spans="1:27" s="1698" customFormat="1" ht="29.1" customHeight="1">
      <c r="A7" s="1677">
        <v>2017</v>
      </c>
      <c r="B7" s="1734">
        <v>146221.179</v>
      </c>
      <c r="C7" s="1735">
        <v>66640.308999999994</v>
      </c>
      <c r="D7" s="1736">
        <v>50253.675999999999</v>
      </c>
      <c r="E7" s="1736">
        <v>45464.194000000003</v>
      </c>
      <c r="F7" s="1736">
        <v>47659.307999999997</v>
      </c>
      <c r="G7" s="1736">
        <v>48306.85</v>
      </c>
      <c r="H7" s="1736">
        <v>115683.99</v>
      </c>
      <c r="I7" s="1737">
        <v>520229.50699999998</v>
      </c>
      <c r="J7" s="1677">
        <f t="shared" ref="J7:J26" si="1">A7</f>
        <v>2017</v>
      </c>
      <c r="K7" s="1734">
        <v>91134.339000000007</v>
      </c>
      <c r="L7" s="1735">
        <v>51828.444000000003</v>
      </c>
      <c r="M7" s="1736">
        <v>44095.678999999996</v>
      </c>
      <c r="N7" s="1736">
        <v>41757.360999999997</v>
      </c>
      <c r="O7" s="1736">
        <v>43474.190999999999</v>
      </c>
      <c r="P7" s="1736">
        <v>44515.887000000002</v>
      </c>
      <c r="Q7" s="1736">
        <v>116619.84299999999</v>
      </c>
      <c r="R7" s="1737">
        <v>433425.74300000002</v>
      </c>
      <c r="S7" s="1677">
        <f t="shared" si="0"/>
        <v>2017</v>
      </c>
      <c r="T7" s="1738">
        <v>62.326000000000001</v>
      </c>
      <c r="U7" s="1739">
        <v>77.772999999999996</v>
      </c>
      <c r="V7" s="1740">
        <v>87.745999999999995</v>
      </c>
      <c r="W7" s="1740">
        <v>91.846999999999994</v>
      </c>
      <c r="X7" s="1740">
        <v>91.218999999999994</v>
      </c>
      <c r="Y7" s="1740">
        <v>92.152000000000001</v>
      </c>
      <c r="Z7" s="1740">
        <v>100.809</v>
      </c>
      <c r="AA7" s="1741">
        <v>83.313999999999993</v>
      </c>
    </row>
    <row r="8" spans="1:27" s="543" customFormat="1" ht="29.1" customHeight="1">
      <c r="A8" s="1677">
        <v>2018</v>
      </c>
      <c r="B8" s="1734">
        <v>131930.72099999999</v>
      </c>
      <c r="C8" s="1735">
        <v>64128.383000000002</v>
      </c>
      <c r="D8" s="1736">
        <v>45568.544000000002</v>
      </c>
      <c r="E8" s="1736">
        <v>49221.773999999998</v>
      </c>
      <c r="F8" s="1736">
        <v>55525.061999999998</v>
      </c>
      <c r="G8" s="1736">
        <v>50696.748</v>
      </c>
      <c r="H8" s="1736">
        <v>139216.21900000001</v>
      </c>
      <c r="I8" s="1737">
        <v>536287.44999999995</v>
      </c>
      <c r="J8" s="1677">
        <f t="shared" si="1"/>
        <v>2018</v>
      </c>
      <c r="K8" s="1734">
        <v>85025.214999999997</v>
      </c>
      <c r="L8" s="1735">
        <v>54409.224000000002</v>
      </c>
      <c r="M8" s="1736">
        <v>42377.008000000002</v>
      </c>
      <c r="N8" s="1736">
        <v>47654.489000000001</v>
      </c>
      <c r="O8" s="1736">
        <v>54382.805999999997</v>
      </c>
      <c r="P8" s="1736">
        <v>47763.451000000001</v>
      </c>
      <c r="Q8" s="1736">
        <v>154695.4</v>
      </c>
      <c r="R8" s="1737">
        <v>486307.59299999999</v>
      </c>
      <c r="S8" s="1677">
        <f t="shared" si="0"/>
        <v>2018</v>
      </c>
      <c r="T8" s="1738">
        <v>64.447000000000003</v>
      </c>
      <c r="U8" s="1739">
        <v>84.843999999999994</v>
      </c>
      <c r="V8" s="1740">
        <v>92.995999999999995</v>
      </c>
      <c r="W8" s="1740">
        <v>96.816000000000003</v>
      </c>
      <c r="X8" s="1740">
        <v>97.942999999999998</v>
      </c>
      <c r="Y8" s="1740">
        <v>94.213999999999999</v>
      </c>
      <c r="Z8" s="1740">
        <v>111.119</v>
      </c>
      <c r="AA8" s="1741">
        <v>90.68</v>
      </c>
    </row>
    <row r="9" spans="1:27" s="543" customFormat="1" ht="29.1" customHeight="1">
      <c r="A9" s="1677">
        <v>2019</v>
      </c>
      <c r="B9" s="1734">
        <v>142948.636</v>
      </c>
      <c r="C9" s="1735">
        <v>60361.127</v>
      </c>
      <c r="D9" s="1736">
        <v>43342.212</v>
      </c>
      <c r="E9" s="1736">
        <v>44177.777000000002</v>
      </c>
      <c r="F9" s="1736">
        <v>48932.343999999997</v>
      </c>
      <c r="G9" s="1736">
        <v>48144.409</v>
      </c>
      <c r="H9" s="1736">
        <v>141168.09400000001</v>
      </c>
      <c r="I9" s="1737">
        <v>529074.59900000005</v>
      </c>
      <c r="J9" s="1677">
        <f t="shared" si="1"/>
        <v>2019</v>
      </c>
      <c r="K9" s="1734">
        <v>86076.210999999996</v>
      </c>
      <c r="L9" s="1735">
        <v>53539.64</v>
      </c>
      <c r="M9" s="1736">
        <v>44353.883000000002</v>
      </c>
      <c r="N9" s="1736">
        <v>43539.43</v>
      </c>
      <c r="O9" s="1736">
        <v>49864.9</v>
      </c>
      <c r="P9" s="1736">
        <v>46581.716</v>
      </c>
      <c r="Q9" s="1736">
        <v>152899.17199999999</v>
      </c>
      <c r="R9" s="1737">
        <v>476854.951</v>
      </c>
      <c r="S9" s="1677">
        <f t="shared" si="0"/>
        <v>2019</v>
      </c>
      <c r="T9" s="1738">
        <v>60.215000000000003</v>
      </c>
      <c r="U9" s="1739">
        <v>88.698999999999998</v>
      </c>
      <c r="V9" s="1740">
        <v>102.334</v>
      </c>
      <c r="W9" s="1740">
        <v>98.555000000000007</v>
      </c>
      <c r="X9" s="1740">
        <v>101.90600000000001</v>
      </c>
      <c r="Y9" s="1740">
        <v>96.754000000000005</v>
      </c>
      <c r="Z9" s="1740">
        <v>108.31</v>
      </c>
      <c r="AA9" s="1741">
        <v>90.13</v>
      </c>
    </row>
    <row r="10" spans="1:27" s="543" customFormat="1" ht="29.1" customHeight="1">
      <c r="A10" s="1677">
        <v>2020</v>
      </c>
      <c r="B10" s="1734">
        <v>156716.93700000001</v>
      </c>
      <c r="C10" s="1735">
        <v>48677.396999999997</v>
      </c>
      <c r="D10" s="1736">
        <v>46265.184999999998</v>
      </c>
      <c r="E10" s="1736">
        <v>37683.633999999998</v>
      </c>
      <c r="F10" s="1736">
        <v>41433.040999999997</v>
      </c>
      <c r="G10" s="1736">
        <v>43026.739000000001</v>
      </c>
      <c r="H10" s="1736">
        <v>141304.18599999999</v>
      </c>
      <c r="I10" s="1737">
        <v>515107.11800000002</v>
      </c>
      <c r="J10" s="1677">
        <f t="shared" si="1"/>
        <v>2020</v>
      </c>
      <c r="K10" s="1734">
        <v>95529.876000000004</v>
      </c>
      <c r="L10" s="1735">
        <v>40471.54</v>
      </c>
      <c r="M10" s="1736">
        <v>41539.523000000001</v>
      </c>
      <c r="N10" s="1736">
        <v>35021.915000000001</v>
      </c>
      <c r="O10" s="1736">
        <v>39458.392999999996</v>
      </c>
      <c r="P10" s="1736">
        <v>39808.440999999999</v>
      </c>
      <c r="Q10" s="1736">
        <v>123779.34</v>
      </c>
      <c r="R10" s="1737">
        <v>415609.02899999998</v>
      </c>
      <c r="S10" s="1677">
        <f t="shared" si="0"/>
        <v>2020</v>
      </c>
      <c r="T10" s="1738">
        <v>60.957000000000001</v>
      </c>
      <c r="U10" s="1739">
        <v>83.141999999999996</v>
      </c>
      <c r="V10" s="1740">
        <v>89.786000000000001</v>
      </c>
      <c r="W10" s="1740">
        <v>92.936999999999998</v>
      </c>
      <c r="X10" s="1740">
        <v>95.233999999999995</v>
      </c>
      <c r="Y10" s="1740">
        <v>92.52</v>
      </c>
      <c r="Z10" s="1740">
        <v>87.597999999999999</v>
      </c>
      <c r="AA10" s="1741">
        <v>80.683999999999997</v>
      </c>
    </row>
    <row r="11" spans="1:27" s="543" customFormat="1" ht="29.1" customHeight="1">
      <c r="A11" s="1677">
        <v>2021</v>
      </c>
      <c r="B11" s="1734">
        <v>154842.56400000001</v>
      </c>
      <c r="C11" s="1735">
        <v>43823.563000000002</v>
      </c>
      <c r="D11" s="1736">
        <v>46202.663</v>
      </c>
      <c r="E11" s="1736">
        <v>44468.646000000001</v>
      </c>
      <c r="F11" s="1736">
        <v>48605.428999999996</v>
      </c>
      <c r="G11" s="1736">
        <v>41529.828999999998</v>
      </c>
      <c r="H11" s="1736">
        <v>156512.796</v>
      </c>
      <c r="I11" s="1737">
        <v>535985.49</v>
      </c>
      <c r="J11" s="1677">
        <f t="shared" si="1"/>
        <v>2021</v>
      </c>
      <c r="K11" s="1734">
        <v>90694.251999999993</v>
      </c>
      <c r="L11" s="1735">
        <v>45811.707000000002</v>
      </c>
      <c r="M11" s="1736">
        <v>52494.406000000003</v>
      </c>
      <c r="N11" s="1736">
        <v>48251.6</v>
      </c>
      <c r="O11" s="1736">
        <v>56544.13</v>
      </c>
      <c r="P11" s="1736">
        <v>46037.898999999998</v>
      </c>
      <c r="Q11" s="1736">
        <v>175854.37299999999</v>
      </c>
      <c r="R11" s="1737">
        <v>515688.36700000003</v>
      </c>
      <c r="S11" s="1677">
        <f t="shared" si="0"/>
        <v>2021</v>
      </c>
      <c r="T11" s="1738">
        <v>58.572000000000003</v>
      </c>
      <c r="U11" s="1739">
        <v>104.53700000000001</v>
      </c>
      <c r="V11" s="1740">
        <v>113.61799999999999</v>
      </c>
      <c r="W11" s="1740">
        <v>108.50700000000001</v>
      </c>
      <c r="X11" s="1740">
        <v>116.333</v>
      </c>
      <c r="Y11" s="1740">
        <v>110.855</v>
      </c>
      <c r="Z11" s="1740">
        <v>112.358</v>
      </c>
      <c r="AA11" s="1741">
        <v>96.212999999999994</v>
      </c>
    </row>
    <row r="12" spans="1:27" s="543" customFormat="1" ht="29.1" customHeight="1">
      <c r="A12" s="1742" t="s">
        <v>795</v>
      </c>
      <c r="B12" s="1743">
        <v>154842.56400000001</v>
      </c>
      <c r="C12" s="1744">
        <v>43823.563000000002</v>
      </c>
      <c r="D12" s="1745">
        <v>46202.663</v>
      </c>
      <c r="E12" s="1745">
        <v>44468.646000000001</v>
      </c>
      <c r="F12" s="1745">
        <v>48605.428999999996</v>
      </c>
      <c r="G12" s="1745">
        <v>41529.828999999998</v>
      </c>
      <c r="H12" s="1745">
        <v>156512.796</v>
      </c>
      <c r="I12" s="1746">
        <v>535985.49</v>
      </c>
      <c r="J12" s="1742" t="str">
        <f t="shared" si="1"/>
        <v>2021.01~12</v>
      </c>
      <c r="K12" s="1743">
        <v>90694.251999999993</v>
      </c>
      <c r="L12" s="1744">
        <v>45811.707000000002</v>
      </c>
      <c r="M12" s="1745">
        <v>52494.406000000003</v>
      </c>
      <c r="N12" s="1745">
        <v>48251.6</v>
      </c>
      <c r="O12" s="1745">
        <v>56544.13</v>
      </c>
      <c r="P12" s="1745">
        <v>46037.898999999998</v>
      </c>
      <c r="Q12" s="1745">
        <v>175854.37299999999</v>
      </c>
      <c r="R12" s="1746">
        <v>515688.36700000003</v>
      </c>
      <c r="S12" s="1742" t="str">
        <f t="shared" ref="S12:S26" si="2">J12</f>
        <v>2021.01~12</v>
      </c>
      <c r="T12" s="1747">
        <v>58.572000000000003</v>
      </c>
      <c r="U12" s="1748">
        <v>104.53700000000001</v>
      </c>
      <c r="V12" s="1749">
        <v>113.61799999999999</v>
      </c>
      <c r="W12" s="1749">
        <v>108.50700000000001</v>
      </c>
      <c r="X12" s="1749">
        <v>116.333</v>
      </c>
      <c r="Y12" s="1749">
        <v>110.855</v>
      </c>
      <c r="Z12" s="1749">
        <v>112.358</v>
      </c>
      <c r="AA12" s="1750">
        <v>96.212999999999994</v>
      </c>
    </row>
    <row r="13" spans="1:27" s="1698" customFormat="1" ht="29.1" customHeight="1">
      <c r="A13" s="1507">
        <v>2021.12</v>
      </c>
      <c r="B13" s="1734">
        <v>16122.384</v>
      </c>
      <c r="C13" s="1735">
        <v>4190.902</v>
      </c>
      <c r="D13" s="1736">
        <v>4201.6210000000001</v>
      </c>
      <c r="E13" s="1736">
        <v>3747.7060000000001</v>
      </c>
      <c r="F13" s="1736">
        <v>4252.7460000000001</v>
      </c>
      <c r="G13" s="1736">
        <v>3532.72</v>
      </c>
      <c r="H13" s="1736">
        <v>14186.732</v>
      </c>
      <c r="I13" s="1737">
        <v>50234.81</v>
      </c>
      <c r="J13" s="1507">
        <f t="shared" si="1"/>
        <v>2021.12</v>
      </c>
      <c r="K13" s="1734">
        <v>8961.2099999999991</v>
      </c>
      <c r="L13" s="1735">
        <v>5290.31</v>
      </c>
      <c r="M13" s="1736">
        <v>6251.5259999999998</v>
      </c>
      <c r="N13" s="1736">
        <v>5646.308</v>
      </c>
      <c r="O13" s="1736">
        <v>6394.4560000000001</v>
      </c>
      <c r="P13" s="1736">
        <v>5029.4690000000001</v>
      </c>
      <c r="Q13" s="1736">
        <v>25008.760999999999</v>
      </c>
      <c r="R13" s="1737">
        <v>62582.038999999997</v>
      </c>
      <c r="S13" s="1507">
        <f t="shared" si="2"/>
        <v>2021.12</v>
      </c>
      <c r="T13" s="1738">
        <v>55.582000000000001</v>
      </c>
      <c r="U13" s="1739">
        <v>126.233</v>
      </c>
      <c r="V13" s="1740">
        <v>148.78800000000001</v>
      </c>
      <c r="W13" s="1740">
        <v>150.66</v>
      </c>
      <c r="X13" s="1740">
        <v>150.36099999999999</v>
      </c>
      <c r="Y13" s="1740">
        <v>142.36799999999999</v>
      </c>
      <c r="Z13" s="1740">
        <v>176.28299999999999</v>
      </c>
      <c r="AA13" s="1741">
        <v>124.57899999999999</v>
      </c>
    </row>
    <row r="14" spans="1:27" s="1707" customFormat="1" ht="29.1" customHeight="1">
      <c r="A14" s="1700" t="s">
        <v>796</v>
      </c>
      <c r="B14" s="3188">
        <v>172347.351</v>
      </c>
      <c r="C14" s="3189">
        <v>42176.586000000003</v>
      </c>
      <c r="D14" s="3190">
        <v>44874.635000000002</v>
      </c>
      <c r="E14" s="3190">
        <v>41292.832999999999</v>
      </c>
      <c r="F14" s="3190">
        <v>49591.699000000001</v>
      </c>
      <c r="G14" s="3190">
        <v>37467.970999999998</v>
      </c>
      <c r="H14" s="3190">
        <v>163081.182</v>
      </c>
      <c r="I14" s="3191">
        <v>550832.25899999996</v>
      </c>
      <c r="J14" s="1700" t="str">
        <f t="shared" si="1"/>
        <v>2022.01~12</v>
      </c>
      <c r="K14" s="3188">
        <v>100940.86599999999</v>
      </c>
      <c r="L14" s="3189">
        <v>71532.808000000005</v>
      </c>
      <c r="M14" s="3190">
        <v>85089.501000000004</v>
      </c>
      <c r="N14" s="3190">
        <v>79405.951000000001</v>
      </c>
      <c r="O14" s="3190">
        <v>91823.926999999996</v>
      </c>
      <c r="P14" s="3190">
        <v>66970.173999999999</v>
      </c>
      <c r="Q14" s="3190">
        <v>351028.23100000003</v>
      </c>
      <c r="R14" s="3191">
        <v>846791.45700000005</v>
      </c>
      <c r="S14" s="1700" t="str">
        <f t="shared" si="2"/>
        <v>2022.01~12</v>
      </c>
      <c r="T14" s="3192">
        <v>58.567999999999998</v>
      </c>
      <c r="U14" s="3193">
        <v>169.60300000000001</v>
      </c>
      <c r="V14" s="3194">
        <v>189.61600000000001</v>
      </c>
      <c r="W14" s="3194">
        <v>192.3</v>
      </c>
      <c r="X14" s="3194">
        <v>185.16</v>
      </c>
      <c r="Y14" s="3194">
        <v>178.74</v>
      </c>
      <c r="Z14" s="3194">
        <v>215.24799999999999</v>
      </c>
      <c r="AA14" s="3195">
        <v>153.72900000000001</v>
      </c>
    </row>
    <row r="15" spans="1:27" s="1698" customFormat="1" ht="29.1" customHeight="1">
      <c r="A15" s="1507">
        <v>2022.01</v>
      </c>
      <c r="B15" s="1734">
        <v>15701.8</v>
      </c>
      <c r="C15" s="1735">
        <v>4603.8029999999999</v>
      </c>
      <c r="D15" s="1736">
        <v>4534.835</v>
      </c>
      <c r="E15" s="1736">
        <v>3882.1509999999998</v>
      </c>
      <c r="F15" s="1736">
        <v>4112.8779999999997</v>
      </c>
      <c r="G15" s="1736">
        <v>3831.165</v>
      </c>
      <c r="H15" s="1736">
        <v>14663.392</v>
      </c>
      <c r="I15" s="1737">
        <v>51330.023999999998</v>
      </c>
      <c r="J15" s="1507">
        <f t="shared" si="1"/>
        <v>2022.01</v>
      </c>
      <c r="K15" s="1734">
        <v>10516.546</v>
      </c>
      <c r="L15" s="1735">
        <v>6357.8580000000002</v>
      </c>
      <c r="M15" s="1736">
        <v>7229.1570000000002</v>
      </c>
      <c r="N15" s="1736">
        <v>6131.4650000000001</v>
      </c>
      <c r="O15" s="1736">
        <v>7115.2179999999998</v>
      </c>
      <c r="P15" s="1736">
        <v>6068.9189999999999</v>
      </c>
      <c r="Q15" s="1736">
        <v>27179.184000000001</v>
      </c>
      <c r="R15" s="1737">
        <v>70598.347999999998</v>
      </c>
      <c r="S15" s="1507">
        <f t="shared" si="2"/>
        <v>2022.01</v>
      </c>
      <c r="T15" s="1738">
        <v>66.977000000000004</v>
      </c>
      <c r="U15" s="1739">
        <v>138.1</v>
      </c>
      <c r="V15" s="1740">
        <v>159.41399999999999</v>
      </c>
      <c r="W15" s="1740">
        <v>157.94</v>
      </c>
      <c r="X15" s="1740">
        <v>172.999</v>
      </c>
      <c r="Y15" s="1740">
        <v>158.40899999999999</v>
      </c>
      <c r="Z15" s="1740">
        <v>185.35400000000001</v>
      </c>
      <c r="AA15" s="1741">
        <v>137.53800000000001</v>
      </c>
    </row>
    <row r="16" spans="1:27" s="543" customFormat="1" ht="29.1" customHeight="1">
      <c r="A16" s="1507">
        <v>2022.02</v>
      </c>
      <c r="B16" s="1734">
        <v>13673.464</v>
      </c>
      <c r="C16" s="1735">
        <v>3696.2890000000002</v>
      </c>
      <c r="D16" s="1736">
        <v>3642.5120000000002</v>
      </c>
      <c r="E16" s="1736">
        <v>3585.3020000000001</v>
      </c>
      <c r="F16" s="1736">
        <v>3815.4290000000001</v>
      </c>
      <c r="G16" s="1736">
        <v>2967.808</v>
      </c>
      <c r="H16" s="1736">
        <v>13713.691999999999</v>
      </c>
      <c r="I16" s="1737">
        <v>45094.497000000003</v>
      </c>
      <c r="J16" s="1507">
        <f t="shared" si="1"/>
        <v>2022.02</v>
      </c>
      <c r="K16" s="1734">
        <v>10072.859</v>
      </c>
      <c r="L16" s="1735">
        <v>5935.0540000000001</v>
      </c>
      <c r="M16" s="1736">
        <v>6846.5619999999999</v>
      </c>
      <c r="N16" s="1736">
        <v>6019.7969999999996</v>
      </c>
      <c r="O16" s="1736">
        <v>7406.2160000000003</v>
      </c>
      <c r="P16" s="1736">
        <v>5419.2870000000003</v>
      </c>
      <c r="Q16" s="1736">
        <v>30827.513999999999</v>
      </c>
      <c r="R16" s="1737">
        <v>72527.289000000004</v>
      </c>
      <c r="S16" s="1507">
        <f t="shared" si="2"/>
        <v>2022.02</v>
      </c>
      <c r="T16" s="1738">
        <v>73.667000000000002</v>
      </c>
      <c r="U16" s="1739">
        <v>160.56800000000001</v>
      </c>
      <c r="V16" s="1740">
        <v>187.96299999999999</v>
      </c>
      <c r="W16" s="1740">
        <v>167.90199999999999</v>
      </c>
      <c r="X16" s="1740">
        <v>194.11199999999999</v>
      </c>
      <c r="Y16" s="1740">
        <v>182.602</v>
      </c>
      <c r="Z16" s="1740">
        <v>224.79400000000001</v>
      </c>
      <c r="AA16" s="1741">
        <v>160.834</v>
      </c>
    </row>
    <row r="17" spans="1:27" s="543" customFormat="1" ht="29.1" customHeight="1">
      <c r="A17" s="1507">
        <v>2022.03</v>
      </c>
      <c r="B17" s="1734">
        <v>13607.759</v>
      </c>
      <c r="C17" s="1735">
        <v>2776.3850000000002</v>
      </c>
      <c r="D17" s="1736">
        <v>4002.4290000000001</v>
      </c>
      <c r="E17" s="1736">
        <v>3575.7330000000002</v>
      </c>
      <c r="F17" s="1736">
        <v>3741.3449999999998</v>
      </c>
      <c r="G17" s="1736">
        <v>2637.78</v>
      </c>
      <c r="H17" s="1736">
        <v>15915.148999999999</v>
      </c>
      <c r="I17" s="1737">
        <v>46256.580999999998</v>
      </c>
      <c r="J17" s="1507">
        <f t="shared" si="1"/>
        <v>2022.03</v>
      </c>
      <c r="K17" s="1734">
        <v>8755.8520000000008</v>
      </c>
      <c r="L17" s="1735">
        <v>4514.4629999999997</v>
      </c>
      <c r="M17" s="1736">
        <v>6619.2749999999996</v>
      </c>
      <c r="N17" s="1736">
        <v>5955.7839999999997</v>
      </c>
      <c r="O17" s="1736">
        <v>7032.0190000000002</v>
      </c>
      <c r="P17" s="1736">
        <v>4637.1480000000001</v>
      </c>
      <c r="Q17" s="1736">
        <v>32593.201000000001</v>
      </c>
      <c r="R17" s="1737">
        <v>70107.741999999998</v>
      </c>
      <c r="S17" s="1507">
        <f t="shared" si="2"/>
        <v>2022.03</v>
      </c>
      <c r="T17" s="1738">
        <v>64.344999999999999</v>
      </c>
      <c r="U17" s="1739">
        <v>162.602</v>
      </c>
      <c r="V17" s="1740">
        <v>165.381</v>
      </c>
      <c r="W17" s="1740">
        <v>166.56100000000001</v>
      </c>
      <c r="X17" s="1740">
        <v>187.95400000000001</v>
      </c>
      <c r="Y17" s="1740">
        <v>175.797</v>
      </c>
      <c r="Z17" s="1740">
        <v>204.79400000000001</v>
      </c>
      <c r="AA17" s="1741">
        <v>151.56299999999999</v>
      </c>
    </row>
    <row r="18" spans="1:27" s="543" customFormat="1" ht="29.1" customHeight="1">
      <c r="A18" s="1507">
        <v>2022.04</v>
      </c>
      <c r="B18" s="1734">
        <v>13061.29</v>
      </c>
      <c r="C18" s="1735">
        <v>3250.7530000000002</v>
      </c>
      <c r="D18" s="1736">
        <v>2824.9110000000001</v>
      </c>
      <c r="E18" s="1736">
        <v>2836.8739999999998</v>
      </c>
      <c r="F18" s="1736">
        <v>3573.5830000000001</v>
      </c>
      <c r="G18" s="1736">
        <v>2523.0880000000002</v>
      </c>
      <c r="H18" s="1736">
        <v>13161.031999999999</v>
      </c>
      <c r="I18" s="1737">
        <v>41231.53</v>
      </c>
      <c r="J18" s="1507">
        <f t="shared" si="1"/>
        <v>2022.04</v>
      </c>
      <c r="K18" s="1734">
        <v>7571.259</v>
      </c>
      <c r="L18" s="1735">
        <v>5781.5810000000001</v>
      </c>
      <c r="M18" s="1736">
        <v>4885.7520000000004</v>
      </c>
      <c r="N18" s="1736">
        <v>4848.183</v>
      </c>
      <c r="O18" s="1736">
        <v>6705.0730000000003</v>
      </c>
      <c r="P18" s="1736">
        <v>5108.5479999999998</v>
      </c>
      <c r="Q18" s="1736">
        <v>28326.014999999999</v>
      </c>
      <c r="R18" s="1737">
        <v>63226.411</v>
      </c>
      <c r="S18" s="1507">
        <f t="shared" si="2"/>
        <v>2022.04</v>
      </c>
      <c r="T18" s="1738">
        <v>57.966999999999999</v>
      </c>
      <c r="U18" s="1739">
        <v>177.85400000000001</v>
      </c>
      <c r="V18" s="1740">
        <v>172.952</v>
      </c>
      <c r="W18" s="1740">
        <v>170.899</v>
      </c>
      <c r="X18" s="1740">
        <v>187.62899999999999</v>
      </c>
      <c r="Y18" s="1740">
        <v>202.47200000000001</v>
      </c>
      <c r="Z18" s="1740">
        <v>215.226</v>
      </c>
      <c r="AA18" s="1741">
        <v>153.345</v>
      </c>
    </row>
    <row r="19" spans="1:27" s="543" customFormat="1" ht="29.1" customHeight="1">
      <c r="A19" s="1507">
        <v>2022.05</v>
      </c>
      <c r="B19" s="1734">
        <v>14270.495000000001</v>
      </c>
      <c r="C19" s="1735">
        <v>3087.7570000000001</v>
      </c>
      <c r="D19" s="1736">
        <v>3270.4749999999999</v>
      </c>
      <c r="E19" s="1736">
        <v>2628.1750000000002</v>
      </c>
      <c r="F19" s="1736">
        <v>4043.6410000000001</v>
      </c>
      <c r="G19" s="1736">
        <v>2587.2240000000002</v>
      </c>
      <c r="H19" s="1736">
        <v>12111.716</v>
      </c>
      <c r="I19" s="1737">
        <v>41999.483</v>
      </c>
      <c r="J19" s="1507">
        <f t="shared" si="1"/>
        <v>2022.05</v>
      </c>
      <c r="K19" s="1734">
        <v>6100.5709999999999</v>
      </c>
      <c r="L19" s="1735">
        <v>5655.76</v>
      </c>
      <c r="M19" s="1736">
        <v>5223.6170000000002</v>
      </c>
      <c r="N19" s="1736">
        <v>3496.8130000000001</v>
      </c>
      <c r="O19" s="1736">
        <v>6004.7879999999996</v>
      </c>
      <c r="P19" s="1736">
        <v>3976.5709999999999</v>
      </c>
      <c r="Q19" s="1736">
        <v>19491.131000000001</v>
      </c>
      <c r="R19" s="1737">
        <v>49949.252</v>
      </c>
      <c r="S19" s="1507">
        <f t="shared" si="2"/>
        <v>2022.05</v>
      </c>
      <c r="T19" s="1738">
        <v>42.75</v>
      </c>
      <c r="U19" s="1739">
        <v>183.167</v>
      </c>
      <c r="V19" s="1740">
        <v>159.72</v>
      </c>
      <c r="W19" s="1740">
        <v>133.05099999999999</v>
      </c>
      <c r="X19" s="1740">
        <v>148.5</v>
      </c>
      <c r="Y19" s="1740">
        <v>153.69999999999999</v>
      </c>
      <c r="Z19" s="1740">
        <v>160.928</v>
      </c>
      <c r="AA19" s="1741">
        <v>118.928</v>
      </c>
    </row>
    <row r="20" spans="1:27" s="543" customFormat="1" ht="29.1" customHeight="1">
      <c r="A20" s="1507">
        <v>2022.06</v>
      </c>
      <c r="B20" s="1734">
        <v>14387.114</v>
      </c>
      <c r="C20" s="1735">
        <v>3205.7820000000002</v>
      </c>
      <c r="D20" s="1736">
        <v>3370.0129999999999</v>
      </c>
      <c r="E20" s="1736">
        <v>3216.3780000000002</v>
      </c>
      <c r="F20" s="1736">
        <v>4526.7979999999998</v>
      </c>
      <c r="G20" s="1736">
        <v>3119.35</v>
      </c>
      <c r="H20" s="1736">
        <v>12073.589</v>
      </c>
      <c r="I20" s="1737">
        <v>43899.023999999998</v>
      </c>
      <c r="J20" s="1507">
        <f t="shared" si="1"/>
        <v>2022.06</v>
      </c>
      <c r="K20" s="1734">
        <v>6031.5559999999996</v>
      </c>
      <c r="L20" s="1735">
        <v>4253.6679999999997</v>
      </c>
      <c r="M20" s="1736">
        <v>4595.18</v>
      </c>
      <c r="N20" s="1736">
        <v>4243.6859999999997</v>
      </c>
      <c r="O20" s="1736">
        <v>6339.6570000000002</v>
      </c>
      <c r="P20" s="1736">
        <v>4404.5379999999996</v>
      </c>
      <c r="Q20" s="1736">
        <v>17669.501</v>
      </c>
      <c r="R20" s="1737">
        <v>47537.785000000003</v>
      </c>
      <c r="S20" s="1507">
        <f t="shared" si="2"/>
        <v>2022.06</v>
      </c>
      <c r="T20" s="1738">
        <v>41.923000000000002</v>
      </c>
      <c r="U20" s="1739">
        <v>132.68700000000001</v>
      </c>
      <c r="V20" s="1740">
        <v>136.35499999999999</v>
      </c>
      <c r="W20" s="1740">
        <v>131.94</v>
      </c>
      <c r="X20" s="1740">
        <v>140.047</v>
      </c>
      <c r="Y20" s="1740">
        <v>141.20099999999999</v>
      </c>
      <c r="Z20" s="1740">
        <v>146.34800000000001</v>
      </c>
      <c r="AA20" s="1741">
        <v>108.289</v>
      </c>
    </row>
    <row r="21" spans="1:27" s="543" customFormat="1" ht="29.1" customHeight="1">
      <c r="A21" s="1507">
        <v>2022.07</v>
      </c>
      <c r="B21" s="1734">
        <v>15083.746999999999</v>
      </c>
      <c r="C21" s="1735">
        <v>3840.8739999999998</v>
      </c>
      <c r="D21" s="1736">
        <v>5004.6040000000003</v>
      </c>
      <c r="E21" s="1736">
        <v>4165.9009999999998</v>
      </c>
      <c r="F21" s="1736">
        <v>5145.933</v>
      </c>
      <c r="G21" s="1736">
        <v>3579.6930000000002</v>
      </c>
      <c r="H21" s="1736">
        <v>14085.775</v>
      </c>
      <c r="I21" s="1737">
        <v>50906.527000000002</v>
      </c>
      <c r="J21" s="1507">
        <f t="shared" si="1"/>
        <v>2022.07</v>
      </c>
      <c r="K21" s="1734">
        <v>8822.9750000000004</v>
      </c>
      <c r="L21" s="1735">
        <v>6230.9970000000003</v>
      </c>
      <c r="M21" s="1736">
        <v>8024.3149999999996</v>
      </c>
      <c r="N21" s="1736">
        <v>6933.8549999999996</v>
      </c>
      <c r="O21" s="1736">
        <v>8794.268</v>
      </c>
      <c r="P21" s="1736">
        <v>6346.7150000000001</v>
      </c>
      <c r="Q21" s="1736">
        <v>25345.271000000001</v>
      </c>
      <c r="R21" s="1737">
        <v>70498.395999999993</v>
      </c>
      <c r="S21" s="1507">
        <f t="shared" si="2"/>
        <v>2022.07</v>
      </c>
      <c r="T21" s="1738">
        <v>58.493000000000002</v>
      </c>
      <c r="U21" s="1739">
        <v>162.22900000000001</v>
      </c>
      <c r="V21" s="1740">
        <v>160.339</v>
      </c>
      <c r="W21" s="1740">
        <v>166.44300000000001</v>
      </c>
      <c r="X21" s="1740">
        <v>170.89699999999999</v>
      </c>
      <c r="Y21" s="1740">
        <v>177.298</v>
      </c>
      <c r="Z21" s="1740">
        <v>179.935</v>
      </c>
      <c r="AA21" s="1741">
        <v>138.48599999999999</v>
      </c>
    </row>
    <row r="22" spans="1:27" s="543" customFormat="1" ht="29.1" customHeight="1">
      <c r="A22" s="1507">
        <v>2022.08</v>
      </c>
      <c r="B22" s="1734">
        <v>16028.68</v>
      </c>
      <c r="C22" s="1735">
        <v>4134.2439999999997</v>
      </c>
      <c r="D22" s="1736">
        <v>3967.2959999999998</v>
      </c>
      <c r="E22" s="1736">
        <v>3628.2620000000002</v>
      </c>
      <c r="F22" s="1736">
        <v>4872.3620000000001</v>
      </c>
      <c r="G22" s="1736">
        <v>3358.77</v>
      </c>
      <c r="H22" s="1736">
        <v>14131.094999999999</v>
      </c>
      <c r="I22" s="1737">
        <v>50120.71</v>
      </c>
      <c r="J22" s="1507">
        <f t="shared" si="1"/>
        <v>2022.08</v>
      </c>
      <c r="K22" s="1734">
        <v>11178.651</v>
      </c>
      <c r="L22" s="1735">
        <v>7724.2370000000001</v>
      </c>
      <c r="M22" s="1736">
        <v>9355.75</v>
      </c>
      <c r="N22" s="1736">
        <v>8133.0609999999997</v>
      </c>
      <c r="O22" s="1736">
        <v>10404.183000000001</v>
      </c>
      <c r="P22" s="1736">
        <v>7281.6949999999997</v>
      </c>
      <c r="Q22" s="1736">
        <v>33904.224000000002</v>
      </c>
      <c r="R22" s="1737">
        <v>87981.801999999996</v>
      </c>
      <c r="S22" s="1507">
        <f t="shared" si="2"/>
        <v>2022.08</v>
      </c>
      <c r="T22" s="1738">
        <v>69.742000000000004</v>
      </c>
      <c r="U22" s="1739">
        <v>186.83600000000001</v>
      </c>
      <c r="V22" s="1740">
        <v>235.822</v>
      </c>
      <c r="W22" s="1740">
        <v>224.15899999999999</v>
      </c>
      <c r="X22" s="1740">
        <v>213.535</v>
      </c>
      <c r="Y22" s="1740">
        <v>216.79599999999999</v>
      </c>
      <c r="Z22" s="1740">
        <v>239.92599999999999</v>
      </c>
      <c r="AA22" s="1741">
        <v>175.54</v>
      </c>
    </row>
    <row r="23" spans="1:27" s="543" customFormat="1" ht="29.1" customHeight="1">
      <c r="A23" s="1507">
        <v>2022.09</v>
      </c>
      <c r="B23" s="1734">
        <v>13853.337</v>
      </c>
      <c r="C23" s="1735">
        <v>3348.6660000000002</v>
      </c>
      <c r="D23" s="1736">
        <v>3377.4389999999999</v>
      </c>
      <c r="E23" s="1736">
        <v>2651.4549999999999</v>
      </c>
      <c r="F23" s="1736">
        <v>4138.8890000000001</v>
      </c>
      <c r="G23" s="1736">
        <v>2949.3910000000001</v>
      </c>
      <c r="H23" s="1736">
        <v>12268.245000000001</v>
      </c>
      <c r="I23" s="1737">
        <v>42587.421000000002</v>
      </c>
      <c r="J23" s="1507">
        <f t="shared" si="1"/>
        <v>2022.09</v>
      </c>
      <c r="K23" s="1734">
        <v>7917.0659999999998</v>
      </c>
      <c r="L23" s="1735">
        <v>6158.759</v>
      </c>
      <c r="M23" s="1736">
        <v>7705.96</v>
      </c>
      <c r="N23" s="1736">
        <v>6758.0889999999999</v>
      </c>
      <c r="O23" s="1736">
        <v>7915.8789999999999</v>
      </c>
      <c r="P23" s="1736">
        <v>5900.9549999999999</v>
      </c>
      <c r="Q23" s="1736">
        <v>32755.796999999999</v>
      </c>
      <c r="R23" s="1737">
        <v>75112.505999999994</v>
      </c>
      <c r="S23" s="1507">
        <f t="shared" si="2"/>
        <v>2022.09</v>
      </c>
      <c r="T23" s="1738">
        <v>57.149000000000001</v>
      </c>
      <c r="U23" s="1739">
        <v>183.917</v>
      </c>
      <c r="V23" s="1740">
        <v>228.16</v>
      </c>
      <c r="W23" s="1740">
        <v>254.88200000000001</v>
      </c>
      <c r="X23" s="1740">
        <v>191.256</v>
      </c>
      <c r="Y23" s="1740">
        <v>200.07400000000001</v>
      </c>
      <c r="Z23" s="1740">
        <v>266.99700000000001</v>
      </c>
      <c r="AA23" s="1741">
        <v>176.37299999999999</v>
      </c>
    </row>
    <row r="24" spans="1:27" s="1698" customFormat="1" ht="29.1" customHeight="1">
      <c r="A24" s="1508">
        <v>2022.1</v>
      </c>
      <c r="B24" s="1752">
        <v>14095.798000000001</v>
      </c>
      <c r="C24" s="1753">
        <v>3599.71</v>
      </c>
      <c r="D24" s="1754">
        <v>2540.123</v>
      </c>
      <c r="E24" s="1754">
        <v>2977.2139999999999</v>
      </c>
      <c r="F24" s="1754">
        <v>3522.2719999999999</v>
      </c>
      <c r="G24" s="1754">
        <v>3004.6779999999999</v>
      </c>
      <c r="H24" s="1754">
        <v>12322.136</v>
      </c>
      <c r="I24" s="1755">
        <v>42061.928999999996</v>
      </c>
      <c r="J24" s="1508">
        <f t="shared" si="1"/>
        <v>2022.1</v>
      </c>
      <c r="K24" s="1752">
        <v>7975.8320000000003</v>
      </c>
      <c r="L24" s="1753">
        <v>6959.0959999999995</v>
      </c>
      <c r="M24" s="1754">
        <v>6295.3810000000003</v>
      </c>
      <c r="N24" s="1754">
        <v>7778.3609999999999</v>
      </c>
      <c r="O24" s="1754">
        <v>7127.0420000000004</v>
      </c>
      <c r="P24" s="1754">
        <v>6434.366</v>
      </c>
      <c r="Q24" s="1754">
        <v>32229.896000000001</v>
      </c>
      <c r="R24" s="1755">
        <v>74799.972999999998</v>
      </c>
      <c r="S24" s="1508">
        <f t="shared" si="2"/>
        <v>2022.1</v>
      </c>
      <c r="T24" s="1756">
        <v>56.582999999999998</v>
      </c>
      <c r="U24" s="1757">
        <v>193.32400000000001</v>
      </c>
      <c r="V24" s="1758">
        <v>247.83799999999999</v>
      </c>
      <c r="W24" s="1758">
        <v>261.26299999999998</v>
      </c>
      <c r="X24" s="1758">
        <v>202.34200000000001</v>
      </c>
      <c r="Y24" s="1758">
        <v>214.14500000000001</v>
      </c>
      <c r="Z24" s="1758">
        <v>261.56099999999998</v>
      </c>
      <c r="AA24" s="1759">
        <v>177.833</v>
      </c>
    </row>
    <row r="25" spans="1:27" s="1698" customFormat="1" ht="29.1" customHeight="1">
      <c r="A25" s="1508">
        <v>2022.11</v>
      </c>
      <c r="B25" s="1752">
        <v>13720.226000000001</v>
      </c>
      <c r="C25" s="1753">
        <v>2875.7730000000001</v>
      </c>
      <c r="D25" s="1754">
        <v>3709.9229999999998</v>
      </c>
      <c r="E25" s="1754">
        <v>3775.6860000000001</v>
      </c>
      <c r="F25" s="1754">
        <v>3293.402</v>
      </c>
      <c r="G25" s="1754">
        <v>3020.8330000000001</v>
      </c>
      <c r="H25" s="1754">
        <v>12672.147999999999</v>
      </c>
      <c r="I25" s="1755">
        <v>43067.989000000001</v>
      </c>
      <c r="J25" s="1508">
        <f t="shared" si="1"/>
        <v>2022.11</v>
      </c>
      <c r="K25" s="1752">
        <v>7651.45</v>
      </c>
      <c r="L25" s="1753">
        <v>4708.5190000000002</v>
      </c>
      <c r="M25" s="1754">
        <v>8541.2219999999998</v>
      </c>
      <c r="N25" s="1754">
        <v>8886.6180000000004</v>
      </c>
      <c r="O25" s="1754">
        <v>6252.0339999999997</v>
      </c>
      <c r="P25" s="1754">
        <v>4105.0730000000003</v>
      </c>
      <c r="Q25" s="1754">
        <v>32238.124</v>
      </c>
      <c r="R25" s="1755">
        <v>72383.039999999994</v>
      </c>
      <c r="S25" s="1508">
        <f t="shared" si="2"/>
        <v>2022.11</v>
      </c>
      <c r="T25" s="1756">
        <v>55.768000000000001</v>
      </c>
      <c r="U25" s="1757">
        <v>163.73099999999999</v>
      </c>
      <c r="V25" s="1758">
        <v>230.226</v>
      </c>
      <c r="W25" s="1758">
        <v>235.364</v>
      </c>
      <c r="X25" s="1758">
        <v>189.83500000000001</v>
      </c>
      <c r="Y25" s="1758">
        <v>135.892</v>
      </c>
      <c r="Z25" s="1758">
        <v>254.40100000000001</v>
      </c>
      <c r="AA25" s="1759">
        <v>168.06700000000001</v>
      </c>
    </row>
    <row r="26" spans="1:27" s="1698" customFormat="1" ht="29.1" customHeight="1">
      <c r="A26" s="1514">
        <v>2022.12</v>
      </c>
      <c r="B26" s="1760">
        <v>14863.641</v>
      </c>
      <c r="C26" s="1761">
        <v>3756.55</v>
      </c>
      <c r="D26" s="1762">
        <v>4630.076</v>
      </c>
      <c r="E26" s="1762">
        <v>4369.701</v>
      </c>
      <c r="F26" s="1762">
        <v>4805.1689999999999</v>
      </c>
      <c r="G26" s="1762">
        <v>3888.192</v>
      </c>
      <c r="H26" s="1762">
        <v>15963.214</v>
      </c>
      <c r="I26" s="1763">
        <v>52276.544000000002</v>
      </c>
      <c r="J26" s="1514">
        <f t="shared" si="1"/>
        <v>2022.12</v>
      </c>
      <c r="K26" s="1760">
        <v>8346.2489999999998</v>
      </c>
      <c r="L26" s="1761">
        <v>7252.817</v>
      </c>
      <c r="M26" s="1762">
        <v>9767.33</v>
      </c>
      <c r="N26" s="1762">
        <v>10220.24</v>
      </c>
      <c r="O26" s="1762">
        <v>10727.549000000001</v>
      </c>
      <c r="P26" s="1762">
        <v>7286.357</v>
      </c>
      <c r="Q26" s="1762">
        <v>38468.370999999999</v>
      </c>
      <c r="R26" s="1763">
        <v>92068.913</v>
      </c>
      <c r="S26" s="1514">
        <f t="shared" si="2"/>
        <v>2022.12</v>
      </c>
      <c r="T26" s="1764">
        <v>56.152000000000001</v>
      </c>
      <c r="U26" s="1765">
        <v>193.071</v>
      </c>
      <c r="V26" s="1766">
        <v>210.95400000000001</v>
      </c>
      <c r="W26" s="1766">
        <v>233.88900000000001</v>
      </c>
      <c r="X26" s="1766">
        <v>223.25</v>
      </c>
      <c r="Y26" s="1766">
        <v>187.39699999999999</v>
      </c>
      <c r="Z26" s="1766">
        <v>240.98099999999999</v>
      </c>
      <c r="AA26" s="1767">
        <v>176.119</v>
      </c>
    </row>
    <row r="27" spans="1:27" s="1698" customFormat="1" ht="3" customHeight="1">
      <c r="A27" s="1768"/>
      <c r="B27" s="1769"/>
      <c r="C27" s="1769"/>
      <c r="D27" s="1769"/>
      <c r="E27" s="1769"/>
      <c r="F27" s="1769"/>
      <c r="G27" s="1769"/>
      <c r="H27" s="1769"/>
      <c r="I27" s="1769"/>
      <c r="J27" s="1768"/>
      <c r="K27" s="1769"/>
      <c r="L27" s="1769"/>
      <c r="M27" s="1769"/>
      <c r="N27" s="1769"/>
      <c r="O27" s="1769"/>
      <c r="P27" s="1769"/>
      <c r="Q27" s="1769"/>
      <c r="R27" s="1769"/>
      <c r="S27" s="1768"/>
      <c r="T27" s="1770"/>
      <c r="U27" s="1770"/>
      <c r="V27" s="1770"/>
      <c r="W27" s="1770"/>
      <c r="X27" s="1770"/>
      <c r="Y27" s="1770"/>
      <c r="Z27" s="1770"/>
      <c r="AA27" s="1770"/>
    </row>
    <row r="28" spans="1:27" s="576" customFormat="1" ht="12" customHeight="1">
      <c r="A28" s="305" t="s">
        <v>1018</v>
      </c>
      <c r="B28" s="305"/>
      <c r="C28" s="305"/>
      <c r="D28" s="305"/>
      <c r="E28" s="305"/>
      <c r="F28" s="305"/>
      <c r="G28" s="305"/>
      <c r="H28" s="305"/>
      <c r="I28" s="305"/>
      <c r="J28" s="305" t="s">
        <v>1041</v>
      </c>
      <c r="K28" s="305"/>
      <c r="L28" s="305"/>
      <c r="M28" s="305"/>
      <c r="N28" s="305"/>
      <c r="O28" s="305" t="s">
        <v>1024</v>
      </c>
      <c r="P28" s="305"/>
      <c r="Q28" s="305"/>
      <c r="R28" s="305"/>
      <c r="S28" s="305" t="s">
        <v>1020</v>
      </c>
      <c r="T28" s="305"/>
      <c r="U28" s="305"/>
      <c r="V28" s="305"/>
      <c r="W28" s="305"/>
      <c r="X28" s="305"/>
      <c r="Y28" s="305"/>
      <c r="Z28" s="305"/>
      <c r="AA28" s="305"/>
    </row>
    <row r="29" spans="1:27" s="249" customFormat="1" ht="12" customHeight="1">
      <c r="A29" s="626" t="s">
        <v>1042</v>
      </c>
      <c r="B29" s="305"/>
      <c r="C29" s="305"/>
      <c r="D29" s="305"/>
      <c r="E29" s="305"/>
      <c r="F29" s="305"/>
      <c r="G29" s="305"/>
      <c r="H29" s="305"/>
      <c r="I29" s="305"/>
      <c r="J29" s="3050" t="s">
        <v>1022</v>
      </c>
      <c r="K29" s="3050"/>
      <c r="L29" s="3050"/>
      <c r="M29" s="3050"/>
      <c r="N29" s="3050"/>
      <c r="O29" s="3050"/>
      <c r="P29" s="3050"/>
      <c r="Q29" s="3050"/>
      <c r="R29" s="3050"/>
      <c r="S29" s="305"/>
      <c r="T29" s="305"/>
      <c r="U29" s="305"/>
      <c r="V29" s="305"/>
      <c r="W29" s="305"/>
      <c r="X29" s="305"/>
      <c r="Y29" s="305"/>
      <c r="Z29" s="305"/>
      <c r="AA29" s="305"/>
    </row>
    <row r="30" spans="1:27" s="249" customFormat="1" ht="12" customHeight="1">
      <c r="A30" s="1771"/>
      <c r="B30" s="305"/>
      <c r="C30" s="305"/>
      <c r="D30" s="305"/>
      <c r="E30" s="305"/>
      <c r="F30" s="305"/>
      <c r="G30" s="305"/>
      <c r="H30" s="305"/>
      <c r="I30" s="305"/>
      <c r="J30" s="366"/>
      <c r="K30" s="366"/>
      <c r="L30" s="366"/>
      <c r="M30" s="366"/>
      <c r="N30" s="366"/>
      <c r="O30" s="366"/>
      <c r="P30" s="366"/>
      <c r="Q30" s="366"/>
      <c r="R30" s="366"/>
      <c r="S30" s="305"/>
      <c r="T30" s="305"/>
      <c r="U30" s="305"/>
      <c r="V30" s="305"/>
      <c r="W30" s="305"/>
      <c r="X30" s="305"/>
      <c r="Y30" s="305"/>
      <c r="Z30" s="305"/>
      <c r="AA30" s="305"/>
    </row>
    <row r="31" spans="1:27" s="249" customFormat="1" ht="12" customHeight="1">
      <c r="A31" s="305"/>
      <c r="B31" s="631"/>
      <c r="C31" s="635"/>
      <c r="D31" s="635"/>
      <c r="E31" s="635"/>
      <c r="F31" s="635"/>
      <c r="G31" s="635"/>
      <c r="H31" s="635"/>
      <c r="I31" s="636"/>
      <c r="J31" s="634"/>
      <c r="K31" s="631"/>
      <c r="L31" s="635"/>
      <c r="M31" s="635"/>
      <c r="N31" s="631"/>
      <c r="O31" s="305"/>
      <c r="P31" s="631"/>
      <c r="Q31" s="635"/>
      <c r="R31" s="305"/>
      <c r="S31" s="305"/>
      <c r="T31" s="631"/>
      <c r="U31" s="635"/>
      <c r="V31" s="635"/>
      <c r="W31" s="635"/>
      <c r="X31" s="635"/>
      <c r="Y31" s="635"/>
      <c r="Z31" s="635"/>
      <c r="AA31" s="636"/>
    </row>
  </sheetData>
  <mergeCells count="4">
    <mergeCell ref="A4:A5"/>
    <mergeCell ref="J4:J5"/>
    <mergeCell ref="S4:S5"/>
    <mergeCell ref="J29:R29"/>
  </mergeCells>
  <phoneticPr fontId="3" type="noConversion"/>
  <printOptions horizontalCentered="1"/>
  <pageMargins left="0.78740157480314965" right="0.78740157480314965" top="1.1811023622047245" bottom="0.78740157480314965" header="0" footer="0"/>
  <pageSetup paperSize="9" scale="83" firstPageNumber="42" orientation="portrait" useFirstPageNumber="1" r:id="rId1"/>
  <headerFooter differentOddEven="1" scaleWithDoc="0" alignWithMargins="0"/>
  <colBreaks count="1" manualBreakCount="1">
    <brk id="9" max="29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4"/>
  <sheetViews>
    <sheetView view="pageBreakPreview" zoomScale="70" zoomScaleNormal="100" zoomScaleSheetLayoutView="70" workbookViewId="0">
      <pane xSplit="1" ySplit="5" topLeftCell="B9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5.375" style="12" customWidth="1"/>
    <col min="2" max="5" width="15.5" style="12" customWidth="1"/>
    <col min="6" max="6" width="16.25" style="12" customWidth="1"/>
    <col min="7" max="16384" width="10" style="12"/>
  </cols>
  <sheetData>
    <row r="1" spans="1:6" s="249" customFormat="1" ht="26.25">
      <c r="A1" s="248" t="s">
        <v>1043</v>
      </c>
      <c r="B1" s="1049"/>
    </row>
    <row r="2" spans="1:6" s="252" customFormat="1" ht="17.25">
      <c r="A2" s="252" t="s">
        <v>1044</v>
      </c>
    </row>
    <row r="3" spans="1:6" s="249" customFormat="1" ht="15" customHeight="1">
      <c r="A3" s="250"/>
      <c r="B3" s="250"/>
      <c r="C3" s="250"/>
      <c r="D3" s="250"/>
      <c r="F3" s="1281" t="s">
        <v>1045</v>
      </c>
    </row>
    <row r="4" spans="1:6" s="557" customFormat="1" ht="27.95" customHeight="1">
      <c r="A4" s="2881" t="s">
        <v>1011</v>
      </c>
      <c r="B4" s="1674" t="s">
        <v>1046</v>
      </c>
      <c r="C4" s="1772" t="s">
        <v>1047</v>
      </c>
      <c r="D4" s="555"/>
      <c r="E4" s="1773"/>
      <c r="F4" s="556"/>
    </row>
    <row r="5" spans="1:6" s="565" customFormat="1" ht="27.95" customHeight="1">
      <c r="A5" s="2883"/>
      <c r="B5" s="1676" t="s">
        <v>1048</v>
      </c>
      <c r="C5" s="261" t="s">
        <v>1049</v>
      </c>
      <c r="D5" s="261" t="s">
        <v>1050</v>
      </c>
      <c r="E5" s="261" t="s">
        <v>1039</v>
      </c>
      <c r="F5" s="559" t="s">
        <v>1051</v>
      </c>
    </row>
    <row r="6" spans="1:6" s="1777" customFormat="1" ht="27.75" customHeight="1">
      <c r="A6" s="1677">
        <v>2016</v>
      </c>
      <c r="B6" s="1774">
        <v>77.058199999999999</v>
      </c>
      <c r="C6" s="1775">
        <v>62.115699999999997</v>
      </c>
      <c r="D6" s="1775">
        <v>9.5821000000000005</v>
      </c>
      <c r="E6" s="1775">
        <v>7.9165999999999999</v>
      </c>
      <c r="F6" s="1776">
        <v>79.614400000000003</v>
      </c>
    </row>
    <row r="7" spans="1:6" s="1777" customFormat="1" ht="27.75" customHeight="1">
      <c r="A7" s="1677">
        <v>2017</v>
      </c>
      <c r="B7" s="1774">
        <v>81.771000000000001</v>
      </c>
      <c r="C7" s="1775">
        <v>59.660499999999999</v>
      </c>
      <c r="D7" s="1775">
        <v>11.8218</v>
      </c>
      <c r="E7" s="1775">
        <v>11.832000000000001</v>
      </c>
      <c r="F7" s="1776">
        <v>83.314300000000003</v>
      </c>
    </row>
    <row r="8" spans="1:6" s="1777" customFormat="1" ht="27.75" customHeight="1">
      <c r="A8" s="1677">
        <v>2018</v>
      </c>
      <c r="B8" s="1774">
        <v>95.1648</v>
      </c>
      <c r="C8" s="1775">
        <v>67.328900000000004</v>
      </c>
      <c r="D8" s="1775">
        <v>11.4727</v>
      </c>
      <c r="E8" s="1775">
        <v>11.8788</v>
      </c>
      <c r="F8" s="1776">
        <v>90.680400000000006</v>
      </c>
    </row>
    <row r="9" spans="1:6" ht="27.75" customHeight="1">
      <c r="A9" s="1677">
        <v>2019</v>
      </c>
      <c r="B9" s="1774">
        <v>90.738100000000003</v>
      </c>
      <c r="C9" s="1775">
        <v>65.292299999999997</v>
      </c>
      <c r="D9" s="1775">
        <v>12.0966</v>
      </c>
      <c r="E9" s="1775">
        <v>12.741099999999999</v>
      </c>
      <c r="F9" s="1776">
        <v>90.13</v>
      </c>
    </row>
    <row r="10" spans="1:6" ht="27.75" customHeight="1">
      <c r="A10" s="1677">
        <v>2020</v>
      </c>
      <c r="B10" s="1774">
        <v>68.873199999999997</v>
      </c>
      <c r="C10" s="1775">
        <v>55.332500000000003</v>
      </c>
      <c r="D10" s="1775">
        <v>12.724299999999999</v>
      </c>
      <c r="E10" s="1775">
        <v>12.6271</v>
      </c>
      <c r="F10" s="1776">
        <v>80.683999999999997</v>
      </c>
    </row>
    <row r="11" spans="1:6" ht="27.75" customHeight="1">
      <c r="A11" s="1778">
        <v>2021</v>
      </c>
      <c r="B11" s="1779">
        <v>94.340100000000007</v>
      </c>
      <c r="C11" s="1780">
        <v>65.532700000000006</v>
      </c>
      <c r="D11" s="1780">
        <v>12.287699999999999</v>
      </c>
      <c r="E11" s="1780">
        <v>18.392700000000001</v>
      </c>
      <c r="F11" s="1781">
        <v>96.213099999999997</v>
      </c>
    </row>
    <row r="12" spans="1:6" ht="27.75" customHeight="1">
      <c r="A12" s="1782" t="s">
        <v>795</v>
      </c>
      <c r="B12" s="1783">
        <v>94.340100000000007</v>
      </c>
      <c r="C12" s="1784">
        <v>65.532700000000006</v>
      </c>
      <c r="D12" s="1784">
        <v>12.287699999999999</v>
      </c>
      <c r="E12" s="1784">
        <v>18.392700000000001</v>
      </c>
      <c r="F12" s="1785">
        <v>96.213099999999997</v>
      </c>
    </row>
    <row r="13" spans="1:6" s="1358" customFormat="1" ht="27.75" customHeight="1">
      <c r="A13" s="1507">
        <v>2021.12</v>
      </c>
      <c r="B13" s="1774">
        <v>142.81120000000001</v>
      </c>
      <c r="C13" s="1775">
        <v>78.1571</v>
      </c>
      <c r="D13" s="1775">
        <v>22.445799999999998</v>
      </c>
      <c r="E13" s="1775">
        <v>23.976199999999999</v>
      </c>
      <c r="F13" s="1776">
        <v>124.57899999999999</v>
      </c>
    </row>
    <row r="14" spans="1:6" s="1789" customFormat="1" ht="27.75" customHeight="1">
      <c r="A14" s="1700" t="s">
        <v>796</v>
      </c>
      <c r="B14" s="1786">
        <v>196.65119999999999</v>
      </c>
      <c r="C14" s="1787">
        <v>113.7814</v>
      </c>
      <c r="D14" s="1787">
        <v>12.8688</v>
      </c>
      <c r="E14" s="1787">
        <v>27.0792</v>
      </c>
      <c r="F14" s="1788">
        <v>153.7295</v>
      </c>
    </row>
    <row r="15" spans="1:6" ht="27.75" customHeight="1">
      <c r="A15" s="1507">
        <v>2022.01</v>
      </c>
      <c r="B15" s="1774">
        <v>154.41640000000001</v>
      </c>
      <c r="C15" s="1775">
        <v>86.731200000000001</v>
      </c>
      <c r="D15" s="1775">
        <v>22.3109</v>
      </c>
      <c r="E15" s="1775">
        <v>28.495999999999999</v>
      </c>
      <c r="F15" s="1776">
        <v>137.53809999999999</v>
      </c>
    </row>
    <row r="16" spans="1:6" ht="27.75" customHeight="1">
      <c r="A16" s="1507">
        <v>2022.02</v>
      </c>
      <c r="B16" s="1774">
        <v>197.3186</v>
      </c>
      <c r="C16" s="1775">
        <v>108.2231</v>
      </c>
      <c r="D16" s="1775">
        <v>14.9543</v>
      </c>
      <c r="E16" s="1775">
        <v>37.656599999999997</v>
      </c>
      <c r="F16" s="1776">
        <v>160.834</v>
      </c>
    </row>
    <row r="17" spans="1:6" ht="27.75" customHeight="1">
      <c r="A17" s="1507">
        <v>2022.03</v>
      </c>
      <c r="B17" s="1774">
        <v>192.74860000000001</v>
      </c>
      <c r="C17" s="1775">
        <v>115.2008</v>
      </c>
      <c r="D17" s="1775">
        <v>5.5785999999999998</v>
      </c>
      <c r="E17" s="1775">
        <v>30.7834</v>
      </c>
      <c r="F17" s="1776">
        <v>151.56270000000001</v>
      </c>
    </row>
    <row r="18" spans="1:6" ht="27.75" customHeight="1">
      <c r="A18" s="1507">
        <v>2022.04</v>
      </c>
      <c r="B18" s="1774">
        <v>202.11089999999999</v>
      </c>
      <c r="C18" s="1775">
        <v>115.9863</v>
      </c>
      <c r="D18" s="1775">
        <v>4.6369999999999996</v>
      </c>
      <c r="E18" s="1775">
        <v>32.721499999999999</v>
      </c>
      <c r="F18" s="1776">
        <v>153.34479999999999</v>
      </c>
    </row>
    <row r="19" spans="1:6" ht="27.75" customHeight="1">
      <c r="A19" s="1507">
        <v>2022.05</v>
      </c>
      <c r="B19" s="1774">
        <v>140.34289999999999</v>
      </c>
      <c r="C19" s="1775">
        <v>81.885300000000001</v>
      </c>
      <c r="D19" s="1775">
        <v>4.4997999999999996</v>
      </c>
      <c r="E19" s="1775">
        <v>32.543100000000003</v>
      </c>
      <c r="F19" s="1776">
        <v>118.92829999999999</v>
      </c>
    </row>
    <row r="20" spans="1:6" ht="27.75" customHeight="1">
      <c r="A20" s="1507">
        <v>2022.06</v>
      </c>
      <c r="B20" s="1774">
        <v>129.715</v>
      </c>
      <c r="C20" s="1775">
        <v>74.959000000000003</v>
      </c>
      <c r="D20" s="1775">
        <v>6.0556999999999999</v>
      </c>
      <c r="E20" s="1775">
        <v>27.2743</v>
      </c>
      <c r="F20" s="1776">
        <v>108.2889</v>
      </c>
    </row>
    <row r="21" spans="1:6" ht="27.75" customHeight="1">
      <c r="A21" s="1507">
        <v>2022.07</v>
      </c>
      <c r="B21" s="1774">
        <v>151.84870000000001</v>
      </c>
      <c r="C21" s="1775">
        <v>94.0642</v>
      </c>
      <c r="D21" s="1775">
        <v>18.126999999999999</v>
      </c>
      <c r="E21" s="1775">
        <v>26.294699999999999</v>
      </c>
      <c r="F21" s="1776">
        <v>138.48599999999999</v>
      </c>
    </row>
    <row r="22" spans="1:6" ht="27.75" customHeight="1">
      <c r="A22" s="1507">
        <v>2022.08</v>
      </c>
      <c r="B22" s="1774">
        <v>197.74010000000001</v>
      </c>
      <c r="C22" s="1775">
        <v>111.80159999999999</v>
      </c>
      <c r="D22" s="1775">
        <v>24.7928</v>
      </c>
      <c r="E22" s="1775">
        <v>38.945399999999999</v>
      </c>
      <c r="F22" s="1776">
        <v>175.53980000000001</v>
      </c>
    </row>
    <row r="23" spans="1:6" ht="27.75" customHeight="1">
      <c r="A23" s="1507">
        <v>2022.09</v>
      </c>
      <c r="B23" s="1774">
        <v>233.42400000000001</v>
      </c>
      <c r="C23" s="1775">
        <v>147.51769999999999</v>
      </c>
      <c r="D23" s="1775">
        <v>11.342499999999999</v>
      </c>
      <c r="E23" s="1775">
        <v>17.5123</v>
      </c>
      <c r="F23" s="1776">
        <v>176.3725</v>
      </c>
    </row>
    <row r="24" spans="1:6" ht="27.75" customHeight="1">
      <c r="A24" s="1508">
        <v>2022.1</v>
      </c>
      <c r="B24" s="1790">
        <v>251.64920000000001</v>
      </c>
      <c r="C24" s="1791">
        <v>153.96870000000001</v>
      </c>
      <c r="D24" s="1791">
        <v>5.4698000000000002</v>
      </c>
      <c r="E24" s="1791">
        <v>18.394500000000001</v>
      </c>
      <c r="F24" s="1792">
        <v>177.833</v>
      </c>
    </row>
    <row r="25" spans="1:6" ht="27.75" customHeight="1">
      <c r="A25" s="1508">
        <v>2022.11</v>
      </c>
      <c r="B25" s="1790">
        <v>242.19110000000001</v>
      </c>
      <c r="C25" s="1791">
        <v>143.9007</v>
      </c>
      <c r="D25" s="1791">
        <v>8.5140999999999991</v>
      </c>
      <c r="E25" s="1791">
        <v>15.652200000000001</v>
      </c>
      <c r="F25" s="1792">
        <v>168.0669</v>
      </c>
    </row>
    <row r="26" spans="1:6" s="1358" customFormat="1" ht="27.75" customHeight="1">
      <c r="A26" s="1514">
        <v>2022.12</v>
      </c>
      <c r="B26" s="1793">
        <v>267.63049999999998</v>
      </c>
      <c r="C26" s="1794">
        <v>136.8349</v>
      </c>
      <c r="D26" s="1794">
        <v>21.418800000000001</v>
      </c>
      <c r="E26" s="1794">
        <v>17.865300000000001</v>
      </c>
      <c r="F26" s="1795">
        <v>176.119</v>
      </c>
    </row>
    <row r="27" spans="1:6" s="576" customFormat="1" ht="3" customHeight="1">
      <c r="A27" s="1796"/>
      <c r="B27" s="1796"/>
      <c r="C27" s="1796"/>
      <c r="D27" s="1796"/>
      <c r="E27" s="1796"/>
      <c r="F27" s="1796"/>
    </row>
    <row r="28" spans="1:6" s="576" customFormat="1" ht="11.1" customHeight="1">
      <c r="A28" s="576" t="s">
        <v>1052</v>
      </c>
    </row>
    <row r="29" spans="1:6" s="576" customFormat="1" ht="11.1" customHeight="1">
      <c r="A29" s="576" t="s">
        <v>1053</v>
      </c>
    </row>
    <row r="30" spans="1:6" s="576" customFormat="1" ht="11.1" customHeight="1">
      <c r="A30" s="576" t="s">
        <v>1054</v>
      </c>
    </row>
    <row r="31" spans="1:6" s="576" customFormat="1" ht="11.1" customHeight="1">
      <c r="A31" s="576" t="s">
        <v>1055</v>
      </c>
    </row>
    <row r="32" spans="1:6" s="576" customFormat="1" ht="9" customHeight="1">
      <c r="A32" s="305" t="s">
        <v>1056</v>
      </c>
    </row>
    <row r="33" spans="2:6" s="638" customFormat="1" ht="12" customHeight="1">
      <c r="B33" s="631"/>
      <c r="C33" s="635"/>
      <c r="D33" s="305"/>
      <c r="E33" s="631"/>
      <c r="F33" s="636"/>
    </row>
    <row r="34" spans="2:6" ht="4.5" customHeight="1"/>
  </sheetData>
  <mergeCells count="1">
    <mergeCell ref="A4:A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45" orientation="portrait" useFirstPageNumber="1" r:id="rId1"/>
  <headerFooter differentOddEven="1"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65"/>
  <sheetViews>
    <sheetView showGridLines="0" view="pageBreakPreview" zoomScale="70" zoomScaleNormal="100" zoomScaleSheetLayoutView="70" workbookViewId="0">
      <pane xSplit="3" ySplit="5" topLeftCell="D27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2" width="4.25" style="1798" customWidth="1"/>
    <col min="3" max="3" width="10.75" style="1798" customWidth="1"/>
    <col min="4" max="4" width="8.25" style="1798" customWidth="1"/>
    <col min="5" max="8" width="10" style="1798" customWidth="1"/>
    <col min="9" max="10" width="6.875" style="12" customWidth="1"/>
    <col min="11" max="11" width="9.875" style="1798" customWidth="1"/>
    <col min="12" max="12" width="15.375" style="1798" bestFit="1" customWidth="1"/>
    <col min="13" max="15" width="10" style="1798"/>
    <col min="16" max="16" width="10.875" style="1798" customWidth="1"/>
    <col min="17" max="16384" width="10" style="1798"/>
  </cols>
  <sheetData>
    <row r="1" spans="1:20" ht="20.25" customHeight="1">
      <c r="A1" s="1797" t="s">
        <v>1057</v>
      </c>
      <c r="B1" s="1669"/>
    </row>
    <row r="2" spans="1:20" ht="17.25" customHeight="1">
      <c r="A2" s="252" t="s">
        <v>1058</v>
      </c>
      <c r="B2" s="1669"/>
    </row>
    <row r="3" spans="1:20" ht="9.9499999999999993" customHeight="1"/>
    <row r="4" spans="1:20" ht="12" customHeight="1">
      <c r="A4" s="3052" t="s">
        <v>1059</v>
      </c>
      <c r="B4" s="3053"/>
      <c r="C4" s="3069" t="s">
        <v>1060</v>
      </c>
      <c r="D4" s="3069" t="s">
        <v>1061</v>
      </c>
      <c r="E4" s="3071">
        <v>2021</v>
      </c>
      <c r="F4" s="3072"/>
      <c r="G4" s="3071">
        <v>2022</v>
      </c>
      <c r="H4" s="3072"/>
      <c r="I4" s="3073" t="s">
        <v>961</v>
      </c>
      <c r="J4" s="3074"/>
      <c r="K4" s="1799" t="s">
        <v>962</v>
      </c>
    </row>
    <row r="5" spans="1:20" ht="12" customHeight="1">
      <c r="A5" s="3056"/>
      <c r="B5" s="3057"/>
      <c r="C5" s="3070"/>
      <c r="D5" s="3070"/>
      <c r="E5" s="1800" t="s">
        <v>1062</v>
      </c>
      <c r="F5" s="1801" t="s">
        <v>964</v>
      </c>
      <c r="G5" s="1800" t="str">
        <f>E5</f>
        <v>12월</v>
      </c>
      <c r="H5" s="1801" t="str">
        <f>F5</f>
        <v>1~12월</v>
      </c>
      <c r="I5" s="1800" t="str">
        <f>G5</f>
        <v>12월</v>
      </c>
      <c r="J5" s="1801" t="str">
        <f>H5</f>
        <v>1~12월</v>
      </c>
      <c r="K5" s="1802" t="s">
        <v>1063</v>
      </c>
    </row>
    <row r="6" spans="1:20" ht="12" customHeight="1">
      <c r="A6" s="3052" t="s">
        <v>1064</v>
      </c>
      <c r="B6" s="3053"/>
      <c r="C6" s="1803" t="s">
        <v>1065</v>
      </c>
      <c r="D6" s="1804" t="s">
        <v>1066</v>
      </c>
      <c r="E6" s="1805">
        <v>525.5</v>
      </c>
      <c r="F6" s="1806">
        <f>E6</f>
        <v>525.5</v>
      </c>
      <c r="G6" s="1807">
        <v>525.5</v>
      </c>
      <c r="H6" s="1808">
        <f t="shared" ref="H6:H7" si="0">G6</f>
        <v>525.5</v>
      </c>
      <c r="I6" s="1809">
        <f t="shared" ref="I6:J7" si="1">(G6-E6)/E6*100</f>
        <v>0</v>
      </c>
      <c r="J6" s="1810">
        <f t="shared" si="1"/>
        <v>0</v>
      </c>
      <c r="K6" s="1811">
        <f>G6/$G$56*100</f>
        <v>3.3940088574589828</v>
      </c>
      <c r="M6" s="1798" t="s">
        <v>1067</v>
      </c>
      <c r="O6" s="1798" t="s">
        <v>1068</v>
      </c>
      <c r="Q6" s="1798" t="s">
        <v>1069</v>
      </c>
      <c r="S6" s="1798" t="s">
        <v>1070</v>
      </c>
    </row>
    <row r="7" spans="1:20" ht="12" customHeight="1">
      <c r="A7" s="3054"/>
      <c r="B7" s="3055"/>
      <c r="C7" s="1812" t="s">
        <v>1071</v>
      </c>
      <c r="D7" s="1813" t="s">
        <v>1072</v>
      </c>
      <c r="E7" s="1814">
        <v>1</v>
      </c>
      <c r="F7" s="1815">
        <f>E7</f>
        <v>1</v>
      </c>
      <c r="G7" s="1816">
        <v>1</v>
      </c>
      <c r="H7" s="1817">
        <f t="shared" si="0"/>
        <v>1</v>
      </c>
      <c r="I7" s="1818">
        <f t="shared" si="1"/>
        <v>0</v>
      </c>
      <c r="J7" s="1819">
        <f t="shared" si="1"/>
        <v>0</v>
      </c>
      <c r="K7" s="1820">
        <f>G7/$G$57*100</f>
        <v>8.0043543687766149E-4</v>
      </c>
      <c r="M7" s="1821" t="str">
        <f>G5</f>
        <v>12월</v>
      </c>
      <c r="N7" s="1822" t="str">
        <f>H5</f>
        <v>1~12월</v>
      </c>
      <c r="O7" s="1821" t="str">
        <f>M7</f>
        <v>12월</v>
      </c>
      <c r="P7" s="1822" t="str">
        <f>N7</f>
        <v>1~12월</v>
      </c>
      <c r="Q7" s="1821" t="str">
        <f>G5</f>
        <v>12월</v>
      </c>
      <c r="R7" s="1821" t="str">
        <f>H5</f>
        <v>1~12월</v>
      </c>
      <c r="S7" s="1821" t="str">
        <f>Q7</f>
        <v>12월</v>
      </c>
      <c r="T7" s="1821" t="str">
        <f>R7</f>
        <v>1~12월</v>
      </c>
    </row>
    <row r="8" spans="1:20" ht="12" customHeight="1">
      <c r="A8" s="3054"/>
      <c r="B8" s="3055"/>
      <c r="C8" s="1812" t="s">
        <v>1073</v>
      </c>
      <c r="D8" s="1813" t="s">
        <v>1074</v>
      </c>
      <c r="E8" s="1814">
        <v>129346.372</v>
      </c>
      <c r="F8" s="1815">
        <v>2770087.6779999998</v>
      </c>
      <c r="G8" s="1816">
        <v>268335.77799999999</v>
      </c>
      <c r="H8" s="1817">
        <v>1895575.193</v>
      </c>
      <c r="I8" s="1818">
        <v>107.4552</v>
      </c>
      <c r="J8" s="1819">
        <v>-31.569800000000001</v>
      </c>
      <c r="K8" s="1820">
        <v>21.8537</v>
      </c>
      <c r="L8" s="1798" t="s">
        <v>1075</v>
      </c>
      <c r="M8" s="1822">
        <f>G8</f>
        <v>268335.77799999999</v>
      </c>
      <c r="N8" s="1822">
        <f>H8</f>
        <v>1895575.193</v>
      </c>
      <c r="O8" s="1822">
        <f>G13</f>
        <v>475.798</v>
      </c>
      <c r="P8" s="1822">
        <f>H13</f>
        <v>13813.017</v>
      </c>
      <c r="Q8" s="1822">
        <f>G43</f>
        <v>958885.23300000001</v>
      </c>
      <c r="R8" s="1822">
        <f>H43</f>
        <v>18682192.379999999</v>
      </c>
      <c r="S8" s="1823">
        <f>G48+G53</f>
        <v>651.79100000000005</v>
      </c>
      <c r="T8" s="1822">
        <f>H48+H53</f>
        <v>74804.147000000012</v>
      </c>
    </row>
    <row r="9" spans="1:20" ht="12" customHeight="1">
      <c r="A9" s="3054"/>
      <c r="B9" s="3055"/>
      <c r="C9" s="1812" t="s">
        <v>138</v>
      </c>
      <c r="D9" s="1813" t="s">
        <v>1076</v>
      </c>
      <c r="E9" s="1814">
        <v>28891.564999999999</v>
      </c>
      <c r="F9" s="1815">
        <v>371006.12099999998</v>
      </c>
      <c r="G9" s="1816">
        <v>89326.788</v>
      </c>
      <c r="H9" s="1817">
        <v>550614.43599999999</v>
      </c>
      <c r="I9" s="1824">
        <v>209.17949999999999</v>
      </c>
      <c r="J9" s="1819">
        <v>48.411099999999998</v>
      </c>
      <c r="K9" s="1820">
        <v>29.494</v>
      </c>
      <c r="L9" s="1798" t="s">
        <v>1077</v>
      </c>
      <c r="M9" s="1822">
        <f>G9</f>
        <v>89326.788</v>
      </c>
      <c r="N9" s="1822">
        <f>H9</f>
        <v>550614.43599999999</v>
      </c>
      <c r="O9" s="1822">
        <f>G14</f>
        <v>92.257999999999996</v>
      </c>
      <c r="P9" s="1822">
        <f>H14</f>
        <v>2680.8530000000001</v>
      </c>
      <c r="Q9" s="1822">
        <f>G44</f>
        <v>213433.348</v>
      </c>
      <c r="R9" s="1822">
        <f>H44</f>
        <v>3620552.0019999999</v>
      </c>
      <c r="S9" s="1823">
        <f>G49+G54</f>
        <v>104.05800000000001</v>
      </c>
      <c r="T9" s="1822">
        <f>H49+H54</f>
        <v>12960.909</v>
      </c>
    </row>
    <row r="10" spans="1:20" ht="12" customHeight="1">
      <c r="A10" s="3056"/>
      <c r="B10" s="3057"/>
      <c r="C10" s="1825" t="s">
        <v>1078</v>
      </c>
      <c r="D10" s="1826" t="s">
        <v>1079</v>
      </c>
      <c r="E10" s="1827">
        <v>223.36600000000001</v>
      </c>
      <c r="F10" s="1828">
        <v>133.93299999999999</v>
      </c>
      <c r="G10" s="1829">
        <v>332.892</v>
      </c>
      <c r="H10" s="1830">
        <v>290.47399999999999</v>
      </c>
      <c r="I10" s="1831">
        <v>49.034300000000002</v>
      </c>
      <c r="J10" s="1832">
        <v>116.8798</v>
      </c>
      <c r="K10" s="1833" t="s">
        <v>171</v>
      </c>
      <c r="L10" s="1798" t="s">
        <v>1080</v>
      </c>
      <c r="M10" s="1834">
        <f t="shared" ref="M10:P10" si="2">M8/1000</f>
        <v>268.335778</v>
      </c>
      <c r="N10" s="1834">
        <f t="shared" si="2"/>
        <v>1895.5751929999999</v>
      </c>
      <c r="O10" s="1834">
        <f t="shared" si="2"/>
        <v>0.475798</v>
      </c>
      <c r="P10" s="1834">
        <f t="shared" si="2"/>
        <v>13.813017</v>
      </c>
      <c r="Q10" s="1834">
        <f>Q8/1000</f>
        <v>958.88523299999997</v>
      </c>
      <c r="R10" s="1834">
        <f>R8/1000</f>
        <v>18682.19238</v>
      </c>
      <c r="S10" s="1834">
        <f>S8/1000</f>
        <v>0.65179100000000001</v>
      </c>
      <c r="T10" s="1834">
        <f>T8/1000</f>
        <v>74.804147000000015</v>
      </c>
    </row>
    <row r="11" spans="1:20" ht="11.1" customHeight="1">
      <c r="A11" s="3052" t="s">
        <v>1081</v>
      </c>
      <c r="B11" s="3064" t="s">
        <v>1082</v>
      </c>
      <c r="C11" s="1803" t="s">
        <v>1065</v>
      </c>
      <c r="D11" s="1804" t="s">
        <v>1066</v>
      </c>
      <c r="E11" s="1835">
        <v>8.0790000000000006</v>
      </c>
      <c r="F11" s="1836">
        <f>E11</f>
        <v>8.0790000000000006</v>
      </c>
      <c r="G11" s="1837">
        <v>8.1709999999999994</v>
      </c>
      <c r="H11" s="1838">
        <f t="shared" ref="H11" si="3">G11</f>
        <v>8.1709999999999994</v>
      </c>
      <c r="I11" s="1839">
        <f t="shared" ref="I11:J12" si="4">(G11-E11)/E11*100</f>
        <v>1.1387547963856759</v>
      </c>
      <c r="J11" s="1840">
        <f t="shared" si="4"/>
        <v>1.1387547963856759</v>
      </c>
      <c r="K11" s="1811">
        <f>G11/$G$56*100</f>
        <v>5.2773446953943572E-2</v>
      </c>
      <c r="L11" s="1798" t="s">
        <v>1083</v>
      </c>
      <c r="M11" s="1834">
        <f t="shared" ref="M11:P11" si="5">M9/100</f>
        <v>893.26787999999999</v>
      </c>
      <c r="N11" s="1834">
        <f t="shared" si="5"/>
        <v>5506.1443600000002</v>
      </c>
      <c r="O11" s="1834">
        <f t="shared" si="5"/>
        <v>0.92257999999999996</v>
      </c>
      <c r="P11" s="1834">
        <f t="shared" si="5"/>
        <v>26.808530000000001</v>
      </c>
      <c r="Q11" s="1834">
        <f>Q9/100</f>
        <v>2134.3334799999998</v>
      </c>
      <c r="R11" s="1834">
        <f>R9/100</f>
        <v>36205.520019999996</v>
      </c>
      <c r="S11" s="1834">
        <f>S9/100</f>
        <v>1.0405800000000001</v>
      </c>
      <c r="T11" s="1834">
        <f>T9/100</f>
        <v>129.60909000000001</v>
      </c>
    </row>
    <row r="12" spans="1:20" ht="11.1" customHeight="1">
      <c r="A12" s="3054"/>
      <c r="B12" s="3065"/>
      <c r="C12" s="1812" t="s">
        <v>1071</v>
      </c>
      <c r="D12" s="1813" t="s">
        <v>1072</v>
      </c>
      <c r="E12" s="1814">
        <v>48</v>
      </c>
      <c r="F12" s="1841">
        <f>E12</f>
        <v>48</v>
      </c>
      <c r="G12" s="1816">
        <v>50</v>
      </c>
      <c r="H12" s="1817">
        <f>G12</f>
        <v>50</v>
      </c>
      <c r="I12" s="1818">
        <f t="shared" si="4"/>
        <v>4.1666666666666661</v>
      </c>
      <c r="J12" s="1842">
        <f t="shared" si="4"/>
        <v>4.1666666666666661</v>
      </c>
      <c r="K12" s="1843">
        <f>G12/$G$57*100</f>
        <v>4.0021771843883072E-2</v>
      </c>
      <c r="M12" s="1821"/>
      <c r="N12" s="1821"/>
      <c r="O12" s="1821"/>
      <c r="P12" s="1821"/>
    </row>
    <row r="13" spans="1:20" ht="11.1" customHeight="1">
      <c r="A13" s="3054"/>
      <c r="B13" s="3065"/>
      <c r="C13" s="1812" t="s">
        <v>1073</v>
      </c>
      <c r="D13" s="1813" t="s">
        <v>1074</v>
      </c>
      <c r="E13" s="1814">
        <v>560.52700000000004</v>
      </c>
      <c r="F13" s="1815">
        <v>15493.165000000001</v>
      </c>
      <c r="G13" s="1816">
        <v>475.798</v>
      </c>
      <c r="H13" s="1817">
        <v>13813.017</v>
      </c>
      <c r="I13" s="1818">
        <v>-15.116</v>
      </c>
      <c r="J13" s="1842">
        <v>-10.8444</v>
      </c>
      <c r="K13" s="1820">
        <v>3.8699999999999998E-2</v>
      </c>
      <c r="M13" s="1822" t="s">
        <v>139</v>
      </c>
      <c r="N13" s="1821" t="s">
        <v>122</v>
      </c>
      <c r="O13" s="1821" t="s">
        <v>123</v>
      </c>
      <c r="P13" s="1822" t="s">
        <v>1084</v>
      </c>
      <c r="Q13" s="1821" t="s">
        <v>1070</v>
      </c>
    </row>
    <row r="14" spans="1:20" ht="11.1" customHeight="1">
      <c r="A14" s="3054"/>
      <c r="B14" s="3065"/>
      <c r="C14" s="1812" t="s">
        <v>138</v>
      </c>
      <c r="D14" s="1813" t="s">
        <v>1076</v>
      </c>
      <c r="E14" s="1844">
        <v>90.501000000000005</v>
      </c>
      <c r="F14" s="1815">
        <v>1450.731</v>
      </c>
      <c r="G14" s="1844">
        <v>92.257999999999996</v>
      </c>
      <c r="H14" s="1817">
        <v>2680.8530000000001</v>
      </c>
      <c r="I14" s="1818">
        <v>1.9408000000000001</v>
      </c>
      <c r="J14" s="1842">
        <v>84.793199999999999</v>
      </c>
      <c r="K14" s="1820">
        <v>3.0499999999999999E-2</v>
      </c>
      <c r="L14" s="1798" t="s">
        <v>1085</v>
      </c>
      <c r="M14" s="1822">
        <f>M10</f>
        <v>268.335778</v>
      </c>
      <c r="N14" s="1834">
        <f>O10</f>
        <v>0.475798</v>
      </c>
      <c r="O14" s="1821"/>
      <c r="P14" s="1822">
        <f>Q10-O10</f>
        <v>958.40943499999992</v>
      </c>
      <c r="Q14" s="1834">
        <f>S10</f>
        <v>0.65179100000000001</v>
      </c>
    </row>
    <row r="15" spans="1:20" ht="11.1" customHeight="1">
      <c r="A15" s="3054"/>
      <c r="B15" s="3066"/>
      <c r="C15" s="1825" t="s">
        <v>1078</v>
      </c>
      <c r="D15" s="1826" t="s">
        <v>1079</v>
      </c>
      <c r="E15" s="1827">
        <v>161.458</v>
      </c>
      <c r="F15" s="1828">
        <v>93.637</v>
      </c>
      <c r="G15" s="1845">
        <v>193.90100000000001</v>
      </c>
      <c r="H15" s="1830">
        <v>194.08199999999999</v>
      </c>
      <c r="I15" s="1846">
        <v>20.094200000000001</v>
      </c>
      <c r="J15" s="1847">
        <v>107.2705</v>
      </c>
      <c r="K15" s="1833" t="s">
        <v>171</v>
      </c>
      <c r="L15" s="1798" t="s">
        <v>1086</v>
      </c>
      <c r="M15" s="1834">
        <f>N10</f>
        <v>1895.5751929999999</v>
      </c>
      <c r="N15" s="1834">
        <f>P10</f>
        <v>13.813017</v>
      </c>
      <c r="O15" s="1821"/>
      <c r="P15" s="1834">
        <f>R10-P10</f>
        <v>18668.379363</v>
      </c>
      <c r="Q15" s="1834">
        <f>T10</f>
        <v>74.804147000000015</v>
      </c>
    </row>
    <row r="16" spans="1:20" ht="11.1" customHeight="1">
      <c r="A16" s="3054"/>
      <c r="B16" s="3067" t="s">
        <v>1087</v>
      </c>
      <c r="C16" s="1803" t="s">
        <v>1065</v>
      </c>
      <c r="D16" s="1804" t="s">
        <v>1066</v>
      </c>
      <c r="E16" s="1805">
        <v>12.772</v>
      </c>
      <c r="F16" s="1836">
        <f>E16</f>
        <v>12.772</v>
      </c>
      <c r="G16" s="1807">
        <v>13.362</v>
      </c>
      <c r="H16" s="1808">
        <f>G16</f>
        <v>13.362</v>
      </c>
      <c r="I16" s="1848">
        <f>(G16-E16)/E16*100</f>
        <v>4.6194801127466327</v>
      </c>
      <c r="J16" s="1849">
        <f t="shared" ref="J16:J17" si="6">(H16-F16)/F16*100</f>
        <v>4.6194801127466327</v>
      </c>
      <c r="K16" s="1811">
        <f>G16/$G$56*100</f>
        <v>8.6300183355598345E-2</v>
      </c>
      <c r="M16" s="1850"/>
      <c r="N16" s="1821"/>
      <c r="O16" s="1821"/>
      <c r="P16" s="1850"/>
      <c r="Q16" s="1821"/>
    </row>
    <row r="17" spans="1:17" ht="11.1" customHeight="1">
      <c r="A17" s="3054"/>
      <c r="B17" s="3065"/>
      <c r="C17" s="1812" t="s">
        <v>1071</v>
      </c>
      <c r="D17" s="1813" t="s">
        <v>1072</v>
      </c>
      <c r="E17" s="1814">
        <v>24</v>
      </c>
      <c r="F17" s="1841">
        <f>E17</f>
        <v>24</v>
      </c>
      <c r="G17" s="1816">
        <v>25</v>
      </c>
      <c r="H17" s="1817">
        <f>G17</f>
        <v>25</v>
      </c>
      <c r="I17" s="1818">
        <f t="shared" ref="I17" si="7">(G17-E17)/E17*100</f>
        <v>4.1666666666666661</v>
      </c>
      <c r="J17" s="1819">
        <f t="shared" si="6"/>
        <v>4.1666666666666661</v>
      </c>
      <c r="K17" s="1843">
        <f>G17/$G$57*100</f>
        <v>2.0010885921941536E-2</v>
      </c>
      <c r="L17" s="1798" t="s">
        <v>1088</v>
      </c>
      <c r="M17" s="1850">
        <f>M11</f>
        <v>893.26787999999999</v>
      </c>
      <c r="N17" s="1850">
        <f>O11</f>
        <v>0.92257999999999996</v>
      </c>
      <c r="O17" s="1850"/>
      <c r="P17" s="1850">
        <f>Q11-O11</f>
        <v>2133.4108999999999</v>
      </c>
      <c r="Q17" s="1834">
        <f>S11</f>
        <v>1.0405800000000001</v>
      </c>
    </row>
    <row r="18" spans="1:17" ht="11.1" customHeight="1">
      <c r="A18" s="3054"/>
      <c r="B18" s="3065"/>
      <c r="C18" s="1812" t="s">
        <v>1073</v>
      </c>
      <c r="D18" s="1813" t="s">
        <v>1074</v>
      </c>
      <c r="E18" s="1814">
        <v>2489.6060000000002</v>
      </c>
      <c r="F18" s="1815">
        <v>25930.556</v>
      </c>
      <c r="G18" s="1816">
        <v>2106.027</v>
      </c>
      <c r="H18" s="1817">
        <v>31281.971000000001</v>
      </c>
      <c r="I18" s="1851">
        <v>-15.4072</v>
      </c>
      <c r="J18" s="1852">
        <v>20.637499999999999</v>
      </c>
      <c r="K18" s="1820">
        <v>0.17150000000000001</v>
      </c>
      <c r="L18" s="1798" t="s">
        <v>1089</v>
      </c>
      <c r="M18" s="1834">
        <f>N11</f>
        <v>5506.1443600000002</v>
      </c>
      <c r="N18" s="1834">
        <f>P11</f>
        <v>26.808530000000001</v>
      </c>
      <c r="O18" s="1821"/>
      <c r="P18" s="1834">
        <f>R11-P11</f>
        <v>36178.711489999994</v>
      </c>
      <c r="Q18" s="1834">
        <f>T11</f>
        <v>129.60909000000001</v>
      </c>
    </row>
    <row r="19" spans="1:17" ht="11.1" customHeight="1">
      <c r="A19" s="3054"/>
      <c r="B19" s="3065"/>
      <c r="C19" s="1812" t="s">
        <v>138</v>
      </c>
      <c r="D19" s="1813" t="s">
        <v>1076</v>
      </c>
      <c r="E19" s="1814">
        <v>355.541</v>
      </c>
      <c r="F19" s="1815">
        <v>2478.4009999999998</v>
      </c>
      <c r="G19" s="1816">
        <v>336.23</v>
      </c>
      <c r="H19" s="1817">
        <v>5846.8630000000003</v>
      </c>
      <c r="I19" s="1851">
        <v>-5.4311999999999996</v>
      </c>
      <c r="J19" s="1852">
        <v>135.9127</v>
      </c>
      <c r="K19" s="1820">
        <v>0.111</v>
      </c>
    </row>
    <row r="20" spans="1:17" ht="11.1" customHeight="1">
      <c r="A20" s="3054"/>
      <c r="B20" s="3066"/>
      <c r="C20" s="1825" t="s">
        <v>1078</v>
      </c>
      <c r="D20" s="1826" t="s">
        <v>1079</v>
      </c>
      <c r="E20" s="1827">
        <v>142.81</v>
      </c>
      <c r="F20" s="1828">
        <v>95.578000000000003</v>
      </c>
      <c r="G20" s="1829">
        <v>159.65199999999999</v>
      </c>
      <c r="H20" s="1853">
        <v>186.90799999999999</v>
      </c>
      <c r="I20" s="1854">
        <v>11.792999999999999</v>
      </c>
      <c r="J20" s="1855">
        <v>95.555000000000007</v>
      </c>
      <c r="K20" s="1833" t="s">
        <v>171</v>
      </c>
    </row>
    <row r="21" spans="1:17" ht="11.1" customHeight="1">
      <c r="A21" s="3054"/>
      <c r="B21" s="3067" t="s">
        <v>1090</v>
      </c>
      <c r="C21" s="1803" t="s">
        <v>1065</v>
      </c>
      <c r="D21" s="1804" t="s">
        <v>1066</v>
      </c>
      <c r="E21" s="1805">
        <v>0.28939999999999999</v>
      </c>
      <c r="F21" s="1836">
        <f>E21</f>
        <v>0.28939999999999999</v>
      </c>
      <c r="G21" s="1807">
        <v>0.29339999999999999</v>
      </c>
      <c r="H21" s="1808">
        <f>G21</f>
        <v>0.29339999999999999</v>
      </c>
      <c r="I21" s="1839">
        <f t="shared" ref="I21:J57" si="8">(G21-E21)/E21*100</f>
        <v>1.3821700069108513</v>
      </c>
      <c r="J21" s="1856">
        <f t="shared" si="8"/>
        <v>1.3821700069108513</v>
      </c>
      <c r="K21" s="1811">
        <f>G21/$G$56*100</f>
        <v>1.8949613677991732E-3</v>
      </c>
      <c r="M21" s="1857" t="s">
        <v>1091</v>
      </c>
    </row>
    <row r="22" spans="1:17" ht="11.1" customHeight="1">
      <c r="A22" s="3054"/>
      <c r="B22" s="3065"/>
      <c r="C22" s="1812" t="s">
        <v>1071</v>
      </c>
      <c r="D22" s="1813" t="s">
        <v>1072</v>
      </c>
      <c r="E22" s="1814">
        <v>7</v>
      </c>
      <c r="F22" s="1841">
        <f>E22</f>
        <v>7</v>
      </c>
      <c r="G22" s="1816">
        <v>7</v>
      </c>
      <c r="H22" s="1817">
        <f>G22</f>
        <v>7</v>
      </c>
      <c r="I22" s="1858">
        <f t="shared" si="8"/>
        <v>0</v>
      </c>
      <c r="J22" s="1859">
        <f t="shared" si="8"/>
        <v>0</v>
      </c>
      <c r="K22" s="1843">
        <f>G22/$G$57*100</f>
        <v>5.6030480581436308E-3</v>
      </c>
      <c r="M22" s="1857" t="s">
        <v>1092</v>
      </c>
    </row>
    <row r="23" spans="1:17" ht="11.1" customHeight="1">
      <c r="A23" s="3054"/>
      <c r="B23" s="3065"/>
      <c r="C23" s="1812" t="s">
        <v>1073</v>
      </c>
      <c r="D23" s="1813" t="s">
        <v>1074</v>
      </c>
      <c r="E23" s="1814">
        <v>0.83</v>
      </c>
      <c r="F23" s="1860">
        <v>12.002000000000001</v>
      </c>
      <c r="G23" s="1816">
        <v>1.0589999999999999</v>
      </c>
      <c r="H23" s="1817">
        <v>14.907</v>
      </c>
      <c r="I23" s="1858">
        <v>27.590399999999999</v>
      </c>
      <c r="J23" s="1859">
        <v>24.2043</v>
      </c>
      <c r="K23" s="1820">
        <v>1E-4</v>
      </c>
    </row>
    <row r="24" spans="1:17" ht="11.1" customHeight="1">
      <c r="A24" s="3054"/>
      <c r="B24" s="3065"/>
      <c r="C24" s="1812" t="s">
        <v>138</v>
      </c>
      <c r="D24" s="1813" t="s">
        <v>1076</v>
      </c>
      <c r="E24" s="1814">
        <v>0.121</v>
      </c>
      <c r="F24" s="1860">
        <v>1.1080000000000001</v>
      </c>
      <c r="G24" s="1861">
        <v>0.28299999999999997</v>
      </c>
      <c r="H24" s="1817">
        <v>2.87</v>
      </c>
      <c r="I24" s="1818">
        <v>134.31110000000001</v>
      </c>
      <c r="J24" s="1859">
        <v>159.12629999999999</v>
      </c>
      <c r="K24" s="1820">
        <v>1E-4</v>
      </c>
    </row>
    <row r="25" spans="1:17" ht="11.1" customHeight="1">
      <c r="A25" s="3054"/>
      <c r="B25" s="3066"/>
      <c r="C25" s="1825" t="s">
        <v>1078</v>
      </c>
      <c r="D25" s="1826" t="s">
        <v>1079</v>
      </c>
      <c r="E25" s="1862">
        <v>145.733</v>
      </c>
      <c r="F25" s="1863">
        <v>92.296999999999997</v>
      </c>
      <c r="G25" s="1829">
        <v>267.62799999999999</v>
      </c>
      <c r="H25" s="1830">
        <v>192.55799999999999</v>
      </c>
      <c r="I25" s="1846">
        <v>83.643199999999993</v>
      </c>
      <c r="J25" s="1859">
        <v>108.62909999999999</v>
      </c>
      <c r="K25" s="1833" t="s">
        <v>171</v>
      </c>
    </row>
    <row r="26" spans="1:17" ht="11.1" customHeight="1">
      <c r="A26" s="3054"/>
      <c r="B26" s="3067" t="s">
        <v>1093</v>
      </c>
      <c r="C26" s="1803" t="s">
        <v>1065</v>
      </c>
      <c r="D26" s="1804" t="s">
        <v>1066</v>
      </c>
      <c r="E26" s="1805">
        <v>5.0960000000000001</v>
      </c>
      <c r="F26" s="1836">
        <f>E26</f>
        <v>5.0960000000000001</v>
      </c>
      <c r="G26" s="1807">
        <v>6.681</v>
      </c>
      <c r="H26" s="1808">
        <f t="shared" ref="H26:H27" si="9">G26</f>
        <v>6.681</v>
      </c>
      <c r="I26" s="1864">
        <f t="shared" si="8"/>
        <v>31.102825745682889</v>
      </c>
      <c r="J26" s="1865">
        <f t="shared" si="8"/>
        <v>31.102825745682889</v>
      </c>
      <c r="K26" s="1811">
        <f>G26/$G$56*100</f>
        <v>4.3150091677799172E-2</v>
      </c>
    </row>
    <row r="27" spans="1:17" ht="11.1" customHeight="1">
      <c r="A27" s="3054"/>
      <c r="B27" s="3065"/>
      <c r="C27" s="1812" t="s">
        <v>1071</v>
      </c>
      <c r="D27" s="1813" t="s">
        <v>1072</v>
      </c>
      <c r="E27" s="1814">
        <v>15</v>
      </c>
      <c r="F27" s="1841">
        <f>E27</f>
        <v>15</v>
      </c>
      <c r="G27" s="1816">
        <v>19</v>
      </c>
      <c r="H27" s="1817">
        <f t="shared" si="9"/>
        <v>19</v>
      </c>
      <c r="I27" s="1858">
        <f t="shared" si="8"/>
        <v>26.666666666666668</v>
      </c>
      <c r="J27" s="1859">
        <f t="shared" si="8"/>
        <v>26.666666666666668</v>
      </c>
      <c r="K27" s="1843">
        <f>G27/$G$57*100</f>
        <v>1.5208273300675569E-2</v>
      </c>
    </row>
    <row r="28" spans="1:17" ht="11.1" customHeight="1">
      <c r="A28" s="3054"/>
      <c r="B28" s="3065"/>
      <c r="C28" s="1812" t="s">
        <v>1073</v>
      </c>
      <c r="D28" s="1813" t="s">
        <v>1074</v>
      </c>
      <c r="E28" s="1814">
        <v>2756.7629999999999</v>
      </c>
      <c r="F28" s="1815">
        <v>32096.227999999999</v>
      </c>
      <c r="G28" s="1816">
        <v>3440.7420000000002</v>
      </c>
      <c r="H28" s="1817">
        <v>35991.864999999998</v>
      </c>
      <c r="I28" s="1858">
        <v>24.811</v>
      </c>
      <c r="J28" s="1859">
        <v>12.137</v>
      </c>
      <c r="K28" s="1820">
        <v>0</v>
      </c>
    </row>
    <row r="29" spans="1:17" ht="11.1" customHeight="1">
      <c r="A29" s="3054"/>
      <c r="B29" s="3065"/>
      <c r="C29" s="1812" t="s">
        <v>138</v>
      </c>
      <c r="D29" s="1813" t="s">
        <v>1076</v>
      </c>
      <c r="E29" s="1814">
        <v>393.69299999999998</v>
      </c>
      <c r="F29" s="1815">
        <v>2999.2109999999998</v>
      </c>
      <c r="G29" s="1816">
        <v>554.78700000000003</v>
      </c>
      <c r="H29" s="1817">
        <v>6769.902</v>
      </c>
      <c r="I29" s="1858">
        <v>40.918999999999997</v>
      </c>
      <c r="J29" s="1859">
        <v>125.723</v>
      </c>
      <c r="K29" s="1820">
        <v>0</v>
      </c>
    </row>
    <row r="30" spans="1:17" ht="11.1" customHeight="1">
      <c r="A30" s="3054"/>
      <c r="B30" s="3066"/>
      <c r="C30" s="1825" t="s">
        <v>1078</v>
      </c>
      <c r="D30" s="1826" t="s">
        <v>1079</v>
      </c>
      <c r="E30" s="1827">
        <v>142.81</v>
      </c>
      <c r="F30" s="1828">
        <v>93.444000000000003</v>
      </c>
      <c r="G30" s="1829">
        <v>161.24100000000001</v>
      </c>
      <c r="H30" s="1830">
        <v>188.095</v>
      </c>
      <c r="I30" s="1866">
        <v>12.906000000000001</v>
      </c>
      <c r="J30" s="1867">
        <v>101.291</v>
      </c>
      <c r="K30" s="1833" t="s">
        <v>171</v>
      </c>
    </row>
    <row r="31" spans="1:17" ht="11.1" customHeight="1">
      <c r="A31" s="3054"/>
      <c r="B31" s="3067" t="s">
        <v>1094</v>
      </c>
      <c r="C31" s="1803" t="s">
        <v>1065</v>
      </c>
      <c r="D31" s="1804" t="s">
        <v>1066</v>
      </c>
      <c r="E31" s="1868">
        <v>0.08</v>
      </c>
      <c r="F31" s="1836">
        <f>E31</f>
        <v>0.08</v>
      </c>
      <c r="G31" s="1807">
        <v>0.08</v>
      </c>
      <c r="H31" s="1808">
        <f t="shared" ref="H31:H32" si="10">G31</f>
        <v>0.08</v>
      </c>
      <c r="I31" s="1869" t="s">
        <v>171</v>
      </c>
      <c r="J31" s="1870" t="s">
        <v>171</v>
      </c>
      <c r="K31" s="1811">
        <f>G31/$G$56*100</f>
        <v>5.1669021616882708E-4</v>
      </c>
    </row>
    <row r="32" spans="1:17" ht="11.1" customHeight="1">
      <c r="A32" s="3054"/>
      <c r="B32" s="3065"/>
      <c r="C32" s="1812" t="s">
        <v>1071</v>
      </c>
      <c r="D32" s="1813" t="s">
        <v>1072</v>
      </c>
      <c r="E32" s="1844">
        <v>1</v>
      </c>
      <c r="F32" s="1841">
        <f>E32</f>
        <v>1</v>
      </c>
      <c r="G32" s="1816">
        <v>1</v>
      </c>
      <c r="H32" s="1817">
        <f t="shared" si="10"/>
        <v>1</v>
      </c>
      <c r="I32" s="1871" t="s">
        <v>171</v>
      </c>
      <c r="J32" s="1872" t="s">
        <v>171</v>
      </c>
      <c r="K32" s="1843">
        <f>G32/$G$57*100</f>
        <v>8.0043543687766149E-4</v>
      </c>
    </row>
    <row r="33" spans="1:16" ht="11.1" customHeight="1">
      <c r="A33" s="3054"/>
      <c r="B33" s="3065"/>
      <c r="C33" s="1812" t="s">
        <v>1073</v>
      </c>
      <c r="D33" s="1813" t="s">
        <v>1074</v>
      </c>
      <c r="E33" s="1873">
        <v>11.58</v>
      </c>
      <c r="F33" s="1874">
        <v>12.622</v>
      </c>
      <c r="G33" s="1875">
        <v>0</v>
      </c>
      <c r="H33" s="1817">
        <v>3.6389999999999998</v>
      </c>
      <c r="I33" s="1871">
        <v>-100</v>
      </c>
      <c r="J33" s="1872">
        <v>-71.168999999999997</v>
      </c>
      <c r="K33" s="1876">
        <v>0</v>
      </c>
    </row>
    <row r="34" spans="1:16" ht="11.1" customHeight="1">
      <c r="A34" s="3054"/>
      <c r="B34" s="3065"/>
      <c r="C34" s="1812" t="s">
        <v>138</v>
      </c>
      <c r="D34" s="1813" t="s">
        <v>1076</v>
      </c>
      <c r="E34" s="1873">
        <v>1.542</v>
      </c>
      <c r="F34" s="1874">
        <v>1.657</v>
      </c>
      <c r="G34" s="1875">
        <v>0</v>
      </c>
      <c r="H34" s="1817">
        <v>0.75700000000000001</v>
      </c>
      <c r="I34" s="1871">
        <v>-100</v>
      </c>
      <c r="J34" s="1872">
        <v>-54.311999999999998</v>
      </c>
      <c r="K34" s="1876">
        <v>0</v>
      </c>
    </row>
    <row r="35" spans="1:16" ht="11.1" customHeight="1">
      <c r="A35" s="3054"/>
      <c r="B35" s="3066"/>
      <c r="C35" s="1825" t="s">
        <v>1078</v>
      </c>
      <c r="D35" s="1826" t="s">
        <v>1079</v>
      </c>
      <c r="E35" s="1877">
        <v>133.13499999999999</v>
      </c>
      <c r="F35" s="1878">
        <v>131.27099999999999</v>
      </c>
      <c r="G35" s="1875">
        <v>0</v>
      </c>
      <c r="H35" s="1830">
        <v>208.02699999999999</v>
      </c>
      <c r="I35" s="1879" t="s">
        <v>171</v>
      </c>
      <c r="J35" s="1880">
        <v>58.472000000000001</v>
      </c>
      <c r="K35" s="1881">
        <v>0</v>
      </c>
    </row>
    <row r="36" spans="1:16" ht="11.1" customHeight="1">
      <c r="A36" s="3054"/>
      <c r="B36" s="3067" t="s">
        <v>1095</v>
      </c>
      <c r="C36" s="1803" t="s">
        <v>1065</v>
      </c>
      <c r="D36" s="1804" t="s">
        <v>1066</v>
      </c>
      <c r="E36" s="1805">
        <v>13045.578030000001</v>
      </c>
      <c r="F36" s="1836">
        <f>E36</f>
        <v>13045.578030000001</v>
      </c>
      <c r="G36" s="1807">
        <v>14622.254849999668</v>
      </c>
      <c r="H36" s="1808">
        <f t="shared" ref="H36:H37" si="11">G36</f>
        <v>14622.254849999668</v>
      </c>
      <c r="I36" s="1864">
        <f t="shared" ref="I36:J37" si="12">(G36-E36)/E36*100</f>
        <v>12.085910002407671</v>
      </c>
      <c r="J36" s="1865">
        <f t="shared" si="12"/>
        <v>12.085910002407671</v>
      </c>
      <c r="K36" s="1811">
        <f>G36/$G$56*100</f>
        <v>94.439700241525102</v>
      </c>
    </row>
    <row r="37" spans="1:16" ht="11.1" customHeight="1">
      <c r="A37" s="3054"/>
      <c r="B37" s="3065"/>
      <c r="C37" s="1812" t="s">
        <v>1071</v>
      </c>
      <c r="D37" s="1813" t="s">
        <v>1072</v>
      </c>
      <c r="E37" s="1814">
        <v>107607</v>
      </c>
      <c r="F37" s="1841">
        <f>E37</f>
        <v>107607</v>
      </c>
      <c r="G37" s="1816">
        <v>124807</v>
      </c>
      <c r="H37" s="1817">
        <f t="shared" si="11"/>
        <v>124807</v>
      </c>
      <c r="I37" s="1858">
        <f t="shared" si="12"/>
        <v>15.984090254351482</v>
      </c>
      <c r="J37" s="1859">
        <f t="shared" si="12"/>
        <v>15.984090254351482</v>
      </c>
      <c r="K37" s="1843">
        <f>G37/$G$57*100</f>
        <v>99.899945570390287</v>
      </c>
    </row>
    <row r="38" spans="1:16" ht="11.1" customHeight="1">
      <c r="A38" s="3054"/>
      <c r="B38" s="3065"/>
      <c r="C38" s="1812" t="s">
        <v>1073</v>
      </c>
      <c r="D38" s="1813" t="s">
        <v>1074</v>
      </c>
      <c r="E38" s="1814">
        <v>987830.53300000005</v>
      </c>
      <c r="F38" s="1815">
        <v>15243544.774</v>
      </c>
      <c r="G38" s="1816">
        <v>952861.60699999996</v>
      </c>
      <c r="H38" s="1817">
        <v>18601086.980999999</v>
      </c>
      <c r="I38" s="1858">
        <v>-3.54</v>
      </c>
      <c r="J38" s="1859">
        <v>22.026</v>
      </c>
      <c r="K38" s="1820">
        <v>77.602599999999995</v>
      </c>
    </row>
    <row r="39" spans="1:16" ht="11.1" customHeight="1">
      <c r="A39" s="3054"/>
      <c r="B39" s="3065"/>
      <c r="C39" s="1812" t="s">
        <v>138</v>
      </c>
      <c r="D39" s="1813" t="s">
        <v>1076</v>
      </c>
      <c r="E39" s="1814">
        <v>146830.851</v>
      </c>
      <c r="F39" s="1815">
        <v>1511768.31</v>
      </c>
      <c r="G39" s="1816">
        <v>212449.78899999999</v>
      </c>
      <c r="H39" s="1817">
        <v>3605250.7560000001</v>
      </c>
      <c r="I39" s="1858">
        <v>44.690199999999997</v>
      </c>
      <c r="J39" s="1859">
        <v>138.47909999999999</v>
      </c>
      <c r="K39" s="1820">
        <v>70.146900000000002</v>
      </c>
    </row>
    <row r="40" spans="1:16" ht="11.1" customHeight="1">
      <c r="A40" s="3054"/>
      <c r="B40" s="3066"/>
      <c r="C40" s="1825" t="s">
        <v>1078</v>
      </c>
      <c r="D40" s="1826" t="s">
        <v>1079</v>
      </c>
      <c r="E40" s="1827">
        <v>148.63999999999999</v>
      </c>
      <c r="F40" s="1828">
        <v>99.174000000000007</v>
      </c>
      <c r="G40" s="1829">
        <v>222.96</v>
      </c>
      <c r="H40" s="1830">
        <v>193.81899999999999</v>
      </c>
      <c r="I40" s="1858">
        <v>50.000100000000003</v>
      </c>
      <c r="J40" s="1859">
        <v>95.433000000000007</v>
      </c>
      <c r="K40" s="1833" t="s">
        <v>171</v>
      </c>
    </row>
    <row r="41" spans="1:16" ht="12" customHeight="1">
      <c r="A41" s="3054"/>
      <c r="B41" s="3068" t="s">
        <v>1096</v>
      </c>
      <c r="C41" s="1803" t="s">
        <v>1065</v>
      </c>
      <c r="D41" s="1804" t="s">
        <v>1066</v>
      </c>
      <c r="E41" s="1837">
        <f t="shared" ref="E41:H42" si="13">E11+E16+E21+E26+E31+E36</f>
        <v>13071.89443</v>
      </c>
      <c r="F41" s="1838">
        <f t="shared" si="13"/>
        <v>13071.89443</v>
      </c>
      <c r="G41" s="1837">
        <f t="shared" si="13"/>
        <v>14650.842249999669</v>
      </c>
      <c r="H41" s="1838">
        <f t="shared" si="13"/>
        <v>14650.842249999669</v>
      </c>
      <c r="I41" s="1809">
        <f t="shared" si="8"/>
        <v>12.078951742266085</v>
      </c>
      <c r="J41" s="1810">
        <f t="shared" si="8"/>
        <v>12.078951742266085</v>
      </c>
      <c r="K41" s="1811">
        <f>G41/$G$56*100</f>
        <v>94.624335615096413</v>
      </c>
    </row>
    <row r="42" spans="1:16" ht="12" customHeight="1">
      <c r="A42" s="3054"/>
      <c r="B42" s="3055"/>
      <c r="C42" s="1812" t="s">
        <v>1071</v>
      </c>
      <c r="D42" s="1813" t="s">
        <v>1072</v>
      </c>
      <c r="E42" s="1816">
        <f t="shared" si="13"/>
        <v>107702</v>
      </c>
      <c r="F42" s="1817">
        <f t="shared" si="13"/>
        <v>107702</v>
      </c>
      <c r="G42" s="1816">
        <f t="shared" si="13"/>
        <v>124909</v>
      </c>
      <c r="H42" s="1817">
        <f t="shared" si="13"/>
        <v>124909</v>
      </c>
      <c r="I42" s="1858">
        <f t="shared" si="8"/>
        <v>15.976490687266717</v>
      </c>
      <c r="J42" s="1859">
        <f t="shared" si="8"/>
        <v>15.976490687266717</v>
      </c>
      <c r="K42" s="1843">
        <f>G42/$G$57*100</f>
        <v>99.98158998495181</v>
      </c>
    </row>
    <row r="43" spans="1:16" ht="12" customHeight="1">
      <c r="A43" s="3054"/>
      <c r="B43" s="3055"/>
      <c r="C43" s="1812" t="s">
        <v>1073</v>
      </c>
      <c r="D43" s="1813" t="s">
        <v>1074</v>
      </c>
      <c r="E43" s="1814">
        <v>993649.83900000004</v>
      </c>
      <c r="F43" s="1841">
        <v>15317089.346999999</v>
      </c>
      <c r="G43" s="1816">
        <v>958885.23300000001</v>
      </c>
      <c r="H43" s="1817">
        <v>18682192.379999999</v>
      </c>
      <c r="I43" s="1858">
        <v>-3.4986999999999999</v>
      </c>
      <c r="J43" s="1859">
        <v>21.9696</v>
      </c>
      <c r="K43" s="1820">
        <v>78.093199999999996</v>
      </c>
    </row>
    <row r="44" spans="1:16" ht="12" customHeight="1">
      <c r="A44" s="3054"/>
      <c r="B44" s="3055"/>
      <c r="C44" s="1812" t="s">
        <v>138</v>
      </c>
      <c r="D44" s="1813" t="s">
        <v>1076</v>
      </c>
      <c r="E44" s="1814">
        <v>147672.24900000001</v>
      </c>
      <c r="F44" s="1841">
        <v>1518699.4180000001</v>
      </c>
      <c r="G44" s="1816">
        <v>213433.348</v>
      </c>
      <c r="H44" s="1817">
        <v>3620552.0019999999</v>
      </c>
      <c r="I44" s="1858">
        <v>44.531799999999997</v>
      </c>
      <c r="J44" s="1859">
        <v>138.3982</v>
      </c>
      <c r="K44" s="1820">
        <v>70.471599999999995</v>
      </c>
    </row>
    <row r="45" spans="1:16" ht="12" customHeight="1">
      <c r="A45" s="3056"/>
      <c r="B45" s="3057"/>
      <c r="C45" s="1825" t="s">
        <v>1078</v>
      </c>
      <c r="D45" s="1826" t="s">
        <v>1079</v>
      </c>
      <c r="E45" s="1882">
        <v>148.61600000000001</v>
      </c>
      <c r="F45" s="1883">
        <v>99.150999999999996</v>
      </c>
      <c r="G45" s="1884">
        <v>222.58500000000001</v>
      </c>
      <c r="H45" s="1885">
        <v>193.797</v>
      </c>
      <c r="I45" s="1886">
        <v>49.771799999999999</v>
      </c>
      <c r="J45" s="1887">
        <v>95.457099999999997</v>
      </c>
      <c r="K45" s="1833" t="s">
        <v>171</v>
      </c>
    </row>
    <row r="46" spans="1:16" ht="12" customHeight="1">
      <c r="A46" s="3052" t="s">
        <v>1097</v>
      </c>
      <c r="B46" s="3053"/>
      <c r="C46" s="1803" t="s">
        <v>1065</v>
      </c>
      <c r="D46" s="1804" t="s">
        <v>1066</v>
      </c>
      <c r="E46" s="1805">
        <v>323.41199999999998</v>
      </c>
      <c r="F46" s="1836">
        <f>E46</f>
        <v>323.41199999999998</v>
      </c>
      <c r="G46" s="1807">
        <v>302.41199999999998</v>
      </c>
      <c r="H46" s="1808">
        <f t="shared" ref="H46:H47" si="14">G46</f>
        <v>302.41199999999998</v>
      </c>
      <c r="I46" s="1888">
        <f t="shared" si="8"/>
        <v>-6.4932655560090531</v>
      </c>
      <c r="J46" s="1856">
        <f t="shared" si="8"/>
        <v>-6.4932655560090531</v>
      </c>
      <c r="K46" s="1811">
        <f>G46/$G$56*100</f>
        <v>1.9531665206505913</v>
      </c>
      <c r="M46" s="1889"/>
      <c r="N46" s="1889"/>
      <c r="O46" s="1889"/>
      <c r="P46" s="1889"/>
    </row>
    <row r="47" spans="1:16" ht="12" customHeight="1">
      <c r="A47" s="3054"/>
      <c r="B47" s="3055"/>
      <c r="C47" s="1812" t="s">
        <v>1071</v>
      </c>
      <c r="D47" s="1813" t="s">
        <v>1072</v>
      </c>
      <c r="E47" s="1814">
        <v>12</v>
      </c>
      <c r="F47" s="1841">
        <f>E47</f>
        <v>12</v>
      </c>
      <c r="G47" s="1816">
        <v>11</v>
      </c>
      <c r="H47" s="1817">
        <f t="shared" si="14"/>
        <v>11</v>
      </c>
      <c r="I47" s="1818">
        <f t="shared" si="8"/>
        <v>-8.3333333333333321</v>
      </c>
      <c r="J47" s="1819">
        <f t="shared" si="8"/>
        <v>-8.3333333333333321</v>
      </c>
      <c r="K47" s="1843">
        <f>G47/$G$57*100</f>
        <v>8.8047898056542763E-3</v>
      </c>
      <c r="M47" s="1890"/>
      <c r="N47" s="1890"/>
      <c r="O47" s="1890"/>
      <c r="P47" s="1890"/>
    </row>
    <row r="48" spans="1:16" ht="12" customHeight="1">
      <c r="A48" s="3054"/>
      <c r="B48" s="3055"/>
      <c r="C48" s="1812" t="s">
        <v>1073</v>
      </c>
      <c r="D48" s="1813" t="s">
        <v>1074</v>
      </c>
      <c r="E48" s="1891">
        <v>23803.778999999999</v>
      </c>
      <c r="F48" s="1892">
        <v>117045.54</v>
      </c>
      <c r="G48" s="1875">
        <v>0</v>
      </c>
      <c r="H48" s="1817">
        <v>66873.191000000006</v>
      </c>
      <c r="I48" s="1893">
        <v>-100</v>
      </c>
      <c r="J48" s="1819">
        <v>-42.865699999999997</v>
      </c>
      <c r="K48" s="1876">
        <v>0</v>
      </c>
      <c r="M48" s="1894"/>
      <c r="N48" s="1890"/>
      <c r="O48" s="1890"/>
      <c r="P48" s="1894"/>
    </row>
    <row r="49" spans="1:16" ht="12" customHeight="1">
      <c r="A49" s="3054"/>
      <c r="B49" s="3055"/>
      <c r="C49" s="1812" t="s">
        <v>138</v>
      </c>
      <c r="D49" s="1813" t="s">
        <v>1076</v>
      </c>
      <c r="E49" s="1891">
        <v>3348.7469999999998</v>
      </c>
      <c r="F49" s="1892">
        <v>10040.83</v>
      </c>
      <c r="G49" s="1875">
        <v>0</v>
      </c>
      <c r="H49" s="1817">
        <v>11486.870999999999</v>
      </c>
      <c r="I49" s="1871">
        <v>-100</v>
      </c>
      <c r="J49" s="1819">
        <v>14.4016</v>
      </c>
      <c r="K49" s="1876">
        <v>0</v>
      </c>
      <c r="M49" s="1894"/>
      <c r="N49" s="1890"/>
      <c r="O49" s="1890"/>
      <c r="P49" s="1894"/>
    </row>
    <row r="50" spans="1:16" ht="12" customHeight="1">
      <c r="A50" s="3056"/>
      <c r="B50" s="3057"/>
      <c r="C50" s="1825" t="s">
        <v>1078</v>
      </c>
      <c r="D50" s="1826" t="s">
        <v>1079</v>
      </c>
      <c r="E50" s="1877">
        <v>140.68100000000001</v>
      </c>
      <c r="F50" s="1828">
        <v>85.786000000000001</v>
      </c>
      <c r="G50" s="1875">
        <v>0</v>
      </c>
      <c r="H50" s="1830">
        <v>171.77099999999999</v>
      </c>
      <c r="I50" s="1895" t="s">
        <v>171</v>
      </c>
      <c r="J50" s="1847">
        <v>100.23269999999999</v>
      </c>
      <c r="K50" s="1881">
        <v>0</v>
      </c>
      <c r="M50" s="1889"/>
      <c r="N50" s="1890"/>
      <c r="O50" s="1890"/>
      <c r="P50" s="1889"/>
    </row>
    <row r="51" spans="1:16" ht="12" customHeight="1">
      <c r="A51" s="3052" t="s">
        <v>1098</v>
      </c>
      <c r="B51" s="3053"/>
      <c r="C51" s="1803" t="s">
        <v>1065</v>
      </c>
      <c r="D51" s="1804" t="s">
        <v>1066</v>
      </c>
      <c r="E51" s="1805">
        <v>5.05</v>
      </c>
      <c r="F51" s="1836">
        <f>E51</f>
        <v>5.05</v>
      </c>
      <c r="G51" s="1807">
        <v>4.4109999999999996</v>
      </c>
      <c r="H51" s="1808">
        <f t="shared" ref="H51:H52" si="15">G51</f>
        <v>4.4109999999999996</v>
      </c>
      <c r="I51" s="1888">
        <f t="shared" si="8"/>
        <v>-12.653465346534659</v>
      </c>
      <c r="J51" s="1856">
        <f t="shared" si="8"/>
        <v>-12.653465346534659</v>
      </c>
      <c r="K51" s="1811">
        <f>G51/$G$56*100</f>
        <v>2.8489006794008696E-2</v>
      </c>
      <c r="M51" s="1889"/>
      <c r="N51" s="1889"/>
      <c r="O51" s="1889"/>
      <c r="P51" s="1889"/>
    </row>
    <row r="52" spans="1:16" ht="12" customHeight="1">
      <c r="A52" s="3054"/>
      <c r="B52" s="3055"/>
      <c r="C52" s="1812" t="s">
        <v>1071</v>
      </c>
      <c r="D52" s="1813" t="s">
        <v>1072</v>
      </c>
      <c r="E52" s="1814">
        <v>12</v>
      </c>
      <c r="F52" s="1841">
        <f>E52</f>
        <v>12</v>
      </c>
      <c r="G52" s="1816">
        <v>11</v>
      </c>
      <c r="H52" s="1817">
        <f t="shared" si="15"/>
        <v>11</v>
      </c>
      <c r="I52" s="1818">
        <f t="shared" si="8"/>
        <v>-8.3333333333333321</v>
      </c>
      <c r="J52" s="1819">
        <f t="shared" si="8"/>
        <v>-8.3333333333333321</v>
      </c>
      <c r="K52" s="1843">
        <f>G52/$G$57*100</f>
        <v>8.8047898056542763E-3</v>
      </c>
      <c r="M52" s="1890"/>
      <c r="N52" s="1890"/>
      <c r="O52" s="1890"/>
      <c r="P52" s="1890"/>
    </row>
    <row r="53" spans="1:16" ht="12" customHeight="1">
      <c r="A53" s="3054"/>
      <c r="B53" s="3055"/>
      <c r="C53" s="1812" t="s">
        <v>1073</v>
      </c>
      <c r="D53" s="1813" t="s">
        <v>1074</v>
      </c>
      <c r="E53" s="1896">
        <v>633.74699999999996</v>
      </c>
      <c r="F53" s="1892">
        <v>7231.8239999999996</v>
      </c>
      <c r="G53" s="1875">
        <v>651.79100000000005</v>
      </c>
      <c r="H53" s="1817">
        <v>7930.9560000000001</v>
      </c>
      <c r="I53" s="1818">
        <v>2.847</v>
      </c>
      <c r="J53" s="1819">
        <v>9.6669999999999998</v>
      </c>
      <c r="K53" s="1820">
        <v>5.2999999999999999E-2</v>
      </c>
      <c r="M53" s="1894"/>
      <c r="N53" s="1890"/>
      <c r="O53" s="1890"/>
      <c r="P53" s="1894"/>
    </row>
    <row r="54" spans="1:16" ht="12" customHeight="1">
      <c r="A54" s="3054"/>
      <c r="B54" s="3055"/>
      <c r="C54" s="1812" t="s">
        <v>138</v>
      </c>
      <c r="D54" s="1813" t="s">
        <v>1076</v>
      </c>
      <c r="E54" s="1891">
        <v>90.504999999999995</v>
      </c>
      <c r="F54" s="1892">
        <v>680.5</v>
      </c>
      <c r="G54" s="1875">
        <v>104.05800000000001</v>
      </c>
      <c r="H54" s="1817">
        <v>1474.038</v>
      </c>
      <c r="I54" s="1824">
        <v>14.975</v>
      </c>
      <c r="J54" s="1819">
        <v>116.611</v>
      </c>
      <c r="K54" s="1820">
        <v>3.4000000000000002E-2</v>
      </c>
      <c r="M54" s="1894"/>
      <c r="N54" s="1890"/>
      <c r="O54" s="1890"/>
      <c r="P54" s="1894"/>
    </row>
    <row r="55" spans="1:16" ht="12" customHeight="1">
      <c r="A55" s="3056"/>
      <c r="B55" s="3057"/>
      <c r="C55" s="1825" t="s">
        <v>1078</v>
      </c>
      <c r="D55" s="1826" t="s">
        <v>1079</v>
      </c>
      <c r="E55" s="1877">
        <v>142.81</v>
      </c>
      <c r="F55" s="1828">
        <v>94.097999999999999</v>
      </c>
      <c r="G55" s="1897">
        <v>159.65</v>
      </c>
      <c r="H55" s="1830">
        <v>185.85900000000001</v>
      </c>
      <c r="I55" s="1831">
        <v>11.792</v>
      </c>
      <c r="J55" s="1847">
        <v>97.516000000000005</v>
      </c>
      <c r="K55" s="1833" t="s">
        <v>171</v>
      </c>
      <c r="M55" s="1889"/>
      <c r="N55" s="1890"/>
      <c r="O55" s="1890"/>
      <c r="P55" s="1889"/>
    </row>
    <row r="56" spans="1:16" ht="12" customHeight="1">
      <c r="A56" s="3058" t="s">
        <v>1099</v>
      </c>
      <c r="B56" s="3059"/>
      <c r="C56" s="1803" t="s">
        <v>1065</v>
      </c>
      <c r="D56" s="1804" t="s">
        <v>1066</v>
      </c>
      <c r="E56" s="1898">
        <v>13925.85643</v>
      </c>
      <c r="F56" s="1899">
        <f>SUM(F6,F41,F46,F51)</f>
        <v>13925.85643</v>
      </c>
      <c r="G56" s="1898">
        <f>SUM(G6,G41,G46,G51)</f>
        <v>15483.165249999669</v>
      </c>
      <c r="H56" s="1899">
        <f>SUM(H6,H41,H46,H51)</f>
        <v>15483.165249999669</v>
      </c>
      <c r="I56" s="1809">
        <f t="shared" si="8"/>
        <v>11.182858503731314</v>
      </c>
      <c r="J56" s="1900">
        <f t="shared" si="8"/>
        <v>11.182858503731314</v>
      </c>
      <c r="K56" s="1811">
        <f>G56/$G$56*100</f>
        <v>100</v>
      </c>
    </row>
    <row r="57" spans="1:16" ht="12" customHeight="1">
      <c r="A57" s="3060"/>
      <c r="B57" s="3061"/>
      <c r="C57" s="1812" t="s">
        <v>1071</v>
      </c>
      <c r="D57" s="1813" t="s">
        <v>1072</v>
      </c>
      <c r="E57" s="1861">
        <v>107727</v>
      </c>
      <c r="F57" s="1901">
        <f t="shared" ref="F57:H57" si="16">SUM(F7,F42,F47,F52)</f>
        <v>107727</v>
      </c>
      <c r="G57" s="1861">
        <f t="shared" si="16"/>
        <v>124932</v>
      </c>
      <c r="H57" s="1901">
        <f t="shared" si="16"/>
        <v>124932</v>
      </c>
      <c r="I57" s="1858">
        <f t="shared" si="8"/>
        <v>15.970926508674705</v>
      </c>
      <c r="J57" s="1902">
        <f t="shared" si="8"/>
        <v>15.970926508674705</v>
      </c>
      <c r="K57" s="1843">
        <f>G57/$G$57*100</f>
        <v>100</v>
      </c>
    </row>
    <row r="58" spans="1:16" ht="12" customHeight="1">
      <c r="A58" s="3060"/>
      <c r="B58" s="3061"/>
      <c r="C58" s="1812" t="s">
        <v>1073</v>
      </c>
      <c r="D58" s="1813" t="s">
        <v>1074</v>
      </c>
      <c r="E58" s="1903">
        <v>1147433.737</v>
      </c>
      <c r="F58" s="1904">
        <v>18211454.388999999</v>
      </c>
      <c r="G58" s="1905">
        <v>1227872.8019999999</v>
      </c>
      <c r="H58" s="1906">
        <v>20652571.719999999</v>
      </c>
      <c r="I58" s="1858">
        <v>7.0103</v>
      </c>
      <c r="J58" s="1902">
        <v>13.404299999999999</v>
      </c>
      <c r="K58" s="1843">
        <v>100</v>
      </c>
    </row>
    <row r="59" spans="1:16" ht="12" customHeight="1">
      <c r="A59" s="3060"/>
      <c r="B59" s="3061"/>
      <c r="C59" s="1812" t="s">
        <v>138</v>
      </c>
      <c r="D59" s="1813" t="s">
        <v>1076</v>
      </c>
      <c r="E59" s="1873">
        <v>180003.06700000001</v>
      </c>
      <c r="F59" s="1907">
        <v>1900426.8689999999</v>
      </c>
      <c r="G59" s="1861">
        <v>302864.19400000002</v>
      </c>
      <c r="H59" s="1901">
        <v>4184127.3470000001</v>
      </c>
      <c r="I59" s="1858">
        <v>68.254999999999995</v>
      </c>
      <c r="J59" s="1902">
        <v>120.1678</v>
      </c>
      <c r="K59" s="1843">
        <v>100</v>
      </c>
    </row>
    <row r="60" spans="1:16" ht="12" customHeight="1">
      <c r="A60" s="3062"/>
      <c r="B60" s="3063"/>
      <c r="C60" s="1825" t="s">
        <v>1078</v>
      </c>
      <c r="D60" s="1826" t="s">
        <v>1079</v>
      </c>
      <c r="E60" s="1908">
        <v>156.874</v>
      </c>
      <c r="F60" s="1909">
        <v>104.35299999999999</v>
      </c>
      <c r="G60" s="1908">
        <v>246.65799999999999</v>
      </c>
      <c r="H60" s="1909">
        <v>202.596</v>
      </c>
      <c r="I60" s="1886">
        <v>57.232500000000002</v>
      </c>
      <c r="J60" s="1910">
        <v>94.144099999999995</v>
      </c>
      <c r="K60" s="1833" t="s">
        <v>171</v>
      </c>
    </row>
    <row r="61" spans="1:16" ht="3" customHeight="1">
      <c r="A61" s="1911"/>
      <c r="B61" s="1911"/>
      <c r="C61" s="1208"/>
      <c r="D61" s="1912"/>
      <c r="E61" s="1913"/>
      <c r="F61" s="1913"/>
      <c r="G61" s="1913"/>
      <c r="H61" s="1913"/>
      <c r="I61" s="1914"/>
      <c r="J61" s="1914"/>
    </row>
    <row r="62" spans="1:16" ht="12" customHeight="1">
      <c r="A62" s="1915" t="s">
        <v>1100</v>
      </c>
      <c r="B62" s="1911"/>
      <c r="C62" s="1208"/>
      <c r="D62" s="1912"/>
      <c r="E62" s="1913"/>
      <c r="F62" s="1913"/>
      <c r="G62" s="1913"/>
      <c r="H62" s="1913"/>
      <c r="I62" s="1914"/>
      <c r="J62" s="1914"/>
    </row>
    <row r="63" spans="1:16" ht="12" customHeight="1">
      <c r="A63" s="1915" t="s">
        <v>1101</v>
      </c>
      <c r="B63" s="1911"/>
      <c r="C63" s="1208"/>
      <c r="D63" s="1912"/>
      <c r="E63" s="1913"/>
      <c r="F63" s="1913"/>
      <c r="G63" s="1913"/>
      <c r="H63" s="1913"/>
      <c r="I63" s="1914"/>
      <c r="J63" s="1914"/>
    </row>
    <row r="64" spans="1:16" ht="12" customHeight="1">
      <c r="A64" s="1915" t="s">
        <v>1102</v>
      </c>
      <c r="B64" s="1916"/>
      <c r="C64" s="1917"/>
      <c r="D64" s="1918"/>
      <c r="E64" s="1919"/>
      <c r="F64" s="1920"/>
      <c r="G64" s="1921"/>
      <c r="H64" s="1919"/>
    </row>
    <row r="65" spans="1:1" ht="12" customHeight="1">
      <c r="A65" s="1915" t="s">
        <v>1103</v>
      </c>
    </row>
  </sheetData>
  <mergeCells count="18">
    <mergeCell ref="I4:J4"/>
    <mergeCell ref="A4:B5"/>
    <mergeCell ref="C4:C5"/>
    <mergeCell ref="D4:D5"/>
    <mergeCell ref="E4:F4"/>
    <mergeCell ref="G4:H4"/>
    <mergeCell ref="A46:B50"/>
    <mergeCell ref="A51:B55"/>
    <mergeCell ref="A56:B60"/>
    <mergeCell ref="A6:B10"/>
    <mergeCell ref="A11:A45"/>
    <mergeCell ref="B11:B15"/>
    <mergeCell ref="B16:B20"/>
    <mergeCell ref="B21:B25"/>
    <mergeCell ref="B26:B30"/>
    <mergeCell ref="B31:B35"/>
    <mergeCell ref="B36:B40"/>
    <mergeCell ref="B41:B4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82" firstPageNumber="46" orientation="portrait" useFirstPageNumber="1" r:id="rId1"/>
  <headerFooter differentOddEven="1"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8"/>
  <sheetViews>
    <sheetView showGridLines="0" view="pageBreakPreview" topLeftCell="A6" zoomScaleNormal="100" zoomScaleSheetLayoutView="100" workbookViewId="0">
      <selection activeCell="F16" sqref="F16"/>
    </sheetView>
  </sheetViews>
  <sheetFormatPr defaultColWidth="10" defaultRowHeight="16.5"/>
  <cols>
    <col min="1" max="3" width="22.25" style="1798" customWidth="1"/>
    <col min="4" max="4" width="22.25" style="12" customWidth="1"/>
    <col min="5" max="5" width="18" style="12" customWidth="1"/>
    <col min="6" max="16384" width="10" style="1798"/>
  </cols>
  <sheetData>
    <row r="1" spans="1:5" ht="20.25" customHeight="1">
      <c r="A1" s="1922" t="s">
        <v>1104</v>
      </c>
      <c r="B1" s="251"/>
      <c r="C1" s="251"/>
      <c r="D1" s="251"/>
      <c r="E1" s="251"/>
    </row>
    <row r="2" spans="1:5" ht="17.25" customHeight="1">
      <c r="A2" s="1923"/>
      <c r="B2" s="254"/>
      <c r="C2" s="254"/>
      <c r="D2" s="254"/>
      <c r="E2" s="1924"/>
    </row>
    <row r="3" spans="1:5" ht="20.25" customHeight="1">
      <c r="A3" s="1925" t="s">
        <v>1105</v>
      </c>
      <c r="B3" s="1926"/>
      <c r="C3" s="1927"/>
      <c r="D3" s="1927" t="s">
        <v>1106</v>
      </c>
      <c r="E3" s="1564"/>
    </row>
    <row r="4" spans="1:5" ht="27" customHeight="1">
      <c r="A4" s="1928" t="s">
        <v>809</v>
      </c>
      <c r="B4" s="1928" t="s">
        <v>1107</v>
      </c>
      <c r="C4" s="1928" t="s">
        <v>1108</v>
      </c>
      <c r="D4" s="1928" t="s">
        <v>1109</v>
      </c>
      <c r="E4" s="1929"/>
    </row>
    <row r="5" spans="1:5" ht="27" customHeight="1">
      <c r="A5" s="1928">
        <v>2021.11</v>
      </c>
      <c r="B5" s="1930">
        <v>442463.73100000003</v>
      </c>
      <c r="C5" s="1931">
        <v>1029216.002</v>
      </c>
      <c r="D5" s="1931">
        <v>334553.22000000003</v>
      </c>
      <c r="E5" s="1929"/>
    </row>
    <row r="6" spans="1:5" ht="27" customHeight="1">
      <c r="A6" s="1928">
        <v>2021.12</v>
      </c>
      <c r="B6" s="1930">
        <v>402748.16899999999</v>
      </c>
      <c r="C6" s="1931">
        <v>987830.53300000005</v>
      </c>
      <c r="D6" s="1931">
        <v>319567.9000000002</v>
      </c>
      <c r="E6" s="1929"/>
    </row>
    <row r="7" spans="1:5" ht="27" customHeight="1">
      <c r="A7" s="1928">
        <v>2022.01</v>
      </c>
      <c r="B7" s="1930">
        <v>537744.88</v>
      </c>
      <c r="C7" s="1931">
        <v>1257136.51</v>
      </c>
      <c r="D7" s="1931">
        <v>395824.53</v>
      </c>
      <c r="E7" s="1929"/>
    </row>
    <row r="8" spans="1:5" ht="27" customHeight="1">
      <c r="A8" s="1928">
        <v>2022.02</v>
      </c>
      <c r="B8" s="1930">
        <v>626899</v>
      </c>
      <c r="C8" s="1931">
        <v>1436351.3559999999</v>
      </c>
      <c r="D8" s="1931">
        <v>454382</v>
      </c>
      <c r="E8" s="1929"/>
    </row>
    <row r="9" spans="1:5" ht="27" customHeight="1">
      <c r="A9" s="1928">
        <v>2022.03</v>
      </c>
      <c r="B9" s="1930">
        <v>676397.73300000001</v>
      </c>
      <c r="C9" s="1931">
        <v>1497510.7609999999</v>
      </c>
      <c r="D9" s="1931">
        <v>470314.05999999994</v>
      </c>
      <c r="E9" s="1929"/>
    </row>
    <row r="10" spans="1:5" ht="27" customHeight="1">
      <c r="A10" s="1928">
        <v>2022.04</v>
      </c>
      <c r="B10" s="1930">
        <v>879453.20900000003</v>
      </c>
      <c r="C10" s="1931">
        <v>1975407.3359999999</v>
      </c>
      <c r="D10" s="1931">
        <v>609551</v>
      </c>
      <c r="E10" s="1929"/>
    </row>
    <row r="11" spans="1:5" ht="27" customHeight="1">
      <c r="A11" s="1928">
        <v>2022.05</v>
      </c>
      <c r="B11" s="1930">
        <v>999594.90599999996</v>
      </c>
      <c r="C11" s="1931">
        <v>2284589.3489999999</v>
      </c>
      <c r="D11" s="1931">
        <v>686873.13000000012</v>
      </c>
      <c r="E11" s="1929"/>
    </row>
    <row r="12" spans="1:5" ht="27" customHeight="1">
      <c r="A12" s="1928">
        <v>2022.06</v>
      </c>
      <c r="B12" s="1930">
        <v>718657.48699999996</v>
      </c>
      <c r="C12" s="1931">
        <v>1645518.4580000001</v>
      </c>
      <c r="D12" s="1931">
        <v>536637.01</v>
      </c>
      <c r="E12" s="1929"/>
    </row>
    <row r="13" spans="1:5" ht="27" customHeight="1">
      <c r="A13" s="1928">
        <v>2022.07</v>
      </c>
      <c r="B13" s="1930">
        <v>741148.01</v>
      </c>
      <c r="C13" s="1931">
        <v>1660750.034</v>
      </c>
      <c r="D13" s="1931">
        <v>547573.37</v>
      </c>
      <c r="E13" s="1929"/>
    </row>
    <row r="14" spans="1:5" ht="27" customHeight="1">
      <c r="A14" s="1928">
        <v>2022.08</v>
      </c>
      <c r="B14" s="1930">
        <v>642662</v>
      </c>
      <c r="C14" s="1931">
        <v>1405656.851</v>
      </c>
      <c r="D14" s="1931">
        <v>463370</v>
      </c>
      <c r="E14" s="1929"/>
    </row>
    <row r="15" spans="1:5" ht="27" customHeight="1">
      <c r="A15" s="1928">
        <v>2022.09</v>
      </c>
      <c r="B15" s="1930">
        <v>695455</v>
      </c>
      <c r="C15" s="1931">
        <v>1566654.8</v>
      </c>
      <c r="D15" s="1931">
        <v>506638.25</v>
      </c>
      <c r="E15" s="1929"/>
    </row>
    <row r="16" spans="1:5" ht="27" customHeight="1">
      <c r="A16" s="1928">
        <v>2022.1</v>
      </c>
      <c r="B16" s="1930">
        <v>776861.87600000005</v>
      </c>
      <c r="C16" s="1931">
        <v>1656965.4</v>
      </c>
      <c r="D16" s="1931">
        <v>545257.51</v>
      </c>
      <c r="E16" s="1929"/>
    </row>
    <row r="17" spans="1:6" ht="27" customHeight="1">
      <c r="A17" s="1928">
        <v>2022.11</v>
      </c>
      <c r="B17" s="1930">
        <v>587024.63899999997</v>
      </c>
      <c r="C17" s="1931">
        <v>1310188.57</v>
      </c>
      <c r="D17" s="1931">
        <v>404981.58999999991</v>
      </c>
      <c r="E17" s="1929"/>
      <c r="F17" s="1654"/>
    </row>
    <row r="18" spans="1:6" ht="27" customHeight="1">
      <c r="A18" s="1928">
        <v>2022.12</v>
      </c>
      <c r="B18" s="1930">
        <v>439949.54</v>
      </c>
      <c r="C18" s="1931">
        <v>952861.60699999996</v>
      </c>
      <c r="D18" s="1931">
        <v>315246.12</v>
      </c>
      <c r="E18" s="1929"/>
      <c r="F18" s="1654"/>
    </row>
    <row r="19" spans="1:6" ht="27" customHeight="1">
      <c r="A19" s="1928">
        <v>2023.01</v>
      </c>
      <c r="B19" s="1930">
        <v>587173.07400000002</v>
      </c>
      <c r="C19" s="1931">
        <v>1269590.58</v>
      </c>
      <c r="D19" s="1931">
        <v>400468.88999999996</v>
      </c>
      <c r="E19" s="1929"/>
      <c r="F19" s="1654"/>
    </row>
    <row r="20" spans="1:6" ht="9.75" customHeight="1">
      <c r="A20" s="1932"/>
      <c r="B20" s="1933"/>
      <c r="C20" s="1934"/>
      <c r="D20" s="1934"/>
      <c r="E20" s="1929"/>
    </row>
    <row r="21" spans="1:6" ht="18" customHeight="1">
      <c r="A21" s="305" t="s">
        <v>1110</v>
      </c>
      <c r="B21" s="1208"/>
      <c r="C21" s="1935"/>
      <c r="D21" s="1936"/>
      <c r="E21" s="1936"/>
      <c r="F21" s="1937"/>
    </row>
    <row r="22" spans="1:6" ht="18" customHeight="1">
      <c r="A22" s="305" t="s">
        <v>1111</v>
      </c>
      <c r="B22" s="1208"/>
      <c r="C22" s="1938"/>
      <c r="D22" s="1936"/>
      <c r="E22" s="1936"/>
    </row>
    <row r="23" spans="1:6" ht="18" customHeight="1">
      <c r="A23" s="305" t="s">
        <v>1112</v>
      </c>
      <c r="B23" s="1208"/>
      <c r="C23" s="1935"/>
      <c r="D23" s="1936"/>
      <c r="E23" s="1936"/>
    </row>
    <row r="24" spans="1:6" ht="18" customHeight="1">
      <c r="A24" s="305" t="s">
        <v>1113</v>
      </c>
      <c r="B24" s="1208"/>
      <c r="C24" s="1935"/>
      <c r="D24" s="1936"/>
      <c r="E24" s="1936"/>
    </row>
    <row r="25" spans="1:6" ht="18" customHeight="1">
      <c r="A25" s="305" t="s">
        <v>1114</v>
      </c>
      <c r="B25" s="1208"/>
      <c r="C25" s="1935"/>
      <c r="D25" s="1936"/>
      <c r="E25" s="1936"/>
    </row>
    <row r="26" spans="1:6" ht="12.6" customHeight="1">
      <c r="A26" s="1939"/>
      <c r="B26" s="1208"/>
      <c r="C26" s="1938"/>
      <c r="D26" s="1940"/>
      <c r="E26" s="1940"/>
    </row>
    <row r="27" spans="1:6" ht="12.6" customHeight="1">
      <c r="A27" s="1939"/>
      <c r="B27" s="1208"/>
      <c r="C27" s="1935"/>
      <c r="D27" s="1936"/>
      <c r="E27" s="1941"/>
    </row>
    <row r="28" spans="1:6" ht="12.6" customHeight="1">
      <c r="A28" s="1939"/>
      <c r="B28" s="1208"/>
      <c r="C28" s="1938"/>
      <c r="D28" s="1936"/>
      <c r="E28" s="1941"/>
    </row>
    <row r="29" spans="1:6" ht="12.6" customHeight="1">
      <c r="A29" s="1939"/>
      <c r="B29" s="1208"/>
      <c r="C29" s="1935"/>
      <c r="D29" s="1942"/>
      <c r="E29" s="1942"/>
    </row>
    <row r="30" spans="1:6" ht="12.6" customHeight="1">
      <c r="A30" s="1939"/>
      <c r="B30" s="1208"/>
      <c r="C30" s="1935"/>
      <c r="D30" s="1941"/>
      <c r="E30" s="1941"/>
    </row>
    <row r="31" spans="1:6" ht="12.6" customHeight="1">
      <c r="A31" s="1939"/>
      <c r="B31" s="1208"/>
      <c r="C31" s="1935"/>
      <c r="D31" s="1941"/>
      <c r="E31" s="1941"/>
    </row>
    <row r="32" spans="1:6" ht="12.6" customHeight="1">
      <c r="A32" s="1939"/>
      <c r="B32" s="1208"/>
      <c r="C32" s="1935"/>
      <c r="D32" s="1941"/>
      <c r="E32" s="1941"/>
    </row>
    <row r="33" spans="1:5" ht="12.6" customHeight="1">
      <c r="A33" s="1939"/>
      <c r="B33" s="1208"/>
      <c r="C33" s="1938"/>
      <c r="D33" s="1941"/>
      <c r="E33" s="1941"/>
    </row>
    <row r="34" spans="1:5" ht="12.6" customHeight="1">
      <c r="A34" s="1939"/>
      <c r="B34" s="1208"/>
      <c r="C34" s="1935"/>
      <c r="D34" s="1942"/>
      <c r="E34" s="1942"/>
    </row>
    <row r="35" spans="1:5" ht="12.6" customHeight="1">
      <c r="A35" s="1939"/>
      <c r="B35" s="1208"/>
      <c r="C35" s="1935"/>
      <c r="D35" s="1941"/>
      <c r="E35" s="1941"/>
    </row>
    <row r="36" spans="1:5" ht="12.6" customHeight="1">
      <c r="A36" s="1939"/>
      <c r="B36" s="1208"/>
      <c r="C36" s="1935"/>
      <c r="D36" s="1941"/>
      <c r="E36" s="1941"/>
    </row>
    <row r="37" spans="1:5" ht="12.6" customHeight="1">
      <c r="A37" s="1939"/>
      <c r="B37" s="1208"/>
      <c r="C37" s="1935"/>
      <c r="D37" s="1941"/>
      <c r="E37" s="1941"/>
    </row>
    <row r="38" spans="1:5" ht="12.95" customHeight="1">
      <c r="A38" s="1939"/>
      <c r="B38" s="1208"/>
      <c r="C38" s="1935"/>
      <c r="D38" s="1941"/>
      <c r="E38" s="1941"/>
    </row>
  </sheetData>
  <phoneticPr fontId="3" type="noConversion"/>
  <printOptions horizontalCentered="1"/>
  <pageMargins left="0.94488188976377963" right="0.94488188976377963" top="1.1811023622047245" bottom="0.78740157480314965" header="0" footer="0"/>
  <pageSetup paperSize="9" scale="83" firstPageNumber="46" orientation="portrait" useFirstPageNumber="1" r:id="rId1"/>
  <headerFooter differentOddEven="1"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"/>
  <sheetViews>
    <sheetView view="pageBreakPreview" zoomScale="70" zoomScaleNormal="100" zoomScaleSheetLayoutView="70" workbookViewId="0"/>
  </sheetViews>
  <sheetFormatPr defaultColWidth="10" defaultRowHeight="13.5"/>
  <cols>
    <col min="1" max="16384" width="10" style="1944"/>
  </cols>
  <sheetData>
    <row r="4" spans="2:2" ht="27">
      <c r="B4" s="1943" t="s">
        <v>3</v>
      </c>
    </row>
  </sheetData>
  <phoneticPr fontId="3" type="noConversion"/>
  <printOptions horizontalCentered="1"/>
  <pageMargins left="1.0629921259842521" right="1.0629921259842521" top="1.1811023622047245" bottom="0.78740157480314965" header="0.51181102362204722" footer="0"/>
  <pageSetup paperSize="9" scale="90" firstPageNumber="38" orientation="portrait" r:id="rId1"/>
  <headerFooter differentOddEven="1"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48"/>
    <col min="3" max="3" width="6" style="1048" customWidth="1"/>
    <col min="4" max="4" width="7.125" style="1048" customWidth="1"/>
    <col min="5" max="5" width="19" style="1048" customWidth="1"/>
    <col min="6" max="6" width="33.75" style="1048" customWidth="1"/>
    <col min="7" max="16384" width="10" style="1048"/>
  </cols>
  <sheetData>
    <row r="1" spans="3:6" ht="206.25" customHeight="1"/>
    <row r="2" spans="3:6" ht="7.5" customHeight="1">
      <c r="C2" s="242" t="s">
        <v>0</v>
      </c>
      <c r="D2" s="242" t="s">
        <v>0</v>
      </c>
      <c r="E2" s="243" t="s">
        <v>0</v>
      </c>
      <c r="F2" s="244" t="s">
        <v>0</v>
      </c>
    </row>
    <row r="3" spans="3:6" ht="8.25" customHeight="1"/>
    <row r="4" spans="3:6" ht="39">
      <c r="D4" s="245" t="s">
        <v>1115</v>
      </c>
    </row>
    <row r="6" spans="3:6" ht="30" customHeight="1">
      <c r="E6" s="246" t="s">
        <v>1116</v>
      </c>
    </row>
    <row r="7" spans="3:6" ht="9.9499999999999993" customHeight="1">
      <c r="E7" s="246"/>
    </row>
    <row r="8" spans="3:6" ht="30" customHeight="1">
      <c r="E8" s="246" t="s">
        <v>1117</v>
      </c>
    </row>
    <row r="9" spans="3:6" ht="9.9499999999999993" customHeight="1">
      <c r="E9" s="247"/>
    </row>
    <row r="10" spans="3:6" ht="30" customHeight="1">
      <c r="E10" s="246" t="s">
        <v>1118</v>
      </c>
    </row>
    <row r="11" spans="3:6" ht="9.9499999999999993" customHeight="1">
      <c r="E11" s="247"/>
    </row>
    <row r="12" spans="3:6" ht="30" customHeight="1">
      <c r="E12" s="246" t="s">
        <v>1119</v>
      </c>
    </row>
    <row r="13" spans="3:6" ht="9.9499999999999993" customHeight="1">
      <c r="E13" s="247"/>
    </row>
    <row r="14" spans="3:6" ht="30" customHeight="1">
      <c r="E14" s="246" t="s">
        <v>1120</v>
      </c>
    </row>
    <row r="15" spans="3:6" ht="9.9499999999999993" customHeight="1"/>
    <row r="16" spans="3:6" ht="30" customHeight="1">
      <c r="E16" s="1945"/>
    </row>
  </sheetData>
  <phoneticPr fontId="3" type="noConversion"/>
  <printOptions horizontalCentered="1"/>
  <pageMargins left="1.0629921259842521" right="1.0629921259842521" top="1.1811023622047245" bottom="0.78740157480314965" header="0" footer="0"/>
  <pageSetup paperSize="9" scale="83" firstPageNumber="38" orientation="portrait" r:id="rId1"/>
  <headerFooter differentOddEven="1"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view="pageBreakPreview" topLeftCell="A19" zoomScale="85" zoomScaleNormal="100" zoomScaleSheetLayoutView="85" workbookViewId="0"/>
  </sheetViews>
  <sheetFormatPr defaultColWidth="9" defaultRowHeight="16.5"/>
  <cols>
    <col min="1" max="1" width="8.625" style="49" customWidth="1"/>
    <col min="2" max="15" width="6.125" style="49" customWidth="1"/>
    <col min="16" max="16384" width="9" style="49"/>
  </cols>
  <sheetData>
    <row r="1" spans="1:15" ht="38.25" customHeight="1"/>
    <row r="2" spans="1:15" ht="38.25" customHeight="1">
      <c r="A2" s="50" t="s">
        <v>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18" customHeight="1">
      <c r="A3" s="52" t="s">
        <v>24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18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8</v>
      </c>
      <c r="O4" s="53"/>
    </row>
    <row r="5" spans="1:15" ht="19.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19.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9.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19.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19.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19.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19.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19.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19.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19.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19.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19.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ht="19.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ht="19.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 ht="19.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ht="15.95" customHeight="1">
      <c r="A20" s="55" t="s">
        <v>9</v>
      </c>
      <c r="B20" s="56">
        <v>2021.12</v>
      </c>
      <c r="C20" s="56">
        <v>2022.01</v>
      </c>
      <c r="D20" s="56">
        <v>2022.02</v>
      </c>
      <c r="E20" s="56">
        <v>2022.03</v>
      </c>
      <c r="F20" s="56">
        <v>2022.04</v>
      </c>
      <c r="G20" s="56">
        <v>2022.05</v>
      </c>
      <c r="H20" s="56">
        <v>2022.06</v>
      </c>
      <c r="I20" s="56">
        <v>2022.07</v>
      </c>
      <c r="J20" s="56">
        <v>2022.08</v>
      </c>
      <c r="K20" s="56">
        <v>2022.09</v>
      </c>
      <c r="L20" s="56">
        <v>2022.1</v>
      </c>
      <c r="M20" s="56">
        <v>2022.11</v>
      </c>
      <c r="N20" s="57">
        <v>2022.12</v>
      </c>
      <c r="O20" s="58"/>
    </row>
    <row r="21" spans="1:15" ht="15.95" customHeight="1">
      <c r="A21" s="59" t="s">
        <v>10</v>
      </c>
      <c r="B21" s="60">
        <v>134019.77499999999</v>
      </c>
      <c r="C21" s="60">
        <v>133069.45699999999</v>
      </c>
      <c r="D21" s="60">
        <v>133560.95199999999</v>
      </c>
      <c r="E21" s="60">
        <v>133679.959</v>
      </c>
      <c r="F21" s="60">
        <v>133916.91200000001</v>
      </c>
      <c r="G21" s="60">
        <v>134060.035</v>
      </c>
      <c r="H21" s="60">
        <v>134236.75899999999</v>
      </c>
      <c r="I21" s="60">
        <v>134290.81099999999</v>
      </c>
      <c r="J21" s="60">
        <v>134694.60200000001</v>
      </c>
      <c r="K21" s="60">
        <v>134768.07699999999</v>
      </c>
      <c r="L21" s="60">
        <v>136030.853</v>
      </c>
      <c r="M21" s="60">
        <v>136268.125</v>
      </c>
      <c r="N21" s="61">
        <v>138017.60200000001</v>
      </c>
      <c r="O21" s="62"/>
    </row>
    <row r="22" spans="1:15" ht="15.95" customHeight="1">
      <c r="A22" s="63" t="s">
        <v>11</v>
      </c>
      <c r="B22" s="32">
        <v>3.7374999999999998</v>
      </c>
      <c r="C22" s="32">
        <v>3.2989999999999999</v>
      </c>
      <c r="D22" s="32">
        <v>3.444</v>
      </c>
      <c r="E22" s="32">
        <v>3.3384999999999998</v>
      </c>
      <c r="F22" s="32">
        <v>4.2634999999999996</v>
      </c>
      <c r="G22" s="32">
        <v>3.4230999999999998</v>
      </c>
      <c r="H22" s="32">
        <v>2.4171999999999998</v>
      </c>
      <c r="I22" s="32">
        <v>2.2543000000000002</v>
      </c>
      <c r="J22" s="32">
        <v>2.3129</v>
      </c>
      <c r="K22" s="32">
        <v>2.0095000000000001</v>
      </c>
      <c r="L22" s="32">
        <v>1.9301999999999999</v>
      </c>
      <c r="M22" s="32">
        <v>1.7716000000000001</v>
      </c>
      <c r="N22" s="33">
        <v>2.9830000000000001</v>
      </c>
      <c r="O22" s="64"/>
    </row>
    <row r="23" spans="1:15" ht="15.95" customHeight="1">
      <c r="A23" s="55" t="s">
        <v>25</v>
      </c>
      <c r="B23" s="34">
        <v>23250</v>
      </c>
      <c r="C23" s="34">
        <v>23250</v>
      </c>
      <c r="D23" s="34">
        <v>23250</v>
      </c>
      <c r="E23" s="34">
        <v>23250</v>
      </c>
      <c r="F23" s="34">
        <v>23250</v>
      </c>
      <c r="G23" s="34">
        <v>23250</v>
      </c>
      <c r="H23" s="34">
        <v>23250</v>
      </c>
      <c r="I23" s="34">
        <v>23250</v>
      </c>
      <c r="J23" s="34">
        <v>23250</v>
      </c>
      <c r="K23" s="34">
        <v>23250</v>
      </c>
      <c r="L23" s="34">
        <v>23250</v>
      </c>
      <c r="M23" s="34">
        <v>23250</v>
      </c>
      <c r="N23" s="35">
        <v>24650</v>
      </c>
      <c r="O23" s="65"/>
    </row>
    <row r="24" spans="1:15" ht="15.95" customHeight="1">
      <c r="A24" s="66" t="s">
        <v>11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v>6.0214999999999996</v>
      </c>
      <c r="O24" s="64"/>
    </row>
    <row r="25" spans="1:15" ht="15.95" customHeight="1">
      <c r="A25" s="67" t="s">
        <v>26</v>
      </c>
      <c r="B25" s="40">
        <v>37337.881999999998</v>
      </c>
      <c r="C25" s="40">
        <v>37337.881999999998</v>
      </c>
      <c r="D25" s="40">
        <v>37337.881999999998</v>
      </c>
      <c r="E25" s="40">
        <v>37337.881999999998</v>
      </c>
      <c r="F25" s="40">
        <v>37337.881999999998</v>
      </c>
      <c r="G25" s="40">
        <v>37087.881999999998</v>
      </c>
      <c r="H25" s="40">
        <v>37087.881999999998</v>
      </c>
      <c r="I25" s="40">
        <v>37087.881999999998</v>
      </c>
      <c r="J25" s="40">
        <v>37087.881999999998</v>
      </c>
      <c r="K25" s="40">
        <v>37087.881999999998</v>
      </c>
      <c r="L25" s="40">
        <v>38127.881999999998</v>
      </c>
      <c r="M25" s="40">
        <v>38127.881999999998</v>
      </c>
      <c r="N25" s="41">
        <v>38127.881999999998</v>
      </c>
      <c r="O25" s="65"/>
    </row>
    <row r="26" spans="1:15" ht="15.95" customHeight="1">
      <c r="A26" s="66" t="s">
        <v>11</v>
      </c>
      <c r="B26" s="37">
        <v>1.3147</v>
      </c>
      <c r="C26" s="37">
        <v>4.1405000000000003</v>
      </c>
      <c r="D26" s="37">
        <v>4.1405000000000003</v>
      </c>
      <c r="E26" s="37">
        <v>4.1405000000000003</v>
      </c>
      <c r="F26" s="37">
        <v>7.4984999999999999</v>
      </c>
      <c r="G26" s="37">
        <v>3.6556999999999999</v>
      </c>
      <c r="H26" s="37">
        <v>0.78810000000000002</v>
      </c>
      <c r="I26" s="37">
        <v>0.78810000000000002</v>
      </c>
      <c r="J26" s="37">
        <v>0.78810000000000002</v>
      </c>
      <c r="K26" s="37">
        <v>0.78810000000000002</v>
      </c>
      <c r="L26" s="37">
        <v>0.76639999999999997</v>
      </c>
      <c r="M26" s="37">
        <v>0.76639999999999997</v>
      </c>
      <c r="N26" s="38">
        <v>2.1158000000000001</v>
      </c>
      <c r="O26" s="64"/>
    </row>
    <row r="27" spans="1:15" ht="15.95" customHeight="1">
      <c r="A27" s="67" t="s">
        <v>27</v>
      </c>
      <c r="B27" s="40">
        <v>41201.457000000002</v>
      </c>
      <c r="C27" s="40">
        <v>41201.457000000002</v>
      </c>
      <c r="D27" s="40">
        <v>41201.457000000002</v>
      </c>
      <c r="E27" s="40">
        <v>41201.457000000002</v>
      </c>
      <c r="F27" s="40">
        <v>41201.457000000002</v>
      </c>
      <c r="G27" s="40">
        <v>41201.457000000002</v>
      </c>
      <c r="H27" s="40">
        <v>41201.457000000002</v>
      </c>
      <c r="I27" s="40">
        <v>41201.457000000002</v>
      </c>
      <c r="J27" s="40">
        <v>41201.457000000002</v>
      </c>
      <c r="K27" s="40">
        <v>41201.457000000002</v>
      </c>
      <c r="L27" s="40">
        <v>41201.457000000002</v>
      </c>
      <c r="M27" s="40">
        <v>41201.457000000002</v>
      </c>
      <c r="N27" s="41">
        <v>41201.457000000002</v>
      </c>
      <c r="O27" s="65"/>
    </row>
    <row r="28" spans="1:15" ht="15.95" customHeight="1">
      <c r="A28" s="66" t="s">
        <v>11</v>
      </c>
      <c r="B28" s="37">
        <v>7.6999999999999999E-2</v>
      </c>
      <c r="C28" s="37">
        <v>7.6999999999999999E-2</v>
      </c>
      <c r="D28" s="37">
        <v>7.6999999999999999E-2</v>
      </c>
      <c r="E28" s="37">
        <v>7.6999999999999999E-2</v>
      </c>
      <c r="F28" s="37">
        <v>7.6999999999999999E-2</v>
      </c>
      <c r="G28" s="37">
        <v>7.6999999999999999E-2</v>
      </c>
      <c r="H28" s="37">
        <v>7.6999999999999999E-2</v>
      </c>
      <c r="I28" s="37">
        <v>7.6999999999999999E-2</v>
      </c>
      <c r="J28" s="37">
        <v>7.6999999999999999E-2</v>
      </c>
      <c r="K28" s="37">
        <v>7.6999999999999999E-2</v>
      </c>
      <c r="L28" s="37">
        <v>7.6999999999999999E-2</v>
      </c>
      <c r="M28" s="37">
        <v>7.6999999999999999E-2</v>
      </c>
      <c r="N28" s="38">
        <v>0</v>
      </c>
      <c r="O28" s="64"/>
    </row>
    <row r="29" spans="1:15" ht="15.95" customHeight="1">
      <c r="A29" s="67" t="s">
        <v>28</v>
      </c>
      <c r="B29" s="40">
        <v>24855.496999999999</v>
      </c>
      <c r="C29" s="40">
        <v>25105.179</v>
      </c>
      <c r="D29" s="40">
        <v>25596.755000000001</v>
      </c>
      <c r="E29" s="40">
        <v>25712.863000000001</v>
      </c>
      <c r="F29" s="40">
        <v>25949.914000000001</v>
      </c>
      <c r="G29" s="40">
        <v>26403.037</v>
      </c>
      <c r="H29" s="40">
        <v>26580.595000000001</v>
      </c>
      <c r="I29" s="40">
        <v>26634.722000000002</v>
      </c>
      <c r="J29" s="40">
        <v>27078.512999999999</v>
      </c>
      <c r="K29" s="40">
        <v>27152.748</v>
      </c>
      <c r="L29" s="40">
        <v>27375.524000000001</v>
      </c>
      <c r="M29" s="40">
        <v>27611.936000000002</v>
      </c>
      <c r="N29" s="41">
        <v>27961.215</v>
      </c>
      <c r="O29" s="65"/>
    </row>
    <row r="30" spans="1:15" ht="15.95" customHeight="1">
      <c r="A30" s="66" t="s">
        <v>11</v>
      </c>
      <c r="B30" s="37">
        <v>20.981400000000001</v>
      </c>
      <c r="C30" s="37">
        <v>18.573899999999998</v>
      </c>
      <c r="D30" s="37">
        <v>19.2362</v>
      </c>
      <c r="E30" s="37">
        <v>18.414200000000001</v>
      </c>
      <c r="F30" s="37">
        <v>18.416599999999999</v>
      </c>
      <c r="G30" s="37">
        <v>19.7408</v>
      </c>
      <c r="H30" s="37">
        <v>18.2529</v>
      </c>
      <c r="I30" s="37">
        <v>17.130600000000001</v>
      </c>
      <c r="J30" s="37">
        <v>17.4374</v>
      </c>
      <c r="K30" s="37">
        <v>15.4359</v>
      </c>
      <c r="L30" s="37">
        <v>14.909700000000001</v>
      </c>
      <c r="M30" s="37">
        <v>13.7956</v>
      </c>
      <c r="N30" s="38">
        <v>12.495100000000001</v>
      </c>
      <c r="O30" s="64"/>
    </row>
    <row r="31" spans="1:15" ht="15.95" customHeight="1">
      <c r="A31" s="67" t="s">
        <v>29</v>
      </c>
      <c r="B31" s="40">
        <v>2160.1550000000002</v>
      </c>
      <c r="C31" s="40">
        <v>960.15499999999997</v>
      </c>
      <c r="D31" s="40">
        <v>960.15499999999997</v>
      </c>
      <c r="E31" s="40">
        <v>960.15499999999997</v>
      </c>
      <c r="F31" s="40">
        <v>960.15499999999997</v>
      </c>
      <c r="G31" s="40">
        <v>960.15499999999997</v>
      </c>
      <c r="H31" s="40">
        <v>960.15499999999997</v>
      </c>
      <c r="I31" s="40">
        <v>960.15499999999997</v>
      </c>
      <c r="J31" s="40">
        <v>920.15499999999997</v>
      </c>
      <c r="K31" s="40">
        <v>920.15499999999997</v>
      </c>
      <c r="L31" s="40">
        <v>920.15499999999997</v>
      </c>
      <c r="M31" s="40">
        <v>920.15499999999997</v>
      </c>
      <c r="N31" s="41">
        <v>920.15499999999997</v>
      </c>
      <c r="O31" s="65"/>
    </row>
    <row r="32" spans="1:15" ht="15.95" customHeight="1">
      <c r="A32" s="66" t="s">
        <v>11</v>
      </c>
      <c r="B32" s="37">
        <v>-3.8660000000000001</v>
      </c>
      <c r="C32" s="37">
        <v>-55.528300000000002</v>
      </c>
      <c r="D32" s="37">
        <v>-55.528300000000002</v>
      </c>
      <c r="E32" s="37">
        <v>-55.528300000000002</v>
      </c>
      <c r="F32" s="37">
        <v>-55.528300000000002</v>
      </c>
      <c r="G32" s="37">
        <v>-55.528300000000002</v>
      </c>
      <c r="H32" s="37">
        <v>-55.528300000000002</v>
      </c>
      <c r="I32" s="37">
        <v>-55.528300000000002</v>
      </c>
      <c r="J32" s="37">
        <v>-57.381</v>
      </c>
      <c r="K32" s="37">
        <v>-57.381</v>
      </c>
      <c r="L32" s="37">
        <v>-57.381</v>
      </c>
      <c r="M32" s="37">
        <v>-57.381</v>
      </c>
      <c r="N32" s="38">
        <v>-57.403300000000002</v>
      </c>
      <c r="O32" s="64"/>
    </row>
    <row r="33" spans="1:15" ht="15.95" customHeight="1">
      <c r="A33" s="67" t="s">
        <v>30</v>
      </c>
      <c r="B33" s="40">
        <v>4700</v>
      </c>
      <c r="C33" s="40">
        <v>4700</v>
      </c>
      <c r="D33" s="40">
        <v>4700</v>
      </c>
      <c r="E33" s="40">
        <v>4700</v>
      </c>
      <c r="F33" s="40">
        <v>4700</v>
      </c>
      <c r="G33" s="40">
        <v>4700</v>
      </c>
      <c r="H33" s="40">
        <v>4700</v>
      </c>
      <c r="I33" s="40">
        <v>4700</v>
      </c>
      <c r="J33" s="40">
        <v>4700</v>
      </c>
      <c r="K33" s="40">
        <v>4700</v>
      </c>
      <c r="L33" s="40">
        <v>4700</v>
      </c>
      <c r="M33" s="40">
        <v>4700</v>
      </c>
      <c r="N33" s="41">
        <v>4700</v>
      </c>
      <c r="O33" s="65"/>
    </row>
    <row r="34" spans="1:15" ht="15.95" customHeight="1">
      <c r="A34" s="66" t="s">
        <v>31</v>
      </c>
      <c r="B34" s="68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70">
        <v>0</v>
      </c>
      <c r="O34" s="64"/>
    </row>
    <row r="35" spans="1:15" ht="15.95" customHeight="1">
      <c r="A35" s="71" t="s">
        <v>17</v>
      </c>
      <c r="B35" s="72">
        <v>514.78399999999999</v>
      </c>
      <c r="C35" s="72">
        <v>514.78399999999999</v>
      </c>
      <c r="D35" s="72">
        <v>514.70299999999997</v>
      </c>
      <c r="E35" s="72">
        <v>517.60199999999998</v>
      </c>
      <c r="F35" s="72">
        <v>517.50400000000002</v>
      </c>
      <c r="G35" s="72">
        <v>457.50400000000002</v>
      </c>
      <c r="H35" s="72">
        <v>456.67</v>
      </c>
      <c r="I35" s="72">
        <v>456.59500000000003</v>
      </c>
      <c r="J35" s="72">
        <v>456.59500000000003</v>
      </c>
      <c r="K35" s="72">
        <v>455.83499999999998</v>
      </c>
      <c r="L35" s="72">
        <v>455.83499999999998</v>
      </c>
      <c r="M35" s="72">
        <v>456.69400000000002</v>
      </c>
      <c r="N35" s="35">
        <v>456.89299999999997</v>
      </c>
      <c r="O35" s="65"/>
    </row>
    <row r="36" spans="1:15" ht="15.95" customHeight="1">
      <c r="A36" s="73" t="s">
        <v>11</v>
      </c>
      <c r="B36" s="74">
        <v>20.783000000000001</v>
      </c>
      <c r="C36" s="74">
        <v>-2.3E-2</v>
      </c>
      <c r="D36" s="74">
        <v>-1.2E-2</v>
      </c>
      <c r="E36" s="74">
        <v>0.55100000000000005</v>
      </c>
      <c r="F36" s="74">
        <v>0.56399999999999995</v>
      </c>
      <c r="G36" s="74">
        <v>-11.004</v>
      </c>
      <c r="H36" s="74">
        <v>-11.189</v>
      </c>
      <c r="I36" s="74">
        <v>-11.204000000000001</v>
      </c>
      <c r="J36" s="74">
        <v>-11.375999999999999</v>
      </c>
      <c r="K36" s="74">
        <v>-11.436999999999999</v>
      </c>
      <c r="L36" s="74">
        <v>-11.436999999999999</v>
      </c>
      <c r="M36" s="74">
        <v>-11.289</v>
      </c>
      <c r="N36" s="75">
        <v>-11.246</v>
      </c>
      <c r="O36" s="64"/>
    </row>
    <row r="37" spans="1:15" ht="18" customHeight="1">
      <c r="A37" s="76" t="s">
        <v>32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ht="18" customHeight="1">
      <c r="A38" s="76" t="s">
        <v>33</v>
      </c>
    </row>
    <row r="39" spans="1:15" ht="18" customHeight="1">
      <c r="A39" s="76" t="s">
        <v>34</v>
      </c>
    </row>
    <row r="40" spans="1:15">
      <c r="A40" s="76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4" orientation="portrait" useFirstPageNumber="1" r:id="rId1"/>
  <headerFooter differentOddEven="1"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6"/>
  <sheetViews>
    <sheetView showGridLines="0" view="pageBreakPreview" zoomScale="70" zoomScaleNormal="100" zoomScaleSheetLayoutView="7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2.5" style="1280" customWidth="1"/>
    <col min="2" max="4" width="10.125" style="1280" customWidth="1"/>
    <col min="5" max="5" width="12" style="1280" customWidth="1"/>
    <col min="6" max="7" width="12.875" style="1280" customWidth="1"/>
    <col min="8" max="8" width="13" style="1280" customWidth="1"/>
    <col min="9" max="9" width="10.75" style="1280" customWidth="1"/>
    <col min="10" max="12" width="12.5" style="1280" customWidth="1"/>
    <col min="13" max="13" width="10.75" style="1280" customWidth="1"/>
    <col min="14" max="15" width="11.25" style="1280" customWidth="1"/>
    <col min="16" max="16" width="12" style="1280" customWidth="1"/>
    <col min="17" max="19" width="11" style="1280" customWidth="1"/>
    <col min="20" max="20" width="9.875" style="1280" customWidth="1"/>
    <col min="21" max="21" width="10.875" style="1280" customWidth="1"/>
    <col min="22" max="23" width="7.875" style="1280" customWidth="1"/>
    <col min="24" max="24" width="10.125" style="1280" bestFit="1" customWidth="1"/>
    <col min="25" max="16384" width="10" style="1280"/>
  </cols>
  <sheetData>
    <row r="1" spans="1:16" ht="20.25">
      <c r="A1" s="1946" t="s">
        <v>1121</v>
      </c>
    </row>
    <row r="2" spans="1:16" s="1947" customFormat="1" ht="17.25">
      <c r="A2" s="1947" t="s">
        <v>1122</v>
      </c>
    </row>
    <row r="3" spans="1:16" ht="16.5" customHeight="1">
      <c r="A3" s="631"/>
      <c r="B3" s="631"/>
      <c r="C3" s="631"/>
      <c r="D3" s="631"/>
      <c r="E3" s="1520"/>
      <c r="F3" s="1948"/>
      <c r="G3" s="631"/>
      <c r="H3" s="631"/>
      <c r="I3" s="631"/>
      <c r="J3" s="631"/>
      <c r="K3" s="631"/>
      <c r="L3" s="631"/>
      <c r="M3" s="631"/>
      <c r="N3" s="1949" t="s">
        <v>1123</v>
      </c>
      <c r="O3" s="631"/>
      <c r="P3" s="631"/>
    </row>
    <row r="4" spans="1:16" s="307" customFormat="1" ht="24.95" customHeight="1">
      <c r="A4" s="3075" t="s">
        <v>65</v>
      </c>
      <c r="B4" s="3077" t="s">
        <v>1124</v>
      </c>
      <c r="C4" s="3077"/>
      <c r="D4" s="3077"/>
      <c r="E4" s="3018" t="s">
        <v>1125</v>
      </c>
      <c r="F4" s="3079" t="s">
        <v>1126</v>
      </c>
      <c r="G4" s="3077"/>
      <c r="H4" s="3080"/>
      <c r="I4" s="1950" t="s">
        <v>1127</v>
      </c>
      <c r="J4" s="3079" t="s">
        <v>1128</v>
      </c>
      <c r="K4" s="3077"/>
      <c r="L4" s="3077"/>
      <c r="M4" s="3080"/>
      <c r="N4" s="3077" t="s">
        <v>1129</v>
      </c>
      <c r="O4" s="3077"/>
      <c r="P4" s="3081"/>
    </row>
    <row r="5" spans="1:16" s="307" customFormat="1" ht="24.95" customHeight="1">
      <c r="A5" s="3076"/>
      <c r="B5" s="1951" t="s">
        <v>1130</v>
      </c>
      <c r="C5" s="1952" t="s">
        <v>1131</v>
      </c>
      <c r="D5" s="1952" t="s">
        <v>161</v>
      </c>
      <c r="E5" s="3078"/>
      <c r="F5" s="1952" t="s">
        <v>1130</v>
      </c>
      <c r="G5" s="1952" t="s">
        <v>1131</v>
      </c>
      <c r="H5" s="1952" t="s">
        <v>161</v>
      </c>
      <c r="I5" s="1952" t="s">
        <v>1132</v>
      </c>
      <c r="J5" s="1952" t="s">
        <v>1130</v>
      </c>
      <c r="K5" s="1952" t="s">
        <v>1131</v>
      </c>
      <c r="L5" s="1952" t="s">
        <v>161</v>
      </c>
      <c r="M5" s="1952" t="s">
        <v>1132</v>
      </c>
      <c r="N5" s="1952" t="s">
        <v>1130</v>
      </c>
      <c r="O5" s="1952" t="s">
        <v>1131</v>
      </c>
      <c r="P5" s="1598" t="s">
        <v>161</v>
      </c>
    </row>
    <row r="6" spans="1:16" ht="24.6" customHeight="1">
      <c r="A6" s="1677">
        <v>2011</v>
      </c>
      <c r="B6" s="1953">
        <v>19493.544999999998</v>
      </c>
      <c r="C6" s="1954">
        <v>321.32100000000003</v>
      </c>
      <c r="D6" s="1954">
        <v>19814.866000000002</v>
      </c>
      <c r="E6" s="1954">
        <v>360388.23100000003</v>
      </c>
      <c r="F6" s="1954">
        <v>113074850.79099999</v>
      </c>
      <c r="G6" s="1954">
        <v>341995409.70899999</v>
      </c>
      <c r="H6" s="1954">
        <v>455070260.5</v>
      </c>
      <c r="I6" s="1955">
        <v>4.8162000000000003</v>
      </c>
      <c r="J6" s="1954">
        <v>11134183.738</v>
      </c>
      <c r="K6" s="1954">
        <v>29512867.682999998</v>
      </c>
      <c r="L6" s="1954">
        <v>40647051.420999996</v>
      </c>
      <c r="M6" s="1955">
        <v>8.7108000000000008</v>
      </c>
      <c r="N6" s="1956">
        <v>98.466999999999999</v>
      </c>
      <c r="O6" s="1956">
        <v>86.296000000000006</v>
      </c>
      <c r="P6" s="1957">
        <v>89.32</v>
      </c>
    </row>
    <row r="7" spans="1:16" ht="24.6" customHeight="1">
      <c r="A7" s="1677">
        <v>2012</v>
      </c>
      <c r="B7" s="1953">
        <v>20130.763999999999</v>
      </c>
      <c r="C7" s="1953">
        <v>345.13499999999999</v>
      </c>
      <c r="D7" s="1953">
        <v>20475.899000000001</v>
      </c>
      <c r="E7" s="1953">
        <v>369577.39600000001</v>
      </c>
      <c r="F7" s="1953">
        <v>113901911.337</v>
      </c>
      <c r="G7" s="1953">
        <v>352691037.35100001</v>
      </c>
      <c r="H7" s="1954">
        <v>466592948.68800002</v>
      </c>
      <c r="I7" s="1955">
        <v>2.5320999999999998</v>
      </c>
      <c r="J7" s="1953">
        <v>11965669.413000001</v>
      </c>
      <c r="K7" s="1953">
        <v>34272150.552000001</v>
      </c>
      <c r="L7" s="1953">
        <v>46237819.965000004</v>
      </c>
      <c r="M7" s="1958">
        <v>13.7544</v>
      </c>
      <c r="N7" s="1959">
        <v>105.05200000000001</v>
      </c>
      <c r="O7" s="1959">
        <v>97.173000000000002</v>
      </c>
      <c r="P7" s="1957">
        <v>99.096999999999994</v>
      </c>
    </row>
    <row r="8" spans="1:16" ht="24.6" customHeight="1">
      <c r="A8" s="1677">
        <v>2013</v>
      </c>
      <c r="B8" s="1953">
        <v>20647.758000000002</v>
      </c>
      <c r="C8" s="1953">
        <v>369.935</v>
      </c>
      <c r="D8" s="1953">
        <v>21017.692999999999</v>
      </c>
      <c r="E8" s="1953">
        <v>376165.272</v>
      </c>
      <c r="F8" s="1953">
        <v>113026841.965</v>
      </c>
      <c r="G8" s="1953">
        <v>361821738.14499998</v>
      </c>
      <c r="H8" s="1954">
        <v>474848580.11000001</v>
      </c>
      <c r="I8" s="1955">
        <v>1.7693000000000001</v>
      </c>
      <c r="J8" s="1953">
        <v>12562775.362</v>
      </c>
      <c r="K8" s="1953">
        <v>37925597.723999999</v>
      </c>
      <c r="L8" s="1953">
        <v>50488373.086000003</v>
      </c>
      <c r="M8" s="1958">
        <v>9.1928000000000001</v>
      </c>
      <c r="N8" s="1959">
        <v>111.149</v>
      </c>
      <c r="O8" s="1959">
        <v>104.818</v>
      </c>
      <c r="P8" s="1957">
        <v>106.325</v>
      </c>
    </row>
    <row r="9" spans="1:16" ht="24.6" customHeight="1">
      <c r="A9" s="1677">
        <v>2014</v>
      </c>
      <c r="B9" s="1953">
        <v>21130.647000000001</v>
      </c>
      <c r="C9" s="1953">
        <v>401.62200000000001</v>
      </c>
      <c r="D9" s="1953">
        <v>21532.269</v>
      </c>
      <c r="E9" s="1953">
        <v>140035.649</v>
      </c>
      <c r="F9" s="1953">
        <v>108403354.046</v>
      </c>
      <c r="G9" s="1953">
        <v>369188346.977</v>
      </c>
      <c r="H9" s="1954">
        <v>477591701.023</v>
      </c>
      <c r="I9" s="1955">
        <v>0.57769999999999999</v>
      </c>
      <c r="J9" s="1953">
        <v>12579344.470000001</v>
      </c>
      <c r="K9" s="1953">
        <v>40564726.920000002</v>
      </c>
      <c r="L9" s="1953">
        <v>53144071.390000001</v>
      </c>
      <c r="M9" s="1958">
        <v>5.26</v>
      </c>
      <c r="N9" s="1959">
        <v>116.042</v>
      </c>
      <c r="O9" s="1959">
        <v>109.875</v>
      </c>
      <c r="P9" s="1957">
        <v>111.27500000000001</v>
      </c>
    </row>
    <row r="10" spans="1:16" ht="24.6" customHeight="1">
      <c r="A10" s="1677">
        <v>2015</v>
      </c>
      <c r="B10" s="1953">
        <v>21602.127</v>
      </c>
      <c r="C10" s="1953">
        <v>428.08800000000002</v>
      </c>
      <c r="D10" s="1953">
        <v>22030.215</v>
      </c>
      <c r="E10" s="1953">
        <v>142780.95199999999</v>
      </c>
      <c r="F10" s="1953">
        <v>109711777.97</v>
      </c>
      <c r="G10" s="1953">
        <v>373943037.71799999</v>
      </c>
      <c r="H10" s="1954">
        <v>483654815.68800002</v>
      </c>
      <c r="I10" s="1955">
        <v>1.2695000000000001</v>
      </c>
      <c r="J10" s="1953">
        <v>12738706.300000001</v>
      </c>
      <c r="K10" s="1953">
        <v>41224979.767999999</v>
      </c>
      <c r="L10" s="1953">
        <v>53963686.067000002</v>
      </c>
      <c r="M10" s="1958">
        <v>1.5423</v>
      </c>
      <c r="N10" s="1959">
        <v>116.111</v>
      </c>
      <c r="O10" s="1959">
        <v>110.244</v>
      </c>
      <c r="P10" s="1957">
        <v>111.575</v>
      </c>
    </row>
    <row r="11" spans="1:16" ht="24.6" customHeight="1">
      <c r="A11" s="1677">
        <v>2016</v>
      </c>
      <c r="B11" s="1953">
        <v>22096.748</v>
      </c>
      <c r="C11" s="1954">
        <v>455.971</v>
      </c>
      <c r="D11" s="1954">
        <v>22552.719000000001</v>
      </c>
      <c r="E11" s="1954">
        <v>150899.636</v>
      </c>
      <c r="F11" s="1954">
        <v>112113686.507</v>
      </c>
      <c r="G11" s="1954">
        <v>384925217.42400002</v>
      </c>
      <c r="H11" s="1954">
        <v>497038903.93099999</v>
      </c>
      <c r="I11" s="1955">
        <v>2.7673000000000001</v>
      </c>
      <c r="J11" s="1954">
        <v>12969535.767000001</v>
      </c>
      <c r="K11" s="1954">
        <v>42317987.292999998</v>
      </c>
      <c r="L11" s="1954">
        <v>55287523.060000002</v>
      </c>
      <c r="M11" s="1955">
        <v>2.4531999999999998</v>
      </c>
      <c r="N11" s="1956">
        <v>115.682</v>
      </c>
      <c r="O11" s="1956">
        <v>109.938</v>
      </c>
      <c r="P11" s="1957">
        <v>111.23399999999999</v>
      </c>
    </row>
    <row r="12" spans="1:16" ht="24.6" customHeight="1">
      <c r="A12" s="1677">
        <v>2017</v>
      </c>
      <c r="B12" s="1953">
        <v>22588.001</v>
      </c>
      <c r="C12" s="1954">
        <v>489.02199999999999</v>
      </c>
      <c r="D12" s="1954">
        <v>23077.023000000001</v>
      </c>
      <c r="E12" s="1954">
        <v>155122.32999999999</v>
      </c>
      <c r="F12" s="1954">
        <v>112410997.007</v>
      </c>
      <c r="G12" s="1954">
        <v>395335389.10399997</v>
      </c>
      <c r="H12" s="1954">
        <v>507746386.111</v>
      </c>
      <c r="I12" s="1955">
        <v>2.1543000000000001</v>
      </c>
      <c r="J12" s="1954">
        <v>12565543.879000001</v>
      </c>
      <c r="K12" s="1954">
        <v>43048466.931000002</v>
      </c>
      <c r="L12" s="1954">
        <v>55614010.810000002</v>
      </c>
      <c r="M12" s="1955">
        <v>0.59050000000000002</v>
      </c>
      <c r="N12" s="1956">
        <v>111.782</v>
      </c>
      <c r="O12" s="1956">
        <v>108.89100000000001</v>
      </c>
      <c r="P12" s="1957">
        <v>109.53100000000001</v>
      </c>
    </row>
    <row r="13" spans="1:16" ht="24.6" customHeight="1">
      <c r="A13" s="1677">
        <v>2018</v>
      </c>
      <c r="B13" s="1953">
        <v>22972.478999999999</v>
      </c>
      <c r="C13" s="1954">
        <v>529.06399999999996</v>
      </c>
      <c r="D13" s="1954">
        <v>23501.543000000001</v>
      </c>
      <c r="E13" s="1954">
        <v>161775.32999999999</v>
      </c>
      <c r="F13" s="1954">
        <v>115975614.344</v>
      </c>
      <c r="G13" s="1954">
        <v>410173547.38300002</v>
      </c>
      <c r="H13" s="1954">
        <v>526149161.727</v>
      </c>
      <c r="I13" s="1955">
        <v>3.6244000000000001</v>
      </c>
      <c r="J13" s="1954">
        <v>12925751.463</v>
      </c>
      <c r="K13" s="1954">
        <v>44291834.943000004</v>
      </c>
      <c r="L13" s="1954">
        <v>57217586.406000003</v>
      </c>
      <c r="M13" s="1955">
        <v>2.8834</v>
      </c>
      <c r="N13" s="1956">
        <v>111.452</v>
      </c>
      <c r="O13" s="1956">
        <v>107.983</v>
      </c>
      <c r="P13" s="1957">
        <v>108.748</v>
      </c>
    </row>
    <row r="14" spans="1:16" ht="24.6" customHeight="1">
      <c r="A14" s="1677">
        <v>2019</v>
      </c>
      <c r="B14" s="1953">
        <v>23293.954000000002</v>
      </c>
      <c r="C14" s="1954">
        <v>566.07799999999997</v>
      </c>
      <c r="D14" s="1954">
        <v>23860.031999999999</v>
      </c>
      <c r="E14" s="1954">
        <v>162016.67000000001</v>
      </c>
      <c r="F14" s="1954">
        <v>112889100.788</v>
      </c>
      <c r="G14" s="1954">
        <v>407609636.93800002</v>
      </c>
      <c r="H14" s="1954">
        <v>520498737.72600001</v>
      </c>
      <c r="I14" s="1955">
        <v>-1.0739000000000001</v>
      </c>
      <c r="J14" s="1954">
        <v>12610190.472999999</v>
      </c>
      <c r="K14" s="1954">
        <v>43946309.818999998</v>
      </c>
      <c r="L14" s="1954">
        <v>56556500.292000003</v>
      </c>
      <c r="M14" s="1955">
        <v>-1.1554</v>
      </c>
      <c r="N14" s="1956">
        <v>111.70399999999999</v>
      </c>
      <c r="O14" s="1956">
        <v>107.815</v>
      </c>
      <c r="P14" s="1957">
        <v>108.658</v>
      </c>
    </row>
    <row r="15" spans="1:16" s="1960" customFormat="1" ht="24.6" customHeight="1">
      <c r="A15" s="1677">
        <v>2020</v>
      </c>
      <c r="B15" s="1953">
        <v>23593.824000000001</v>
      </c>
      <c r="C15" s="1953">
        <v>604.48</v>
      </c>
      <c r="D15" s="1953">
        <v>24198.304</v>
      </c>
      <c r="E15" s="1953">
        <v>163013.38</v>
      </c>
      <c r="F15" s="1953">
        <v>111662735.94</v>
      </c>
      <c r="G15" s="1953">
        <v>397606979.25700003</v>
      </c>
      <c r="H15" s="1954">
        <v>509269715.19700003</v>
      </c>
      <c r="I15" s="1955">
        <v>-2.1574</v>
      </c>
      <c r="J15" s="1953">
        <v>12656573.664000001</v>
      </c>
      <c r="K15" s="1953">
        <v>43262004.68</v>
      </c>
      <c r="L15" s="1953">
        <v>55918578.344999999</v>
      </c>
      <c r="M15" s="1958">
        <v>-1.1278999999999999</v>
      </c>
      <c r="N15" s="1959">
        <v>113.346</v>
      </c>
      <c r="O15" s="1959">
        <v>108.806</v>
      </c>
      <c r="P15" s="1957">
        <v>109.801</v>
      </c>
    </row>
    <row r="16" spans="1:16" ht="24.6" customHeight="1">
      <c r="A16" s="275">
        <v>2021</v>
      </c>
      <c r="B16" s="1961">
        <v>23877.503000000001</v>
      </c>
      <c r="C16" s="1962">
        <v>645.80100000000004</v>
      </c>
      <c r="D16" s="1962">
        <v>24523.304</v>
      </c>
      <c r="E16" s="1962">
        <v>172961.97099999999</v>
      </c>
      <c r="F16" s="1962">
        <v>115457140.559</v>
      </c>
      <c r="G16" s="1962">
        <v>417973670.29900002</v>
      </c>
      <c r="H16" s="1962">
        <v>533430810.85799998</v>
      </c>
      <c r="I16" s="1955">
        <v>4.7443</v>
      </c>
      <c r="J16" s="1954">
        <v>12949039.607999999</v>
      </c>
      <c r="K16" s="1954">
        <v>44722447.920000002</v>
      </c>
      <c r="L16" s="1954">
        <v>57671487.527999997</v>
      </c>
      <c r="M16" s="1955">
        <v>3.1347999999999998</v>
      </c>
      <c r="N16" s="1956">
        <v>112.155</v>
      </c>
      <c r="O16" s="1956">
        <v>106.998</v>
      </c>
      <c r="P16" s="1957">
        <v>108.114</v>
      </c>
    </row>
    <row r="17" spans="1:16" ht="24.6" customHeight="1">
      <c r="A17" s="1782" t="s">
        <v>795</v>
      </c>
      <c r="B17" s="1963">
        <v>23877.503000000001</v>
      </c>
      <c r="C17" s="1964">
        <v>645.80100000000004</v>
      </c>
      <c r="D17" s="1964">
        <v>24523.304</v>
      </c>
      <c r="E17" s="1964">
        <v>172961.97099999999</v>
      </c>
      <c r="F17" s="1964">
        <v>115457140.559</v>
      </c>
      <c r="G17" s="1964">
        <v>417973670.29900002</v>
      </c>
      <c r="H17" s="1964">
        <v>533430810.85799998</v>
      </c>
      <c r="I17" s="1965">
        <v>4.7443</v>
      </c>
      <c r="J17" s="1966">
        <v>12949039.607999999</v>
      </c>
      <c r="K17" s="1966">
        <v>44722447.920000002</v>
      </c>
      <c r="L17" s="1966">
        <v>57671487.527999997</v>
      </c>
      <c r="M17" s="1965">
        <v>3.1347999999999998</v>
      </c>
      <c r="N17" s="1967">
        <v>112.155</v>
      </c>
      <c r="O17" s="1967">
        <v>106.998</v>
      </c>
      <c r="P17" s="1968">
        <v>108.114</v>
      </c>
    </row>
    <row r="18" spans="1:16" ht="24.6" customHeight="1">
      <c r="A18" s="296">
        <v>2021.12</v>
      </c>
      <c r="B18" s="1961">
        <v>23877.503000000001</v>
      </c>
      <c r="C18" s="1962">
        <v>645.80100000000004</v>
      </c>
      <c r="D18" s="1962">
        <v>24523.304</v>
      </c>
      <c r="E18" s="1962">
        <v>172961.97099999999</v>
      </c>
      <c r="F18" s="1962">
        <v>10095467.142000001</v>
      </c>
      <c r="G18" s="1962">
        <v>37155151.972999997</v>
      </c>
      <c r="H18" s="1962">
        <v>47250619.115000002</v>
      </c>
      <c r="I18" s="1955">
        <v>4.9382000000000001</v>
      </c>
      <c r="J18" s="1954">
        <v>1178263.8230000001</v>
      </c>
      <c r="K18" s="1954">
        <v>4291145.767</v>
      </c>
      <c r="L18" s="1954">
        <v>5469409.5899999999</v>
      </c>
      <c r="M18" s="1955">
        <v>5.2164000000000001</v>
      </c>
      <c r="N18" s="1956">
        <v>116.712</v>
      </c>
      <c r="O18" s="1956">
        <v>115.49299999999999</v>
      </c>
      <c r="P18" s="1957">
        <v>115.753</v>
      </c>
    </row>
    <row r="19" spans="1:16" ht="24.6" customHeight="1">
      <c r="A19" s="289" t="s">
        <v>796</v>
      </c>
      <c r="B19" s="1963">
        <v>24170.062000000002</v>
      </c>
      <c r="C19" s="1964">
        <v>696.31299999999999</v>
      </c>
      <c r="D19" s="1964">
        <v>24866.375</v>
      </c>
      <c r="E19" s="1964">
        <v>174692.31099999999</v>
      </c>
      <c r="F19" s="1964">
        <v>118406479.044</v>
      </c>
      <c r="G19" s="1964">
        <v>429526263.16900003</v>
      </c>
      <c r="H19" s="1964">
        <v>547932742.21300006</v>
      </c>
      <c r="I19" s="1965">
        <v>2.7185999999999999</v>
      </c>
      <c r="J19" s="1966">
        <v>14678926.738</v>
      </c>
      <c r="K19" s="1966">
        <v>51351157.546999998</v>
      </c>
      <c r="L19" s="1966">
        <v>66030084.284999996</v>
      </c>
      <c r="M19" s="1965">
        <v>14.493499999999999</v>
      </c>
      <c r="N19" s="1967">
        <v>123.971</v>
      </c>
      <c r="O19" s="1967">
        <v>119.553</v>
      </c>
      <c r="P19" s="1968">
        <v>120.508</v>
      </c>
    </row>
    <row r="20" spans="1:16" ht="24.6" customHeight="1">
      <c r="A20" s="296">
        <v>2022.01</v>
      </c>
      <c r="B20" s="1961">
        <v>23830.260999999999</v>
      </c>
      <c r="C20" s="1962">
        <v>650.18600000000004</v>
      </c>
      <c r="D20" s="1962">
        <v>24480.447</v>
      </c>
      <c r="E20" s="1962">
        <v>170601.72899999999</v>
      </c>
      <c r="F20" s="1962">
        <v>12053486.392999999</v>
      </c>
      <c r="G20" s="1962">
        <v>37748732.294</v>
      </c>
      <c r="H20" s="1962">
        <v>49802218.686999999</v>
      </c>
      <c r="I20" s="1955">
        <v>2.1467000000000001</v>
      </c>
      <c r="J20" s="1954">
        <v>1385543.1740000001</v>
      </c>
      <c r="K20" s="1954">
        <v>4330850.1579999998</v>
      </c>
      <c r="L20" s="1954">
        <v>5716393.3329999996</v>
      </c>
      <c r="M20" s="1955">
        <v>4.9349999999999996</v>
      </c>
      <c r="N20" s="1956">
        <v>114.95</v>
      </c>
      <c r="O20" s="1956">
        <v>114.72799999999999</v>
      </c>
      <c r="P20" s="1957">
        <v>114.782</v>
      </c>
    </row>
    <row r="21" spans="1:16" ht="24.6" customHeight="1">
      <c r="A21" s="296">
        <v>2022.02</v>
      </c>
      <c r="B21" s="1961">
        <v>23839.717000000001</v>
      </c>
      <c r="C21" s="1962">
        <v>652.53899999999999</v>
      </c>
      <c r="D21" s="1962">
        <v>24492.256000000001</v>
      </c>
      <c r="E21" s="1962">
        <v>172833.122</v>
      </c>
      <c r="F21" s="1962">
        <v>12058687.210999999</v>
      </c>
      <c r="G21" s="1962">
        <v>35482784.056999996</v>
      </c>
      <c r="H21" s="1962">
        <v>47541471.267999999</v>
      </c>
      <c r="I21" s="1955">
        <v>5.2083000000000004</v>
      </c>
      <c r="J21" s="1954">
        <v>1387522.1059999999</v>
      </c>
      <c r="K21" s="1954">
        <v>4090870.068</v>
      </c>
      <c r="L21" s="1954">
        <v>5478392.1730000004</v>
      </c>
      <c r="M21" s="1955">
        <v>7.5785</v>
      </c>
      <c r="N21" s="1956">
        <v>115.06399999999999</v>
      </c>
      <c r="O21" s="1956">
        <v>115.292</v>
      </c>
      <c r="P21" s="1957">
        <v>115.23399999999999</v>
      </c>
    </row>
    <row r="22" spans="1:16" ht="24.6" customHeight="1">
      <c r="A22" s="296">
        <v>2022.03</v>
      </c>
      <c r="B22" s="1961">
        <v>24402.227999999999</v>
      </c>
      <c r="C22" s="1962">
        <v>655.58</v>
      </c>
      <c r="D22" s="1962">
        <v>25057.808000000001</v>
      </c>
      <c r="E22" s="1962">
        <v>194597.73699999999</v>
      </c>
      <c r="F22" s="1962">
        <v>10092711.73</v>
      </c>
      <c r="G22" s="1962">
        <v>35744094.769000001</v>
      </c>
      <c r="H22" s="1962">
        <v>45836806.498999998</v>
      </c>
      <c r="I22" s="1955">
        <v>6.4131999999999998</v>
      </c>
      <c r="J22" s="1954">
        <v>1111806.9110000001</v>
      </c>
      <c r="K22" s="1954">
        <v>3502072.2429999998</v>
      </c>
      <c r="L22" s="1954">
        <v>4613879.1540000001</v>
      </c>
      <c r="M22" s="1955">
        <v>9.1951999999999998</v>
      </c>
      <c r="N22" s="1956">
        <v>110.15900000000001</v>
      </c>
      <c r="O22" s="1956">
        <v>97.975999999999999</v>
      </c>
      <c r="P22" s="1957">
        <v>100.65900000000001</v>
      </c>
    </row>
    <row r="23" spans="1:16" ht="24.6" customHeight="1">
      <c r="A23" s="296">
        <v>2022.04</v>
      </c>
      <c r="B23" s="1961">
        <v>23984.695</v>
      </c>
      <c r="C23" s="1962">
        <v>658.61500000000001</v>
      </c>
      <c r="D23" s="1962">
        <v>24643.31</v>
      </c>
      <c r="E23" s="1962">
        <v>183690.65400000001</v>
      </c>
      <c r="F23" s="1962">
        <v>9275061.6740000006</v>
      </c>
      <c r="G23" s="1962">
        <v>34483218.776000001</v>
      </c>
      <c r="H23" s="1962">
        <v>43758280.450000003</v>
      </c>
      <c r="I23" s="1955">
        <v>4.4358000000000004</v>
      </c>
      <c r="J23" s="1954">
        <v>1001511.806</v>
      </c>
      <c r="K23" s="1954">
        <v>3536377.2590000001</v>
      </c>
      <c r="L23" s="1954">
        <v>4537889.0650000004</v>
      </c>
      <c r="M23" s="1955">
        <v>12.6631</v>
      </c>
      <c r="N23" s="1956">
        <v>107.979</v>
      </c>
      <c r="O23" s="1956">
        <v>102.554</v>
      </c>
      <c r="P23" s="1957">
        <v>103.70399999999999</v>
      </c>
    </row>
    <row r="24" spans="1:16" ht="24.6" customHeight="1">
      <c r="A24" s="296">
        <v>2022.05</v>
      </c>
      <c r="B24" s="1961">
        <v>23928.23</v>
      </c>
      <c r="C24" s="1962">
        <v>663.23</v>
      </c>
      <c r="D24" s="1962">
        <v>24591.46</v>
      </c>
      <c r="E24" s="1962">
        <v>175591.59299999999</v>
      </c>
      <c r="F24" s="1962">
        <v>7996878.2560000001</v>
      </c>
      <c r="G24" s="1962">
        <v>34208115.75</v>
      </c>
      <c r="H24" s="1962">
        <v>42204994.005999997</v>
      </c>
      <c r="I24" s="1955">
        <v>3.3365</v>
      </c>
      <c r="J24" s="1954">
        <v>931101.65399999998</v>
      </c>
      <c r="K24" s="1954">
        <v>3523163.861</v>
      </c>
      <c r="L24" s="1954">
        <v>4454265.5149999997</v>
      </c>
      <c r="M24" s="1955">
        <v>14.9786</v>
      </c>
      <c r="N24" s="1956">
        <v>116.43300000000001</v>
      </c>
      <c r="O24" s="1956">
        <v>102.992</v>
      </c>
      <c r="P24" s="1957">
        <v>105.539</v>
      </c>
    </row>
    <row r="25" spans="1:16" ht="24.6" customHeight="1">
      <c r="A25" s="296">
        <v>2022.06</v>
      </c>
      <c r="B25" s="1961">
        <v>23966.367999999999</v>
      </c>
      <c r="C25" s="1962">
        <v>665.88900000000001</v>
      </c>
      <c r="D25" s="1962">
        <v>24632.257000000001</v>
      </c>
      <c r="E25" s="1962">
        <v>175295.39600000001</v>
      </c>
      <c r="F25" s="1962">
        <v>8405923.9859999996</v>
      </c>
      <c r="G25" s="1962">
        <v>34609136.715000004</v>
      </c>
      <c r="H25" s="1962">
        <v>43015060.700999998</v>
      </c>
      <c r="I25" s="1955">
        <v>2.3391000000000002</v>
      </c>
      <c r="J25" s="1954">
        <v>1037253.763</v>
      </c>
      <c r="K25" s="1954">
        <v>4212128.3940000003</v>
      </c>
      <c r="L25" s="1954">
        <v>5249382.1569999997</v>
      </c>
      <c r="M25" s="1955">
        <v>9.2727000000000004</v>
      </c>
      <c r="N25" s="1956">
        <v>123.396</v>
      </c>
      <c r="O25" s="1956">
        <v>121.706</v>
      </c>
      <c r="P25" s="1957">
        <v>122.036</v>
      </c>
    </row>
    <row r="26" spans="1:16" ht="24.6" customHeight="1">
      <c r="A26" s="296">
        <v>2022.07</v>
      </c>
      <c r="B26" s="1961">
        <v>23979.121999999999</v>
      </c>
      <c r="C26" s="1962">
        <v>669.47699999999998</v>
      </c>
      <c r="D26" s="1962">
        <v>24648.598999999998</v>
      </c>
      <c r="E26" s="1962">
        <v>175496.514</v>
      </c>
      <c r="F26" s="1962">
        <v>9807876.2210000008</v>
      </c>
      <c r="G26" s="1962">
        <v>38725250.226999998</v>
      </c>
      <c r="H26" s="1962">
        <v>48533126.447999999</v>
      </c>
      <c r="I26" s="1955">
        <v>5.5715000000000003</v>
      </c>
      <c r="J26" s="1954">
        <v>1372101.041</v>
      </c>
      <c r="K26" s="1954">
        <v>5065313.4610000001</v>
      </c>
      <c r="L26" s="1954">
        <v>6437414.5020000003</v>
      </c>
      <c r="M26" s="1955">
        <v>18.159600000000001</v>
      </c>
      <c r="N26" s="1956">
        <v>139.898</v>
      </c>
      <c r="O26" s="1956">
        <v>130.80099999999999</v>
      </c>
      <c r="P26" s="1957">
        <v>132.63999999999999</v>
      </c>
    </row>
    <row r="27" spans="1:16" ht="24.6" customHeight="1">
      <c r="A27" s="296">
        <v>2022.08</v>
      </c>
      <c r="B27" s="1961">
        <v>24004.014999999999</v>
      </c>
      <c r="C27" s="1962">
        <v>673.07500000000005</v>
      </c>
      <c r="D27" s="1962">
        <v>24677.09</v>
      </c>
      <c r="E27" s="1962">
        <v>173305.80799999999</v>
      </c>
      <c r="F27" s="1962">
        <v>11278930.994000001</v>
      </c>
      <c r="G27" s="1962">
        <v>38883135.276000001</v>
      </c>
      <c r="H27" s="1962">
        <v>50162066.270000003</v>
      </c>
      <c r="I27" s="1955">
        <v>2.5181</v>
      </c>
      <c r="J27" s="1954">
        <v>1553513.5970000001</v>
      </c>
      <c r="K27" s="1954">
        <v>5110565.818</v>
      </c>
      <c r="L27" s="1954">
        <v>6664079.415</v>
      </c>
      <c r="M27" s="1955">
        <v>14.969900000000001</v>
      </c>
      <c r="N27" s="1956">
        <v>137.73599999999999</v>
      </c>
      <c r="O27" s="1956">
        <v>131.434</v>
      </c>
      <c r="P27" s="1957">
        <v>132.851</v>
      </c>
    </row>
    <row r="28" spans="1:16" ht="24.6" customHeight="1">
      <c r="A28" s="296">
        <v>2022.09</v>
      </c>
      <c r="B28" s="1961">
        <v>24033.544000000002</v>
      </c>
      <c r="C28" s="1962">
        <v>678.17100000000005</v>
      </c>
      <c r="D28" s="1962">
        <v>24711.715</v>
      </c>
      <c r="E28" s="1962">
        <v>172771.929</v>
      </c>
      <c r="F28" s="1962">
        <v>9948774.4000000004</v>
      </c>
      <c r="G28" s="1962">
        <v>35368021.071000002</v>
      </c>
      <c r="H28" s="1962">
        <v>45316795.471000001</v>
      </c>
      <c r="I28" s="1955">
        <v>1.1109</v>
      </c>
      <c r="J28" s="1954">
        <v>1292403.3570000001</v>
      </c>
      <c r="K28" s="1954">
        <v>3988862.4049999998</v>
      </c>
      <c r="L28" s="1954">
        <v>5281265.7620000001</v>
      </c>
      <c r="M28" s="1955">
        <v>17.264800000000001</v>
      </c>
      <c r="N28" s="1956">
        <v>129.90600000000001</v>
      </c>
      <c r="O28" s="1956">
        <v>112.782</v>
      </c>
      <c r="P28" s="1957">
        <v>116.541</v>
      </c>
    </row>
    <row r="29" spans="1:16" ht="24.6" customHeight="1">
      <c r="A29" s="296">
        <v>2022.1</v>
      </c>
      <c r="B29" s="1961">
        <v>24043.888999999999</v>
      </c>
      <c r="C29" s="1962">
        <v>684.99</v>
      </c>
      <c r="D29" s="1962">
        <v>24728.879000000001</v>
      </c>
      <c r="E29" s="1962">
        <v>174854.27900000001</v>
      </c>
      <c r="F29" s="1962">
        <v>8300050.9119999995</v>
      </c>
      <c r="G29" s="1962">
        <v>34042873.892999999</v>
      </c>
      <c r="H29" s="1962">
        <v>42342924.805</v>
      </c>
      <c r="I29" s="1955">
        <v>1.2062999999999999</v>
      </c>
      <c r="J29" s="1954">
        <v>1036687.589</v>
      </c>
      <c r="K29" s="1954">
        <v>4041449.051</v>
      </c>
      <c r="L29" s="1954">
        <v>5078136.6399999997</v>
      </c>
      <c r="M29" s="1955">
        <v>23.85</v>
      </c>
      <c r="N29" s="1956">
        <v>124.901</v>
      </c>
      <c r="O29" s="1956">
        <v>118.71599999999999</v>
      </c>
      <c r="P29" s="1957">
        <v>119.929</v>
      </c>
    </row>
    <row r="30" spans="1:16" ht="24.6" customHeight="1">
      <c r="A30" s="296">
        <v>2022.11</v>
      </c>
      <c r="B30" s="1961">
        <v>24624.489000000001</v>
      </c>
      <c r="C30" s="1962">
        <v>691.40899999999999</v>
      </c>
      <c r="D30" s="1962">
        <v>25315.898000000001</v>
      </c>
      <c r="E30" s="1962">
        <v>181032.10200000001</v>
      </c>
      <c r="F30" s="1962">
        <v>9070209.5140000004</v>
      </c>
      <c r="G30" s="1962">
        <v>33420878.673999999</v>
      </c>
      <c r="H30" s="1962">
        <v>42491088.188000001</v>
      </c>
      <c r="I30" s="1955">
        <v>-0.79039999999999999</v>
      </c>
      <c r="J30" s="1954">
        <v>1176561.977</v>
      </c>
      <c r="K30" s="1954">
        <v>4755143.1050000004</v>
      </c>
      <c r="L30" s="1954">
        <v>5931705.0820000004</v>
      </c>
      <c r="M30" s="1955">
        <v>21.487400000000001</v>
      </c>
      <c r="N30" s="1956">
        <v>129.71700000000001</v>
      </c>
      <c r="O30" s="1956">
        <v>142.28100000000001</v>
      </c>
      <c r="P30" s="1957">
        <v>139.59899999999999</v>
      </c>
    </row>
    <row r="31" spans="1:16" ht="24.6" customHeight="1">
      <c r="A31" s="298">
        <v>2022.12</v>
      </c>
      <c r="B31" s="1969">
        <v>24170.062000000002</v>
      </c>
      <c r="C31" s="1970">
        <v>696.31299999999999</v>
      </c>
      <c r="D31" s="1970">
        <v>24866.375</v>
      </c>
      <c r="E31" s="1970">
        <v>174692.31099999999</v>
      </c>
      <c r="F31" s="1970">
        <v>10117887.753</v>
      </c>
      <c r="G31" s="1970">
        <v>36810021.667000003</v>
      </c>
      <c r="H31" s="1970">
        <v>46927909.420000002</v>
      </c>
      <c r="I31" s="1971">
        <v>-0.68300000000000005</v>
      </c>
      <c r="J31" s="1972">
        <v>1392919.763</v>
      </c>
      <c r="K31" s="1972">
        <v>5194361.7240000004</v>
      </c>
      <c r="L31" s="1972">
        <v>6587281.4869999997</v>
      </c>
      <c r="M31" s="1971">
        <v>20.438600000000001</v>
      </c>
      <c r="N31" s="1973">
        <v>137.66900000000001</v>
      </c>
      <c r="O31" s="1973">
        <v>141.113</v>
      </c>
      <c r="P31" s="1974">
        <v>140.37</v>
      </c>
    </row>
    <row r="32" spans="1:16" s="1960" customFormat="1" ht="3" customHeight="1">
      <c r="A32" s="1975"/>
      <c r="B32" s="1976"/>
      <c r="C32" s="1976"/>
      <c r="D32" s="1976"/>
      <c r="E32" s="1976"/>
      <c r="F32" s="1976"/>
      <c r="G32" s="1976"/>
      <c r="H32" s="1976"/>
      <c r="I32" s="1977"/>
      <c r="J32" s="1976"/>
      <c r="K32" s="1976"/>
      <c r="L32" s="1976"/>
      <c r="M32" s="1977"/>
      <c r="N32" s="1978"/>
      <c r="O32" s="1978"/>
      <c r="P32" s="1978"/>
    </row>
    <row r="33" spans="1:16" ht="12.95" customHeight="1">
      <c r="A33" s="544" t="s">
        <v>1133</v>
      </c>
      <c r="B33" s="1979"/>
      <c r="C33" s="1979"/>
      <c r="D33" s="1979"/>
      <c r="E33" s="1979"/>
      <c r="F33" s="1980"/>
      <c r="G33" s="1980"/>
      <c r="H33" s="1980"/>
      <c r="I33" s="544"/>
      <c r="J33" s="544"/>
      <c r="K33" s="1980"/>
      <c r="L33" s="1980"/>
      <c r="M33" s="1977"/>
      <c r="N33" s="1981"/>
      <c r="O33" s="1981"/>
      <c r="P33" s="1981"/>
    </row>
    <row r="34" spans="1:16" s="309" customFormat="1" ht="9.9499999999999993" customHeight="1">
      <c r="A34" s="631"/>
      <c r="B34" s="631"/>
      <c r="C34" s="631"/>
      <c r="D34" s="631"/>
      <c r="E34" s="631"/>
      <c r="F34" s="631"/>
      <c r="G34" s="631"/>
      <c r="H34" s="631"/>
      <c r="I34" s="1982"/>
      <c r="J34" s="631"/>
      <c r="K34" s="631"/>
      <c r="L34" s="631"/>
      <c r="M34" s="631"/>
      <c r="N34" s="631"/>
      <c r="O34" s="631"/>
      <c r="P34" s="631"/>
    </row>
    <row r="35" spans="1:16" s="309" customFormat="1" ht="12" customHeight="1">
      <c r="A35" s="634"/>
      <c r="B35" s="631"/>
      <c r="C35" s="631"/>
      <c r="D35" s="631"/>
      <c r="E35" s="631"/>
      <c r="F35" s="631"/>
      <c r="G35" s="1983"/>
      <c r="H35" s="1983"/>
      <c r="I35" s="631"/>
      <c r="J35" s="631"/>
      <c r="K35" s="631"/>
      <c r="L35" s="631"/>
      <c r="M35" s="631"/>
      <c r="N35" s="631"/>
      <c r="O35" s="631"/>
      <c r="P35" s="636"/>
    </row>
    <row r="36" spans="1:16" s="309" customFormat="1" ht="12" customHeight="1">
      <c r="B36" s="1280"/>
      <c r="C36" s="1280"/>
      <c r="D36" s="1280"/>
      <c r="E36" s="1280"/>
      <c r="F36" s="1280"/>
      <c r="G36" s="1984"/>
      <c r="H36" s="1984"/>
      <c r="I36" s="1280"/>
      <c r="K36" s="1280"/>
      <c r="L36" s="1280"/>
      <c r="M36" s="1280"/>
      <c r="N36" s="1280"/>
    </row>
  </sheetData>
  <mergeCells count="6">
    <mergeCell ref="N4:P4"/>
    <mergeCell ref="A4:A5"/>
    <mergeCell ref="B4:D4"/>
    <mergeCell ref="E4:E5"/>
    <mergeCell ref="F4:H4"/>
    <mergeCell ref="J4:M4"/>
  </mergeCells>
  <phoneticPr fontId="3" type="noConversion"/>
  <printOptions horizontalCentered="1"/>
  <pageMargins left="0.94488188976377963" right="0.94488188976377963" top="1.1811023622047245" bottom="0.78740157480314965" header="0" footer="1.1811023622047245"/>
  <pageSetup paperSize="9" scale="79" firstPageNumber="48" orientation="portrait" useFirstPageNumber="1" r:id="rId1"/>
  <headerFooter differentOddEven="1" scaleWithDoc="0" alignWithMargins="0"/>
  <colBreaks count="1" manualBreakCount="1">
    <brk id="8" max="3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8"/>
  <sheetViews>
    <sheetView showGridLines="0" view="pageBreakPreview" zoomScale="70" zoomScaleNormal="100" zoomScaleSheetLayoutView="7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25" style="1672" customWidth="1"/>
    <col min="2" max="2" width="13" style="12" customWidth="1"/>
    <col min="3" max="3" width="7" style="2049" customWidth="1"/>
    <col min="4" max="4" width="13" style="12" customWidth="1"/>
    <col min="5" max="5" width="7" style="2049" customWidth="1"/>
    <col min="6" max="6" width="13" style="12" customWidth="1"/>
    <col min="7" max="7" width="7" style="2049" customWidth="1"/>
    <col min="8" max="8" width="13.375" style="12" customWidth="1"/>
    <col min="9" max="9" width="7" style="2049" customWidth="1"/>
    <col min="10" max="10" width="15.875" style="12" customWidth="1"/>
    <col min="11" max="11" width="7.5" style="2049" customWidth="1"/>
    <col min="12" max="12" width="15.875" style="12" customWidth="1"/>
    <col min="13" max="13" width="7.5" style="2049" customWidth="1"/>
    <col min="14" max="14" width="15.875" style="12" customWidth="1"/>
    <col min="15" max="15" width="7.5" style="2049" customWidth="1"/>
    <col min="16" max="16" width="15.875" style="1672" customWidth="1"/>
    <col min="17" max="17" width="7.625" style="2050" customWidth="1"/>
    <col min="18" max="18" width="8.75" style="12" customWidth="1"/>
    <col min="19" max="19" width="9.375" style="12" customWidth="1"/>
    <col min="20" max="20" width="6.625" style="12" customWidth="1"/>
    <col min="21" max="21" width="7.625" style="12" customWidth="1"/>
    <col min="22" max="22" width="5.875" style="12" customWidth="1"/>
    <col min="23" max="23" width="7.625" style="12" customWidth="1"/>
    <col min="24" max="24" width="5.875" style="12" customWidth="1"/>
    <col min="25" max="25" width="7" style="12" bestFit="1" customWidth="1"/>
    <col min="26" max="26" width="5.875" style="12" customWidth="1"/>
    <col min="27" max="27" width="9" style="12" bestFit="1" customWidth="1"/>
    <col min="28" max="28" width="11" style="12" customWidth="1"/>
    <col min="29" max="29" width="6" style="12" bestFit="1" customWidth="1"/>
    <col min="30" max="30" width="7" style="12" bestFit="1" customWidth="1"/>
    <col min="31" max="31" width="5.875" style="12" bestFit="1" customWidth="1"/>
    <col min="32" max="32" width="6.75" style="12" bestFit="1" customWidth="1"/>
    <col min="33" max="33" width="5.875" style="12" bestFit="1" customWidth="1"/>
    <col min="34" max="34" width="6.75" style="12" bestFit="1" customWidth="1"/>
    <col min="35" max="35" width="5.875" style="12" bestFit="1" customWidth="1"/>
    <col min="36" max="16384" width="10" style="12"/>
  </cols>
  <sheetData>
    <row r="1" spans="1:17" s="249" customFormat="1" ht="20.25">
      <c r="A1" s="1985" t="s">
        <v>1134</v>
      </c>
      <c r="C1" s="1986"/>
      <c r="E1" s="1986"/>
      <c r="G1" s="1986"/>
      <c r="I1" s="1986"/>
      <c r="K1" s="1986"/>
      <c r="M1" s="1986"/>
      <c r="O1" s="1986"/>
      <c r="P1" s="1274"/>
      <c r="Q1" s="1987"/>
    </row>
    <row r="2" spans="1:17" s="252" customFormat="1" ht="17.25">
      <c r="A2" s="1988" t="s">
        <v>1135</v>
      </c>
      <c r="C2" s="1989"/>
      <c r="E2" s="1989"/>
      <c r="G2" s="1989"/>
      <c r="I2" s="1989"/>
      <c r="K2" s="1989"/>
      <c r="L2" s="1947"/>
      <c r="M2" s="1990"/>
      <c r="N2" s="1947"/>
      <c r="O2" s="1989"/>
      <c r="P2" s="1277"/>
      <c r="Q2" s="1991"/>
    </row>
    <row r="3" spans="1:17" s="1280" customFormat="1" ht="15" customHeight="1">
      <c r="A3" s="1992"/>
      <c r="C3" s="1993"/>
      <c r="E3" s="1993"/>
      <c r="G3" s="1993"/>
      <c r="I3" s="1994"/>
      <c r="J3" s="1995"/>
      <c r="K3" s="1994"/>
      <c r="L3" s="1995"/>
      <c r="M3" s="1994"/>
      <c r="N3" s="1995"/>
      <c r="O3" s="1994"/>
      <c r="Q3" s="636" t="s">
        <v>1136</v>
      </c>
    </row>
    <row r="4" spans="1:17" s="307" customFormat="1" ht="39" customHeight="1">
      <c r="A4" s="1996" t="s">
        <v>1011</v>
      </c>
      <c r="B4" s="1997" t="s">
        <v>1137</v>
      </c>
      <c r="C4" s="1998" t="s">
        <v>31</v>
      </c>
      <c r="D4" s="1999" t="s">
        <v>1138</v>
      </c>
      <c r="E4" s="1998" t="s">
        <v>31</v>
      </c>
      <c r="F4" s="1999" t="s">
        <v>1139</v>
      </c>
      <c r="G4" s="1998" t="s">
        <v>31</v>
      </c>
      <c r="H4" s="1999" t="s">
        <v>1140</v>
      </c>
      <c r="I4" s="1998" t="s">
        <v>31</v>
      </c>
      <c r="J4" s="1999" t="s">
        <v>1141</v>
      </c>
      <c r="K4" s="1998" t="s">
        <v>31</v>
      </c>
      <c r="L4" s="1999" t="s">
        <v>1142</v>
      </c>
      <c r="M4" s="1998" t="s">
        <v>31</v>
      </c>
      <c r="N4" s="1999" t="s">
        <v>1143</v>
      </c>
      <c r="O4" s="1998" t="s">
        <v>31</v>
      </c>
      <c r="P4" s="1997" t="s">
        <v>161</v>
      </c>
      <c r="Q4" s="2000" t="s">
        <v>31</v>
      </c>
    </row>
    <row r="5" spans="1:17" s="2004" customFormat="1" ht="24.95" customHeight="1">
      <c r="A5" s="1677">
        <v>2011</v>
      </c>
      <c r="B5" s="2001">
        <v>63523655.233999997</v>
      </c>
      <c r="C5" s="1955">
        <v>0.51270000000000004</v>
      </c>
      <c r="D5" s="1954">
        <v>99504064.577000007</v>
      </c>
      <c r="E5" s="1955">
        <v>2.1497000000000002</v>
      </c>
      <c r="F5" s="1954">
        <v>7568016.0109999999</v>
      </c>
      <c r="G5" s="1955">
        <v>1.5489999999999999</v>
      </c>
      <c r="H5" s="1954">
        <v>251490647.93900001</v>
      </c>
      <c r="I5" s="1958">
        <v>8.0879999999999992</v>
      </c>
      <c r="J5" s="1954">
        <v>11231538.370999999</v>
      </c>
      <c r="K5" s="1955">
        <v>5.4179000000000004</v>
      </c>
      <c r="L5" s="1954">
        <v>3145497.9709999999</v>
      </c>
      <c r="M5" s="1955">
        <v>2.0771999999999999</v>
      </c>
      <c r="N5" s="1954">
        <v>18606840.397</v>
      </c>
      <c r="O5" s="2002">
        <v>-5.5012999999999996</v>
      </c>
      <c r="P5" s="2001">
        <v>455070260.5</v>
      </c>
      <c r="Q5" s="2003">
        <v>4.8162000000000003</v>
      </c>
    </row>
    <row r="6" spans="1:17" s="2004" customFormat="1" ht="24.95" customHeight="1">
      <c r="A6" s="1677">
        <v>2012</v>
      </c>
      <c r="B6" s="2001">
        <v>65483732.827</v>
      </c>
      <c r="C6" s="1955">
        <v>3.0855999999999999</v>
      </c>
      <c r="D6" s="1954">
        <v>101592760.074</v>
      </c>
      <c r="E6" s="1955">
        <v>2.0991</v>
      </c>
      <c r="F6" s="1954">
        <v>7860449.3600000003</v>
      </c>
      <c r="G6" s="1955">
        <v>3.8641000000000001</v>
      </c>
      <c r="H6" s="1954">
        <v>258101932.91100001</v>
      </c>
      <c r="I6" s="1958">
        <v>2.6288</v>
      </c>
      <c r="J6" s="1954">
        <v>12776044.639</v>
      </c>
      <c r="K6" s="1955">
        <v>13.7515</v>
      </c>
      <c r="L6" s="1954">
        <v>3158091.48</v>
      </c>
      <c r="M6" s="1955">
        <v>0.40039999999999998</v>
      </c>
      <c r="N6" s="1954">
        <v>17619937.397</v>
      </c>
      <c r="O6" s="2002">
        <v>-5.3040000000000003</v>
      </c>
      <c r="P6" s="2001">
        <v>466592948.68800002</v>
      </c>
      <c r="Q6" s="2003">
        <v>2.5320999999999998</v>
      </c>
    </row>
    <row r="7" spans="1:17" s="2004" customFormat="1" ht="24.95" customHeight="1">
      <c r="A7" s="1677">
        <v>2013</v>
      </c>
      <c r="B7" s="2001">
        <v>65814572.339000002</v>
      </c>
      <c r="C7" s="1955">
        <v>0.50519999999999998</v>
      </c>
      <c r="D7" s="1954">
        <v>102196338.31200001</v>
      </c>
      <c r="E7" s="1955">
        <v>0.59409999999999996</v>
      </c>
      <c r="F7" s="1954">
        <v>7947317.3990000002</v>
      </c>
      <c r="G7" s="1955">
        <v>1.1051</v>
      </c>
      <c r="H7" s="1954">
        <v>265372530.71900001</v>
      </c>
      <c r="I7" s="1958">
        <v>2.8169</v>
      </c>
      <c r="J7" s="1954">
        <v>13865836.653999999</v>
      </c>
      <c r="K7" s="1955">
        <v>8.5299999999999994</v>
      </c>
      <c r="L7" s="1954">
        <v>3156225.6409999998</v>
      </c>
      <c r="M7" s="1955">
        <v>-5.91E-2</v>
      </c>
      <c r="N7" s="1954">
        <v>16495759.046</v>
      </c>
      <c r="O7" s="2003">
        <v>-6.3800999999999997</v>
      </c>
      <c r="P7" s="2005">
        <v>474848580.11000001</v>
      </c>
      <c r="Q7" s="2003">
        <v>1.7693000000000001</v>
      </c>
    </row>
    <row r="8" spans="1:17" s="2004" customFormat="1" ht="24.95" customHeight="1">
      <c r="A8" s="1677">
        <v>2014</v>
      </c>
      <c r="B8" s="2005">
        <v>64457263.284999996</v>
      </c>
      <c r="C8" s="1955">
        <v>-2.0623</v>
      </c>
      <c r="D8" s="1954">
        <v>100760879.149</v>
      </c>
      <c r="E8" s="1955">
        <v>-1.4046000000000001</v>
      </c>
      <c r="F8" s="1954">
        <v>7438373.7539999997</v>
      </c>
      <c r="G8" s="1955">
        <v>-6.4039999999999999</v>
      </c>
      <c r="H8" s="1954">
        <v>272551572.699</v>
      </c>
      <c r="I8" s="1958">
        <v>2.7052999999999998</v>
      </c>
      <c r="J8" s="1954">
        <v>14504731.302999999</v>
      </c>
      <c r="K8" s="1955">
        <v>4.6077000000000004</v>
      </c>
      <c r="L8" s="1954">
        <v>3221008.1140000001</v>
      </c>
      <c r="M8" s="1955">
        <v>2.0525000000000002</v>
      </c>
      <c r="N8" s="1954">
        <v>14657872.719000001</v>
      </c>
      <c r="O8" s="2003">
        <v>-11.1416</v>
      </c>
      <c r="P8" s="2005">
        <v>477591701.023</v>
      </c>
      <c r="Q8" s="2003">
        <v>0.57769999999999999</v>
      </c>
    </row>
    <row r="9" spans="1:17" s="2004" customFormat="1" ht="24.95" customHeight="1">
      <c r="A9" s="1677">
        <v>2015</v>
      </c>
      <c r="B9" s="2005">
        <v>65618610.101999998</v>
      </c>
      <c r="C9" s="1955">
        <v>1.8017000000000001</v>
      </c>
      <c r="D9" s="1954">
        <v>103679345.522</v>
      </c>
      <c r="E9" s="1955">
        <v>2.8963999999999999</v>
      </c>
      <c r="F9" s="1954">
        <v>7690600.1150000002</v>
      </c>
      <c r="G9" s="1955">
        <v>3.3908999999999998</v>
      </c>
      <c r="H9" s="1954">
        <v>273547996.64300001</v>
      </c>
      <c r="I9" s="1958">
        <v>0.36559999999999998</v>
      </c>
      <c r="J9" s="1954">
        <v>15702467.649</v>
      </c>
      <c r="K9" s="1955">
        <v>8.2576000000000001</v>
      </c>
      <c r="L9" s="1954">
        <v>3341239.6140000001</v>
      </c>
      <c r="M9" s="1955">
        <v>3.7326999999999999</v>
      </c>
      <c r="N9" s="1954">
        <v>14074556.043</v>
      </c>
      <c r="O9" s="2003">
        <v>-3.9794999999999998</v>
      </c>
      <c r="P9" s="2005">
        <v>483654815.68800002</v>
      </c>
      <c r="Q9" s="2003">
        <v>1.2695000000000001</v>
      </c>
    </row>
    <row r="10" spans="1:17" s="2004" customFormat="1" ht="24.95" customHeight="1">
      <c r="A10" s="1677">
        <v>2016</v>
      </c>
      <c r="B10" s="2006">
        <v>68056785.533999994</v>
      </c>
      <c r="C10" s="1955">
        <v>3.7157</v>
      </c>
      <c r="D10" s="1954">
        <v>108616888.442</v>
      </c>
      <c r="E10" s="1955">
        <v>4.7622999999999998</v>
      </c>
      <c r="F10" s="1954">
        <v>8079392.1380000003</v>
      </c>
      <c r="G10" s="1955">
        <v>5.0553999999999997</v>
      </c>
      <c r="H10" s="1954">
        <v>278827854.94800001</v>
      </c>
      <c r="I10" s="1958">
        <v>1.9300999999999999</v>
      </c>
      <c r="J10" s="1954">
        <v>16579842.847999999</v>
      </c>
      <c r="K10" s="1955">
        <v>5.5875000000000004</v>
      </c>
      <c r="L10" s="1954">
        <v>3462314.4339999999</v>
      </c>
      <c r="M10" s="1955">
        <v>3.6236000000000002</v>
      </c>
      <c r="N10" s="1954">
        <v>13415825.586999999</v>
      </c>
      <c r="O10" s="2003">
        <v>-4.6802999999999999</v>
      </c>
      <c r="P10" s="1953">
        <v>497038903.93099999</v>
      </c>
      <c r="Q10" s="2003">
        <v>2.7673000000000001</v>
      </c>
    </row>
    <row r="11" spans="1:17" s="2012" customFormat="1" ht="24.95" customHeight="1">
      <c r="A11" s="1677">
        <v>2017</v>
      </c>
      <c r="B11" s="2007">
        <v>68543759.841999993</v>
      </c>
      <c r="C11" s="2008">
        <v>0.71550000000000002</v>
      </c>
      <c r="D11" s="2009">
        <v>111297776.48899999</v>
      </c>
      <c r="E11" s="2008">
        <v>2.4681999999999999</v>
      </c>
      <c r="F11" s="2009">
        <v>8316290.4539999999</v>
      </c>
      <c r="G11" s="2008">
        <v>2.9321000000000002</v>
      </c>
      <c r="H11" s="2009">
        <v>285969563.01200002</v>
      </c>
      <c r="I11" s="2008">
        <v>2.5613000000000001</v>
      </c>
      <c r="J11" s="2009">
        <v>17250849.908</v>
      </c>
      <c r="K11" s="2008">
        <v>4.0471000000000004</v>
      </c>
      <c r="L11" s="2009">
        <v>3556774.8319999999</v>
      </c>
      <c r="M11" s="2008">
        <v>2.7282000000000002</v>
      </c>
      <c r="N11" s="2009">
        <v>12811371.573999999</v>
      </c>
      <c r="O11" s="2010">
        <v>-4.5054999999999996</v>
      </c>
      <c r="P11" s="2011">
        <v>507746386.111</v>
      </c>
      <c r="Q11" s="2010">
        <v>2.1543000000000001</v>
      </c>
    </row>
    <row r="12" spans="1:17" s="2012" customFormat="1" ht="24.95" customHeight="1">
      <c r="A12" s="1677">
        <v>2018</v>
      </c>
      <c r="B12" s="2007">
        <v>72894709.341000006</v>
      </c>
      <c r="C12" s="2008">
        <v>6.3476999999999997</v>
      </c>
      <c r="D12" s="2009">
        <v>116933911.801</v>
      </c>
      <c r="E12" s="2008">
        <v>5.0640000000000001</v>
      </c>
      <c r="F12" s="2009">
        <v>8677807.7980000004</v>
      </c>
      <c r="G12" s="2008">
        <v>4.3471000000000002</v>
      </c>
      <c r="H12" s="2009">
        <v>292998662.77399999</v>
      </c>
      <c r="I12" s="2008">
        <v>2.4580000000000002</v>
      </c>
      <c r="J12" s="2009">
        <v>18503823.596000001</v>
      </c>
      <c r="K12" s="2008">
        <v>7.2633000000000001</v>
      </c>
      <c r="L12" s="2009">
        <v>3582649.0010000002</v>
      </c>
      <c r="M12" s="2008">
        <v>0.72750000000000004</v>
      </c>
      <c r="N12" s="2009">
        <v>12557593.538000001</v>
      </c>
      <c r="O12" s="2010">
        <v>-1.9809000000000001</v>
      </c>
      <c r="P12" s="2011">
        <v>526149161.727</v>
      </c>
      <c r="Q12" s="2010">
        <v>3.6244000000000001</v>
      </c>
    </row>
    <row r="13" spans="1:17" s="2012" customFormat="1" ht="24.95" customHeight="1">
      <c r="A13" s="1677">
        <v>2019</v>
      </c>
      <c r="B13" s="2007">
        <v>72638867.791999996</v>
      </c>
      <c r="C13" s="2008">
        <v>-0.35099999999999998</v>
      </c>
      <c r="D13" s="2009">
        <v>116226510.249</v>
      </c>
      <c r="E13" s="2008">
        <v>-0.60499999999999998</v>
      </c>
      <c r="F13" s="2009">
        <v>8560660.3330000006</v>
      </c>
      <c r="G13" s="2008">
        <v>-1.35</v>
      </c>
      <c r="H13" s="2009">
        <v>289240197.98400003</v>
      </c>
      <c r="I13" s="2008">
        <v>-1.2827999999999999</v>
      </c>
      <c r="J13" s="2009">
        <v>18882368.129000001</v>
      </c>
      <c r="K13" s="2008">
        <v>2.0457999999999998</v>
      </c>
      <c r="L13" s="2009">
        <v>3571475.4339999999</v>
      </c>
      <c r="M13" s="2008">
        <v>-0.31190000000000001</v>
      </c>
      <c r="N13" s="2009">
        <v>11378657.805</v>
      </c>
      <c r="O13" s="2010">
        <v>-9.3881999999999994</v>
      </c>
      <c r="P13" s="2011">
        <v>520498737.72600001</v>
      </c>
      <c r="Q13" s="2010">
        <v>-1.0739000000000001</v>
      </c>
    </row>
    <row r="14" spans="1:17" s="2012" customFormat="1" ht="24.95" customHeight="1">
      <c r="A14" s="1677">
        <v>2020</v>
      </c>
      <c r="B14" s="2007">
        <v>76303404.071999997</v>
      </c>
      <c r="C14" s="2008">
        <v>5.0449000000000002</v>
      </c>
      <c r="D14" s="2009">
        <v>113638542.347</v>
      </c>
      <c r="E14" s="2008">
        <v>-2.2267000000000001</v>
      </c>
      <c r="F14" s="2009">
        <v>7515351.5199999996</v>
      </c>
      <c r="G14" s="2008">
        <v>-12.210599999999999</v>
      </c>
      <c r="H14" s="2009">
        <v>278660247.28100002</v>
      </c>
      <c r="I14" s="2008">
        <v>-3.6577999999999999</v>
      </c>
      <c r="J14" s="2009">
        <v>19028828.684</v>
      </c>
      <c r="K14" s="2008">
        <v>0.77559999999999996</v>
      </c>
      <c r="L14" s="2009">
        <v>3506999.0189999999</v>
      </c>
      <c r="M14" s="2008">
        <v>-1.8052999999999999</v>
      </c>
      <c r="N14" s="2009">
        <v>10616342.274</v>
      </c>
      <c r="O14" s="2010">
        <v>-6.6994999999999996</v>
      </c>
      <c r="P14" s="2011">
        <v>509269715.19700003</v>
      </c>
      <c r="Q14" s="2010">
        <v>-2.1574</v>
      </c>
    </row>
    <row r="15" spans="1:17" s="2012" customFormat="1" ht="24.95" customHeight="1">
      <c r="A15" s="2013">
        <v>2021</v>
      </c>
      <c r="B15" s="2007">
        <v>79914811.457000002</v>
      </c>
      <c r="C15" s="2008">
        <v>4.7329999999999997</v>
      </c>
      <c r="D15" s="2009">
        <v>119550386.23100001</v>
      </c>
      <c r="E15" s="2008">
        <v>5.2023000000000001</v>
      </c>
      <c r="F15" s="2009">
        <v>8422604.8059999999</v>
      </c>
      <c r="G15" s="2008">
        <v>12.071999999999999</v>
      </c>
      <c r="H15" s="2009">
        <v>291333422.20499998</v>
      </c>
      <c r="I15" s="2008">
        <v>4.5479000000000003</v>
      </c>
      <c r="J15" s="2009">
        <v>20603211.649</v>
      </c>
      <c r="K15" s="2008">
        <v>8.2736999999999998</v>
      </c>
      <c r="L15" s="2009">
        <v>3444429.1660000002</v>
      </c>
      <c r="M15" s="2008">
        <v>-1.7841</v>
      </c>
      <c r="N15" s="2009">
        <v>10161945.344000001</v>
      </c>
      <c r="O15" s="2010">
        <v>-4.2801999999999998</v>
      </c>
      <c r="P15" s="2011">
        <v>533430810.85799998</v>
      </c>
      <c r="Q15" s="2010">
        <v>4.7443</v>
      </c>
    </row>
    <row r="16" spans="1:17" s="2012" customFormat="1" ht="24.95" customHeight="1">
      <c r="A16" s="1782" t="s">
        <v>795</v>
      </c>
      <c r="B16" s="2014">
        <v>79914811.457000002</v>
      </c>
      <c r="C16" s="2015">
        <v>4.7329999999999997</v>
      </c>
      <c r="D16" s="2016">
        <v>119550386.23100001</v>
      </c>
      <c r="E16" s="2015">
        <v>5.2023000000000001</v>
      </c>
      <c r="F16" s="2016">
        <v>8422604.8059999999</v>
      </c>
      <c r="G16" s="2015">
        <v>12.071999999999999</v>
      </c>
      <c r="H16" s="2016">
        <v>291333422.20499998</v>
      </c>
      <c r="I16" s="2015">
        <v>4.5479000000000003</v>
      </c>
      <c r="J16" s="2016">
        <v>20603211.649</v>
      </c>
      <c r="K16" s="2015">
        <v>8.2736999999999998</v>
      </c>
      <c r="L16" s="2016">
        <v>3444429.1660000002</v>
      </c>
      <c r="M16" s="2015">
        <v>-1.7841</v>
      </c>
      <c r="N16" s="2016">
        <v>10161945.344000001</v>
      </c>
      <c r="O16" s="2017">
        <v>-4.2801999999999998</v>
      </c>
      <c r="P16" s="2018">
        <v>533430810.85799998</v>
      </c>
      <c r="Q16" s="2017">
        <v>4.7443</v>
      </c>
    </row>
    <row r="17" spans="1:19" s="2012" customFormat="1" ht="24.95" customHeight="1">
      <c r="A17" s="605">
        <v>2021.12</v>
      </c>
      <c r="B17" s="2007">
        <v>6419309.2999999998</v>
      </c>
      <c r="C17" s="2008">
        <v>0.47949999999999998</v>
      </c>
      <c r="D17" s="2009">
        <v>11070976.446</v>
      </c>
      <c r="E17" s="2008">
        <v>11.8368</v>
      </c>
      <c r="F17" s="2009">
        <v>925782.19200000004</v>
      </c>
      <c r="G17" s="2008">
        <v>7.1677999999999997</v>
      </c>
      <c r="H17" s="2009">
        <v>25509178.177000001</v>
      </c>
      <c r="I17" s="2008">
        <v>3.92</v>
      </c>
      <c r="J17" s="2009">
        <v>1796721.226</v>
      </c>
      <c r="K17" s="2008">
        <v>5.0358000000000001</v>
      </c>
      <c r="L17" s="2009">
        <v>319713.59399999998</v>
      </c>
      <c r="M17" s="2008">
        <v>-1.1661999999999999</v>
      </c>
      <c r="N17" s="2009">
        <v>1208938.18</v>
      </c>
      <c r="O17" s="2010">
        <v>-6.5968</v>
      </c>
      <c r="P17" s="2011">
        <v>47250619.115000002</v>
      </c>
      <c r="Q17" s="2010">
        <v>4.9382000000000001</v>
      </c>
    </row>
    <row r="18" spans="1:19" s="2012" customFormat="1" ht="24.95" customHeight="1">
      <c r="A18" s="593" t="s">
        <v>796</v>
      </c>
      <c r="B18" s="2014">
        <v>80996133.020999998</v>
      </c>
      <c r="C18" s="2015">
        <v>1.3531</v>
      </c>
      <c r="D18" s="2016">
        <v>127192892.347</v>
      </c>
      <c r="E18" s="2015">
        <v>6.3926999999999996</v>
      </c>
      <c r="F18" s="2016">
        <v>9073974.2899999991</v>
      </c>
      <c r="G18" s="2015">
        <v>7.7336</v>
      </c>
      <c r="H18" s="2016">
        <v>296035506.66600001</v>
      </c>
      <c r="I18" s="2015">
        <v>1.6140000000000001</v>
      </c>
      <c r="J18" s="2016">
        <v>21420088.649</v>
      </c>
      <c r="K18" s="2015">
        <v>3.9647999999999999</v>
      </c>
      <c r="L18" s="2016">
        <v>3424194.074</v>
      </c>
      <c r="M18" s="2015">
        <v>-0.58750000000000002</v>
      </c>
      <c r="N18" s="2016">
        <v>9789953.1659999993</v>
      </c>
      <c r="O18" s="2017">
        <v>-3.6606000000000001</v>
      </c>
      <c r="P18" s="2018">
        <v>547932742.21300006</v>
      </c>
      <c r="Q18" s="2017">
        <v>2.7185999999999999</v>
      </c>
    </row>
    <row r="19" spans="1:19" s="2012" customFormat="1" ht="24.95" customHeight="1">
      <c r="A19" s="605">
        <v>2022.01</v>
      </c>
      <c r="B19" s="2007">
        <v>7092815.4900000002</v>
      </c>
      <c r="C19" s="2008">
        <v>-0.98370000000000002</v>
      </c>
      <c r="D19" s="2009">
        <v>11518841.629000001</v>
      </c>
      <c r="E19" s="2008">
        <v>0.8911</v>
      </c>
      <c r="F19" s="2009">
        <v>1017613.102</v>
      </c>
      <c r="G19" s="2008">
        <v>3.7801</v>
      </c>
      <c r="H19" s="2009">
        <v>26069752.353999998</v>
      </c>
      <c r="I19" s="2008">
        <v>4.2760999999999996</v>
      </c>
      <c r="J19" s="2009">
        <v>2157527.6009999998</v>
      </c>
      <c r="K19" s="2008">
        <v>3.6436000000000002</v>
      </c>
      <c r="L19" s="2009">
        <v>328875.859</v>
      </c>
      <c r="M19" s="2008">
        <v>-0.94110000000000005</v>
      </c>
      <c r="N19" s="2009">
        <v>1616792.652</v>
      </c>
      <c r="O19" s="2010">
        <v>-9.1816999999999993</v>
      </c>
      <c r="P19" s="2011">
        <v>49802218.686999999</v>
      </c>
      <c r="Q19" s="2010">
        <v>2.1467000000000001</v>
      </c>
    </row>
    <row r="20" spans="1:19" s="2012" customFormat="1" ht="24.95" customHeight="1">
      <c r="A20" s="605">
        <v>2022.02</v>
      </c>
      <c r="B20" s="2007">
        <v>7060528.6519999998</v>
      </c>
      <c r="C20" s="2008">
        <v>2.2978000000000001</v>
      </c>
      <c r="D20" s="2009">
        <v>11732996.163000001</v>
      </c>
      <c r="E20" s="2008">
        <v>9.3643999999999998</v>
      </c>
      <c r="F20" s="2009">
        <v>868413.31400000001</v>
      </c>
      <c r="G20" s="2008">
        <v>6.3582000000000001</v>
      </c>
      <c r="H20" s="2009">
        <v>23735957.208000001</v>
      </c>
      <c r="I20" s="2008">
        <v>4.2689000000000004</v>
      </c>
      <c r="J20" s="2009">
        <v>2181944.4929999998</v>
      </c>
      <c r="K20" s="2008">
        <v>9.2708999999999993</v>
      </c>
      <c r="L20" s="2009">
        <v>310203.70799999998</v>
      </c>
      <c r="M20" s="2008">
        <v>-0.2356</v>
      </c>
      <c r="N20" s="2009">
        <v>1651427.73</v>
      </c>
      <c r="O20" s="2010">
        <v>-1.0671999999999999</v>
      </c>
      <c r="P20" s="2011">
        <v>47541471.267999999</v>
      </c>
      <c r="Q20" s="2010">
        <v>5.2083000000000004</v>
      </c>
    </row>
    <row r="21" spans="1:19" s="2012" customFormat="1" ht="24.95" customHeight="1">
      <c r="A21" s="605">
        <v>2022.03</v>
      </c>
      <c r="B21" s="2007">
        <v>6223157.4129999997</v>
      </c>
      <c r="C21" s="2008">
        <v>4.9394999999999998</v>
      </c>
      <c r="D21" s="2009">
        <v>10164688.282</v>
      </c>
      <c r="E21" s="2008">
        <v>11.835100000000001</v>
      </c>
      <c r="F21" s="2009">
        <v>828257.21200000006</v>
      </c>
      <c r="G21" s="2008">
        <v>12.6411</v>
      </c>
      <c r="H21" s="2009">
        <v>25171140.818999998</v>
      </c>
      <c r="I21" s="2008">
        <v>4.3733000000000004</v>
      </c>
      <c r="J21" s="2009">
        <v>1872358.28</v>
      </c>
      <c r="K21" s="2008">
        <v>11.6097</v>
      </c>
      <c r="L21" s="2009">
        <v>286558.64899999998</v>
      </c>
      <c r="M21" s="2008">
        <v>-0.50109999999999999</v>
      </c>
      <c r="N21" s="2009">
        <v>1290645.844</v>
      </c>
      <c r="O21" s="2010">
        <v>4.2713999999999999</v>
      </c>
      <c r="P21" s="2011">
        <v>45836806.498999998</v>
      </c>
      <c r="Q21" s="2010">
        <v>6.4131999999999998</v>
      </c>
    </row>
    <row r="22" spans="1:19" s="2012" customFormat="1" ht="24.95" customHeight="1">
      <c r="A22" s="605">
        <v>2022.04</v>
      </c>
      <c r="B22" s="2007">
        <v>6285886.0959999999</v>
      </c>
      <c r="C22" s="2008">
        <v>3.2745000000000002</v>
      </c>
      <c r="D22" s="2009">
        <v>9389482.4240000006</v>
      </c>
      <c r="E22" s="2008">
        <v>8.5967000000000002</v>
      </c>
      <c r="F22" s="2009">
        <v>710421.57200000004</v>
      </c>
      <c r="G22" s="2008">
        <v>12.600199999999999</v>
      </c>
      <c r="H22" s="2009">
        <v>24455290.186999999</v>
      </c>
      <c r="I22" s="2008">
        <v>2.8652000000000002</v>
      </c>
      <c r="J22" s="2009">
        <v>1655504.78</v>
      </c>
      <c r="K22" s="2008">
        <v>7.5651000000000002</v>
      </c>
      <c r="L22" s="2009">
        <v>282644.22200000001</v>
      </c>
      <c r="M22" s="2008">
        <v>-0.98299999999999998</v>
      </c>
      <c r="N22" s="2009">
        <v>979051.16899999999</v>
      </c>
      <c r="O22" s="2010">
        <v>4.4489999999999998</v>
      </c>
      <c r="P22" s="2011">
        <v>43758280.450000003</v>
      </c>
      <c r="Q22" s="2010">
        <v>4.4358000000000004</v>
      </c>
    </row>
    <row r="23" spans="1:19" s="2012" customFormat="1" ht="24.95" customHeight="1">
      <c r="A23" s="605">
        <v>2022.05</v>
      </c>
      <c r="B23" s="2007">
        <v>5779665.068</v>
      </c>
      <c r="C23" s="2008">
        <v>0.3029</v>
      </c>
      <c r="D23" s="2009">
        <v>9001666.7909999993</v>
      </c>
      <c r="E23" s="2008">
        <v>8.3560999999999996</v>
      </c>
      <c r="F23" s="2009">
        <v>553398.40599999996</v>
      </c>
      <c r="G23" s="2008">
        <v>6.7878999999999996</v>
      </c>
      <c r="H23" s="2009">
        <v>24585743.421</v>
      </c>
      <c r="I23" s="2008">
        <v>2.4851000000000001</v>
      </c>
      <c r="J23" s="2009">
        <v>1445037.112</v>
      </c>
      <c r="K23" s="2008">
        <v>6.7557999999999998</v>
      </c>
      <c r="L23" s="2009">
        <v>264707.51199999999</v>
      </c>
      <c r="M23" s="2008">
        <v>-0.52839999999999998</v>
      </c>
      <c r="N23" s="2009">
        <v>574775.696</v>
      </c>
      <c r="O23" s="2010">
        <v>-10.898199999999999</v>
      </c>
      <c r="P23" s="2011">
        <v>42204994.005999997</v>
      </c>
      <c r="Q23" s="2010">
        <v>3.3365</v>
      </c>
    </row>
    <row r="24" spans="1:19" s="2012" customFormat="1" ht="24.95" customHeight="1">
      <c r="A24" s="605">
        <v>2022.06</v>
      </c>
      <c r="B24" s="2007">
        <v>5993498.04</v>
      </c>
      <c r="C24" s="2008">
        <v>-0.37180000000000002</v>
      </c>
      <c r="D24" s="2009">
        <v>9977973.9910000004</v>
      </c>
      <c r="E24" s="2008">
        <v>7.8864000000000001</v>
      </c>
      <c r="F24" s="2009">
        <v>641665.88199999998</v>
      </c>
      <c r="G24" s="2008">
        <v>7.9439000000000002</v>
      </c>
      <c r="H24" s="2009">
        <v>24160800.088</v>
      </c>
      <c r="I24" s="2008">
        <v>0.57320000000000004</v>
      </c>
      <c r="J24" s="2009">
        <v>1569950.4950000001</v>
      </c>
      <c r="K24" s="2008">
        <v>11.4367</v>
      </c>
      <c r="L24" s="2009">
        <v>253635.76699999999</v>
      </c>
      <c r="M24" s="2008">
        <v>0.1484</v>
      </c>
      <c r="N24" s="2009">
        <v>417536.43800000002</v>
      </c>
      <c r="O24" s="2010">
        <v>-14.401400000000001</v>
      </c>
      <c r="P24" s="2011">
        <v>43015060.700999998</v>
      </c>
      <c r="Q24" s="2010">
        <v>2.3391000000000002</v>
      </c>
    </row>
    <row r="25" spans="1:19" s="2012" customFormat="1" ht="24.95" customHeight="1">
      <c r="A25" s="605">
        <v>2022.07</v>
      </c>
      <c r="B25" s="2007">
        <v>7548911.6639999999</v>
      </c>
      <c r="C25" s="2008">
        <v>8.3824000000000005</v>
      </c>
      <c r="D25" s="2009">
        <v>11827253.157</v>
      </c>
      <c r="E25" s="2008">
        <v>10.728</v>
      </c>
      <c r="F25" s="2009">
        <v>790307.58200000005</v>
      </c>
      <c r="G25" s="2008">
        <v>14.012</v>
      </c>
      <c r="H25" s="2009">
        <v>26117511.355999999</v>
      </c>
      <c r="I25" s="2008">
        <v>2.5573999999999999</v>
      </c>
      <c r="J25" s="2009">
        <v>1631193.2320000001</v>
      </c>
      <c r="K25" s="2008">
        <v>7.0507999999999997</v>
      </c>
      <c r="L25" s="2009">
        <v>246922.965</v>
      </c>
      <c r="M25" s="2008">
        <v>-1.2558</v>
      </c>
      <c r="N25" s="2009">
        <v>371026.49200000003</v>
      </c>
      <c r="O25" s="2010">
        <v>-5.3841999999999999</v>
      </c>
      <c r="P25" s="2011">
        <v>48533126.447999999</v>
      </c>
      <c r="Q25" s="2010">
        <v>5.5715000000000003</v>
      </c>
    </row>
    <row r="26" spans="1:19" s="2012" customFormat="1" ht="24.95" customHeight="1">
      <c r="A26" s="605">
        <v>2022.08</v>
      </c>
      <c r="B26" s="2007">
        <v>8961596.6999999993</v>
      </c>
      <c r="C26" s="2008">
        <v>-3.3168000000000002</v>
      </c>
      <c r="D26" s="2009">
        <v>12767780.714</v>
      </c>
      <c r="E26" s="2008">
        <v>6.7775999999999996</v>
      </c>
      <c r="F26" s="2009">
        <v>698462.82200000004</v>
      </c>
      <c r="G26" s="2008">
        <v>10.669600000000001</v>
      </c>
      <c r="H26" s="2009">
        <v>25223463.397999998</v>
      </c>
      <c r="I26" s="2008">
        <v>3.0474999999999999</v>
      </c>
      <c r="J26" s="2009">
        <v>1909301.6040000001</v>
      </c>
      <c r="K26" s="2008">
        <v>-4.1485000000000003</v>
      </c>
      <c r="L26" s="2009">
        <v>258650.33600000001</v>
      </c>
      <c r="M26" s="2008">
        <v>-2.5026000000000002</v>
      </c>
      <c r="N26" s="2009">
        <v>342810.696</v>
      </c>
      <c r="O26" s="2010">
        <v>1.5123</v>
      </c>
      <c r="P26" s="2011">
        <v>50162066.270000003</v>
      </c>
      <c r="Q26" s="2010">
        <v>2.5181</v>
      </c>
    </row>
    <row r="27" spans="1:19" s="2012" customFormat="1" ht="24.95" customHeight="1">
      <c r="A27" s="605">
        <v>2022.09</v>
      </c>
      <c r="B27" s="2007">
        <v>7393628.7539999997</v>
      </c>
      <c r="C27" s="2008">
        <v>3.5667</v>
      </c>
      <c r="D27" s="2009">
        <v>11060663.312000001</v>
      </c>
      <c r="E27" s="2008">
        <v>7.7846000000000002</v>
      </c>
      <c r="F27" s="2009">
        <v>700476.15399999998</v>
      </c>
      <c r="G27" s="2008">
        <v>7.7461000000000002</v>
      </c>
      <c r="H27" s="2009">
        <v>23795731.671</v>
      </c>
      <c r="I27" s="2008">
        <v>-2.2475999999999998</v>
      </c>
      <c r="J27" s="2009">
        <v>1774514.6129999999</v>
      </c>
      <c r="K27" s="2008">
        <v>-2.8012999999999999</v>
      </c>
      <c r="L27" s="2009">
        <v>272130.03999999998</v>
      </c>
      <c r="M27" s="2008">
        <v>-0.38740000000000002</v>
      </c>
      <c r="N27" s="2009">
        <v>319650.92700000003</v>
      </c>
      <c r="O27" s="2010">
        <v>-2.0173999999999999</v>
      </c>
      <c r="P27" s="2011">
        <v>45316795.471000001</v>
      </c>
      <c r="Q27" s="2010">
        <v>1.1109</v>
      </c>
    </row>
    <row r="28" spans="1:19" s="2012" customFormat="1" ht="24.95" customHeight="1">
      <c r="A28" s="605">
        <v>2022.1</v>
      </c>
      <c r="B28" s="2007">
        <v>6045030.6919999998</v>
      </c>
      <c r="C28" s="2008">
        <v>-0.70989999999999998</v>
      </c>
      <c r="D28" s="2009">
        <v>9429989.6439999994</v>
      </c>
      <c r="E28" s="2008">
        <v>3.8319999999999999</v>
      </c>
      <c r="F28" s="2009">
        <v>603645.55299999996</v>
      </c>
      <c r="G28" s="2008">
        <v>4.9496000000000002</v>
      </c>
      <c r="H28" s="2009">
        <v>24134111.169</v>
      </c>
      <c r="I28" s="2008">
        <v>0.73319999999999996</v>
      </c>
      <c r="J28" s="2009">
        <v>1462488.443</v>
      </c>
      <c r="K28" s="2008">
        <v>-1.5827</v>
      </c>
      <c r="L28" s="2009">
        <v>290578.61099999998</v>
      </c>
      <c r="M28" s="2008">
        <v>-7.3999999999999996E-2</v>
      </c>
      <c r="N28" s="2009">
        <v>377080.69300000003</v>
      </c>
      <c r="O28" s="2010">
        <v>5.4519000000000002</v>
      </c>
      <c r="P28" s="2011">
        <v>42342924.805</v>
      </c>
      <c r="Q28" s="2010">
        <v>1.2062999999999999</v>
      </c>
    </row>
    <row r="29" spans="1:19" s="2012" customFormat="1" ht="24.95" customHeight="1">
      <c r="A29" s="605">
        <v>2022.11</v>
      </c>
      <c r="B29" s="2007">
        <v>6107645.4179999996</v>
      </c>
      <c r="C29" s="2008">
        <v>-1.0753999999999999</v>
      </c>
      <c r="D29" s="2009">
        <v>9263092.5050000008</v>
      </c>
      <c r="E29" s="2008">
        <v>2.2393999999999998</v>
      </c>
      <c r="F29" s="2009">
        <v>661805.51899999997</v>
      </c>
      <c r="G29" s="2008">
        <v>-1.4118999999999999</v>
      </c>
      <c r="H29" s="2009">
        <v>23466792.004000001</v>
      </c>
      <c r="I29" s="2008">
        <v>-1.8580000000000001</v>
      </c>
      <c r="J29" s="2009">
        <v>1960613.4820000001</v>
      </c>
      <c r="K29" s="2008">
        <v>2.0331000000000001</v>
      </c>
      <c r="L29" s="2009">
        <v>309991.038</v>
      </c>
      <c r="M29" s="2008">
        <v>0.1203</v>
      </c>
      <c r="N29" s="2009">
        <v>721148.22199999995</v>
      </c>
      <c r="O29" s="2010">
        <v>-7.766</v>
      </c>
      <c r="P29" s="2011">
        <v>42491088.188000001</v>
      </c>
      <c r="Q29" s="2010">
        <v>-0.79039999999999999</v>
      </c>
    </row>
    <row r="30" spans="1:19" s="2012" customFormat="1" ht="24.95" customHeight="1">
      <c r="A30" s="607">
        <v>2022.12</v>
      </c>
      <c r="B30" s="2019">
        <v>6503769.034</v>
      </c>
      <c r="C30" s="2020">
        <v>1.3157000000000001</v>
      </c>
      <c r="D30" s="2021">
        <v>11058463.734999999</v>
      </c>
      <c r="E30" s="2020">
        <v>-0.113</v>
      </c>
      <c r="F30" s="2021">
        <v>999507.17200000002</v>
      </c>
      <c r="G30" s="2020">
        <v>7.9634999999999998</v>
      </c>
      <c r="H30" s="2021">
        <v>25119212.991</v>
      </c>
      <c r="I30" s="2020">
        <v>-1.5286999999999999</v>
      </c>
      <c r="J30" s="2021">
        <v>1799654.514</v>
      </c>
      <c r="K30" s="2020">
        <v>0.1633</v>
      </c>
      <c r="L30" s="2021">
        <v>319295.36700000003</v>
      </c>
      <c r="M30" s="2020">
        <v>-0.1308</v>
      </c>
      <c r="N30" s="2021">
        <v>1128006.6070000001</v>
      </c>
      <c r="O30" s="2022">
        <v>-6.6943999999999999</v>
      </c>
      <c r="P30" s="2023">
        <v>46927909.420000002</v>
      </c>
      <c r="Q30" s="2022">
        <v>-0.68300000000000005</v>
      </c>
      <c r="S30" s="2024"/>
    </row>
    <row r="31" spans="1:19" s="2012" customFormat="1" ht="3" customHeight="1">
      <c r="A31" s="2025"/>
      <c r="B31" s="2026"/>
      <c r="C31" s="2027"/>
      <c r="D31" s="2026"/>
      <c r="E31" s="2027"/>
      <c r="F31" s="2026"/>
      <c r="G31" s="2027"/>
      <c r="H31" s="2026"/>
      <c r="I31" s="2027"/>
      <c r="J31" s="2026"/>
      <c r="K31" s="2027"/>
      <c r="L31" s="2026"/>
      <c r="M31" s="2027"/>
      <c r="N31" s="2026"/>
      <c r="O31" s="2027"/>
      <c r="P31" s="2026"/>
      <c r="Q31" s="2027"/>
    </row>
    <row r="32" spans="1:19" s="1564" customFormat="1" ht="13.5" customHeight="1">
      <c r="A32" s="2028" t="s">
        <v>1144</v>
      </c>
      <c r="B32" s="2029"/>
      <c r="C32" s="2030"/>
      <c r="D32" s="2031"/>
      <c r="E32" s="2030"/>
      <c r="F32" s="2029"/>
      <c r="G32" s="2030"/>
      <c r="H32" s="2029"/>
      <c r="I32" s="2032"/>
      <c r="J32" s="2032"/>
      <c r="K32" s="2030"/>
      <c r="L32" s="2029"/>
      <c r="M32" s="2032"/>
      <c r="O32" s="2032"/>
      <c r="P32" s="2033"/>
      <c r="Q32" s="2034"/>
    </row>
    <row r="33" spans="1:35" s="1564" customFormat="1" ht="2.25" hidden="1" customHeight="1">
      <c r="A33" s="2035"/>
      <c r="B33" s="2029"/>
      <c r="C33" s="2030"/>
      <c r="D33" s="2031"/>
      <c r="E33" s="2030"/>
      <c r="F33" s="2029"/>
      <c r="G33" s="2030"/>
      <c r="H33" s="2029"/>
      <c r="I33" s="2032"/>
      <c r="J33" s="2032"/>
      <c r="K33" s="2030"/>
      <c r="L33" s="2029"/>
      <c r="M33" s="2032"/>
      <c r="O33" s="2032"/>
      <c r="P33" s="2033"/>
      <c r="Q33" s="2034"/>
    </row>
    <row r="34" spans="1:35" ht="12" customHeight="1">
      <c r="A34" s="2036"/>
      <c r="B34" s="250"/>
      <c r="C34" s="2037"/>
      <c r="D34" s="2038"/>
      <c r="E34" s="2037"/>
      <c r="F34" s="250"/>
      <c r="G34" s="2037"/>
      <c r="H34" s="250"/>
      <c r="I34" s="2037"/>
      <c r="J34" s="257"/>
      <c r="K34" s="2037"/>
      <c r="L34" s="309"/>
      <c r="M34" s="309"/>
      <c r="N34" s="309"/>
      <c r="O34" s="309"/>
      <c r="P34" s="557"/>
      <c r="Q34" s="2039"/>
      <c r="R34" s="1564"/>
      <c r="S34" s="1564"/>
      <c r="T34" s="1564"/>
      <c r="U34" s="1564"/>
      <c r="V34" s="1564"/>
      <c r="W34" s="1564"/>
      <c r="X34" s="1564"/>
      <c r="Y34" s="1564"/>
      <c r="Z34" s="1564"/>
      <c r="AA34" s="1564"/>
      <c r="AB34" s="1564"/>
      <c r="AC34" s="1564"/>
      <c r="AD34" s="1564"/>
      <c r="AE34" s="1564"/>
      <c r="AF34" s="1564"/>
      <c r="AG34" s="1564"/>
      <c r="AH34" s="1564"/>
      <c r="AI34" s="1564"/>
    </row>
    <row r="35" spans="1:35" s="2004" customFormat="1" ht="12.75" customHeight="1">
      <c r="A35" s="2040"/>
      <c r="B35" s="2041"/>
      <c r="C35" s="2042"/>
      <c r="D35" s="2041"/>
      <c r="E35" s="2042"/>
      <c r="F35" s="2041"/>
      <c r="G35" s="2042"/>
      <c r="H35" s="2041"/>
      <c r="I35" s="1990"/>
      <c r="J35" s="2041"/>
      <c r="K35" s="1990"/>
      <c r="L35" s="2041"/>
      <c r="M35" s="2042"/>
      <c r="N35" s="2041"/>
      <c r="O35" s="2042"/>
      <c r="P35" s="2043"/>
      <c r="Q35" s="2042"/>
      <c r="R35" s="2044"/>
      <c r="S35" s="2045"/>
      <c r="T35" s="2046"/>
      <c r="U35" s="2045"/>
      <c r="V35" s="2046"/>
      <c r="W35" s="2045"/>
      <c r="X35" s="2046"/>
      <c r="Y35" s="2045"/>
      <c r="Z35" s="2046"/>
      <c r="AA35" s="2045"/>
      <c r="AB35" s="2046"/>
    </row>
    <row r="36" spans="1:35" s="2004" customFormat="1" ht="12.75" customHeight="1">
      <c r="A36" s="2040"/>
      <c r="B36" s="2041"/>
      <c r="C36" s="2042"/>
      <c r="D36" s="2041"/>
      <c r="E36" s="2042"/>
      <c r="F36" s="2041"/>
      <c r="G36" s="2042"/>
      <c r="H36" s="2041"/>
      <c r="I36" s="1990"/>
      <c r="J36" s="2041"/>
      <c r="K36" s="1990"/>
      <c r="L36" s="2041"/>
      <c r="M36" s="2042"/>
      <c r="N36" s="2041"/>
      <c r="O36" s="2042"/>
      <c r="P36" s="2043"/>
      <c r="Q36" s="2042"/>
      <c r="R36" s="2044"/>
      <c r="S36" s="2045"/>
      <c r="T36" s="2046"/>
      <c r="U36" s="2045"/>
      <c r="V36" s="2046"/>
      <c r="W36" s="2045"/>
      <c r="X36" s="2046"/>
      <c r="Y36" s="2045"/>
      <c r="Z36" s="2046"/>
      <c r="AA36" s="2047"/>
      <c r="AB36" s="2046"/>
    </row>
    <row r="37" spans="1:35" ht="12" customHeight="1">
      <c r="A37" s="2040"/>
      <c r="B37" s="2041"/>
      <c r="C37" s="2042"/>
      <c r="D37" s="2041"/>
      <c r="E37" s="2042"/>
      <c r="F37" s="2041"/>
      <c r="G37" s="2042"/>
      <c r="H37" s="2041"/>
      <c r="I37" s="1990"/>
      <c r="J37" s="2041"/>
      <c r="K37" s="1990"/>
      <c r="L37" s="2041"/>
      <c r="M37" s="2042"/>
      <c r="N37" s="2041"/>
      <c r="O37" s="2042"/>
      <c r="P37" s="2043"/>
      <c r="Q37" s="2042"/>
      <c r="R37" s="1564"/>
      <c r="S37" s="2045"/>
      <c r="T37" s="2046"/>
      <c r="U37" s="2045"/>
      <c r="V37" s="2046"/>
      <c r="W37" s="2045"/>
      <c r="X37" s="2046"/>
      <c r="Y37" s="2045"/>
      <c r="Z37" s="2046"/>
      <c r="AA37" s="2048"/>
      <c r="AB37" s="1564"/>
    </row>
    <row r="38" spans="1:35">
      <c r="S38" s="1564"/>
      <c r="T38" s="1564"/>
      <c r="U38" s="1564"/>
      <c r="V38" s="1564"/>
      <c r="W38" s="1564"/>
      <c r="X38" s="1564"/>
      <c r="Y38" s="1564"/>
      <c r="Z38" s="1564"/>
    </row>
  </sheetData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50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4"/>
  <sheetViews>
    <sheetView showGridLines="0" view="pageBreakPreview" zoomScale="70" zoomScaleNormal="100" zoomScaleSheetLayoutView="7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625" style="12" customWidth="1"/>
    <col min="2" max="2" width="13" style="12" customWidth="1"/>
    <col min="3" max="3" width="7" style="2049" customWidth="1"/>
    <col min="4" max="4" width="13" style="12" customWidth="1"/>
    <col min="5" max="5" width="7" style="2049" customWidth="1"/>
    <col min="6" max="6" width="13" style="12" customWidth="1"/>
    <col min="7" max="7" width="7" style="2049" customWidth="1"/>
    <col min="8" max="8" width="13" style="12" customWidth="1"/>
    <col min="9" max="9" width="7" style="2049" customWidth="1"/>
    <col min="10" max="10" width="15.5" style="12" customWidth="1"/>
    <col min="11" max="11" width="7.625" style="2049" customWidth="1"/>
    <col min="12" max="12" width="15.5" style="12" customWidth="1"/>
    <col min="13" max="13" width="7.625" style="2049" customWidth="1"/>
    <col min="14" max="14" width="15.5" style="12" customWidth="1"/>
    <col min="15" max="15" width="7.625" style="2049" customWidth="1"/>
    <col min="16" max="16" width="15.75" style="1672" customWidth="1"/>
    <col min="17" max="17" width="8.5" style="2050" customWidth="1"/>
    <col min="18" max="18" width="16" style="12" hidden="1" customWidth="1"/>
    <col min="19" max="19" width="14.125" style="12" hidden="1" customWidth="1"/>
    <col min="20" max="20" width="12.25" style="12" hidden="1" customWidth="1"/>
    <col min="21" max="21" width="8.75" style="12" customWidth="1"/>
    <col min="22" max="22" width="9.5" style="12" customWidth="1"/>
    <col min="23" max="23" width="7.625" style="12" customWidth="1"/>
    <col min="24" max="24" width="14.875" style="12" bestFit="1" customWidth="1"/>
    <col min="25" max="25" width="7.625" style="12" customWidth="1"/>
    <col min="26" max="26" width="6.625" style="12" customWidth="1"/>
    <col min="27" max="27" width="7.625" style="12" customWidth="1"/>
    <col min="28" max="28" width="5.875" style="12" customWidth="1"/>
    <col min="29" max="29" width="7.625" style="12" customWidth="1"/>
    <col min="30" max="30" width="5.875" style="12" customWidth="1"/>
    <col min="31" max="31" width="7" style="12" bestFit="1" customWidth="1"/>
    <col min="32" max="32" width="5.875" style="12" customWidth="1"/>
    <col min="33" max="33" width="9" style="12" bestFit="1" customWidth="1"/>
    <col min="34" max="34" width="11" style="12" customWidth="1"/>
    <col min="35" max="35" width="6" style="12" bestFit="1" customWidth="1"/>
    <col min="36" max="36" width="7" style="12" bestFit="1" customWidth="1"/>
    <col min="37" max="37" width="5.875" style="12" bestFit="1" customWidth="1"/>
    <col min="38" max="38" width="6.75" style="12" bestFit="1" customWidth="1"/>
    <col min="39" max="39" width="5.875" style="12" bestFit="1" customWidth="1"/>
    <col min="40" max="40" width="6.75" style="12" bestFit="1" customWidth="1"/>
    <col min="41" max="41" width="5.875" style="12" bestFit="1" customWidth="1"/>
    <col min="42" max="16384" width="10" style="12"/>
  </cols>
  <sheetData>
    <row r="1" spans="1:27" s="249" customFormat="1" ht="20.25">
      <c r="A1" s="2051" t="s">
        <v>1145</v>
      </c>
      <c r="C1" s="1986"/>
      <c r="E1" s="1986"/>
      <c r="G1" s="1986"/>
      <c r="I1" s="1986"/>
      <c r="K1" s="1986"/>
      <c r="M1" s="1986"/>
      <c r="O1" s="1986"/>
      <c r="P1" s="1274"/>
      <c r="Q1" s="1987"/>
    </row>
    <row r="2" spans="1:27" s="252" customFormat="1" ht="17.25">
      <c r="A2" s="252" t="s">
        <v>1146</v>
      </c>
      <c r="C2" s="1989"/>
      <c r="E2" s="1989"/>
      <c r="G2" s="1989"/>
      <c r="I2" s="1989"/>
      <c r="K2" s="1989"/>
      <c r="L2" s="1947"/>
      <c r="M2" s="1990"/>
      <c r="N2" s="1947"/>
      <c r="O2" s="1989"/>
      <c r="P2" s="1277"/>
      <c r="Q2" s="1991"/>
    </row>
    <row r="3" spans="1:27" s="1280" customFormat="1" ht="16.5" customHeight="1">
      <c r="A3" s="307"/>
      <c r="C3" s="1993"/>
      <c r="E3" s="1993"/>
      <c r="G3" s="1993"/>
      <c r="I3" s="1994"/>
      <c r="J3" s="1995"/>
      <c r="K3" s="1994"/>
      <c r="L3" s="1995"/>
      <c r="M3" s="1994"/>
      <c r="N3" s="1995"/>
      <c r="O3" s="1994"/>
      <c r="Q3" s="636" t="s">
        <v>1147</v>
      </c>
    </row>
    <row r="4" spans="1:27" s="307" customFormat="1" ht="35.1" customHeight="1">
      <c r="A4" s="1996" t="s">
        <v>1011</v>
      </c>
      <c r="B4" s="1997" t="s">
        <v>1137</v>
      </c>
      <c r="C4" s="1998" t="s">
        <v>31</v>
      </c>
      <c r="D4" s="1999" t="s">
        <v>1138</v>
      </c>
      <c r="E4" s="1998" t="s">
        <v>31</v>
      </c>
      <c r="F4" s="1999" t="s">
        <v>1139</v>
      </c>
      <c r="G4" s="1998" t="s">
        <v>31</v>
      </c>
      <c r="H4" s="1999" t="s">
        <v>1140</v>
      </c>
      <c r="I4" s="1998" t="s">
        <v>31</v>
      </c>
      <c r="J4" s="1999" t="s">
        <v>1141</v>
      </c>
      <c r="K4" s="1998" t="s">
        <v>31</v>
      </c>
      <c r="L4" s="1999" t="s">
        <v>1142</v>
      </c>
      <c r="M4" s="1998" t="s">
        <v>31</v>
      </c>
      <c r="N4" s="1999" t="s">
        <v>1143</v>
      </c>
      <c r="O4" s="1998" t="s">
        <v>31</v>
      </c>
      <c r="P4" s="1997" t="s">
        <v>161</v>
      </c>
      <c r="Q4" s="2000" t="s">
        <v>31</v>
      </c>
    </row>
    <row r="5" spans="1:27" s="2004" customFormat="1" ht="27" customHeight="1">
      <c r="A5" s="1677">
        <v>2011</v>
      </c>
      <c r="B5" s="2001">
        <v>13181372</v>
      </c>
      <c r="C5" s="1955">
        <v>2.1476000000000002</v>
      </c>
      <c r="D5" s="1954">
        <v>2710906</v>
      </c>
      <c r="E5" s="1955">
        <v>2.9643000000000002</v>
      </c>
      <c r="F5" s="1954">
        <v>34625</v>
      </c>
      <c r="G5" s="1955">
        <v>0.72430000000000005</v>
      </c>
      <c r="H5" s="1954">
        <v>358220</v>
      </c>
      <c r="I5" s="1955">
        <v>2.9083999999999999</v>
      </c>
      <c r="J5" s="1954">
        <v>1335748</v>
      </c>
      <c r="K5" s="1955">
        <v>5.9885000000000002</v>
      </c>
      <c r="L5" s="1954">
        <v>1271913</v>
      </c>
      <c r="M5" s="1955">
        <v>13.8017</v>
      </c>
      <c r="N5" s="1954">
        <v>922082</v>
      </c>
      <c r="O5" s="1955">
        <v>-1.0585</v>
      </c>
      <c r="P5" s="2006">
        <v>19814866</v>
      </c>
      <c r="Q5" s="2003">
        <v>3.0444</v>
      </c>
      <c r="R5" s="2004" t="e">
        <f>#REF!</f>
        <v>#REF!</v>
      </c>
    </row>
    <row r="6" spans="1:27" s="2004" customFormat="1" ht="27" customHeight="1">
      <c r="A6" s="1677">
        <v>2012</v>
      </c>
      <c r="B6" s="2001">
        <v>13514464</v>
      </c>
      <c r="C6" s="1955">
        <v>2.5270000000000001</v>
      </c>
      <c r="D6" s="1954">
        <v>2817597</v>
      </c>
      <c r="E6" s="1955">
        <v>3.9356</v>
      </c>
      <c r="F6" s="1954">
        <v>34788</v>
      </c>
      <c r="G6" s="1955">
        <v>0.4708</v>
      </c>
      <c r="H6" s="1954">
        <v>367888</v>
      </c>
      <c r="I6" s="1955">
        <v>2.6989000000000001</v>
      </c>
      <c r="J6" s="1954">
        <v>1432599</v>
      </c>
      <c r="K6" s="1955">
        <v>7.2507000000000001</v>
      </c>
      <c r="L6" s="1954">
        <v>1398414</v>
      </c>
      <c r="M6" s="1955">
        <v>9.9457000000000004</v>
      </c>
      <c r="N6" s="1954">
        <v>910149</v>
      </c>
      <c r="O6" s="1955">
        <v>-1.2941</v>
      </c>
      <c r="P6" s="2006">
        <v>20475899</v>
      </c>
      <c r="Q6" s="2003">
        <v>3.3359999999999999</v>
      </c>
    </row>
    <row r="7" spans="1:27" s="2004" customFormat="1" ht="27" customHeight="1">
      <c r="A7" s="1677">
        <v>2013</v>
      </c>
      <c r="B7" s="2001">
        <v>13822791</v>
      </c>
      <c r="C7" s="1955">
        <v>2.2814999999999999</v>
      </c>
      <c r="D7" s="1954">
        <v>2893935</v>
      </c>
      <c r="E7" s="1955">
        <v>2.7092999999999998</v>
      </c>
      <c r="F7" s="1954">
        <v>19912</v>
      </c>
      <c r="G7" s="1955">
        <v>-42.761899999999997</v>
      </c>
      <c r="H7" s="1954">
        <v>377411</v>
      </c>
      <c r="I7" s="1955">
        <v>2.5886</v>
      </c>
      <c r="J7" s="1954">
        <v>1495113</v>
      </c>
      <c r="K7" s="1955">
        <v>4.3636999999999997</v>
      </c>
      <c r="L7" s="1954">
        <v>1511494</v>
      </c>
      <c r="M7" s="1955">
        <v>8.0862999999999996</v>
      </c>
      <c r="N7" s="1954">
        <v>897037</v>
      </c>
      <c r="O7" s="1955">
        <v>-1.4406000000000001</v>
      </c>
      <c r="P7" s="2006">
        <v>21017693</v>
      </c>
      <c r="Q7" s="2003">
        <v>2.6459999999999999</v>
      </c>
    </row>
    <row r="8" spans="1:27" s="2004" customFormat="1" ht="27" customHeight="1">
      <c r="A8" s="1677">
        <v>2014</v>
      </c>
      <c r="B8" s="2005">
        <v>14117408</v>
      </c>
      <c r="C8" s="1955">
        <v>2.1314000000000002</v>
      </c>
      <c r="D8" s="1954">
        <v>2954628</v>
      </c>
      <c r="E8" s="1955">
        <v>2.0972</v>
      </c>
      <c r="F8" s="1954">
        <v>20217</v>
      </c>
      <c r="G8" s="1955">
        <v>1.5317000000000001</v>
      </c>
      <c r="H8" s="1954">
        <v>387533</v>
      </c>
      <c r="I8" s="1955">
        <v>2.6819999999999999</v>
      </c>
      <c r="J8" s="1954">
        <v>1565503</v>
      </c>
      <c r="K8" s="1955">
        <v>4.7080000000000002</v>
      </c>
      <c r="L8" s="1954">
        <v>1604510</v>
      </c>
      <c r="M8" s="1955">
        <v>6.1539000000000001</v>
      </c>
      <c r="N8" s="1954">
        <v>882470</v>
      </c>
      <c r="O8" s="1955">
        <v>-1.6238999999999999</v>
      </c>
      <c r="P8" s="2006">
        <v>21532269</v>
      </c>
      <c r="Q8" s="2003">
        <v>2.4483000000000001</v>
      </c>
    </row>
    <row r="9" spans="1:27" s="2004" customFormat="1" ht="27" customHeight="1">
      <c r="A9" s="1677">
        <v>2015</v>
      </c>
      <c r="B9" s="2005">
        <v>14419050</v>
      </c>
      <c r="C9" s="1955">
        <v>2.1366999999999998</v>
      </c>
      <c r="D9" s="1954">
        <v>3016678</v>
      </c>
      <c r="E9" s="1955">
        <v>2.1000999999999999</v>
      </c>
      <c r="F9" s="1954">
        <v>20489</v>
      </c>
      <c r="G9" s="1955">
        <v>1.3453999999999999</v>
      </c>
      <c r="H9" s="1954">
        <v>396862</v>
      </c>
      <c r="I9" s="1955">
        <v>2.4073000000000002</v>
      </c>
      <c r="J9" s="1954">
        <v>1638132</v>
      </c>
      <c r="K9" s="1955">
        <v>4.6393000000000004</v>
      </c>
      <c r="L9" s="1954">
        <v>1672745</v>
      </c>
      <c r="M9" s="1955">
        <v>4.2526999999999999</v>
      </c>
      <c r="N9" s="1954">
        <v>866259</v>
      </c>
      <c r="O9" s="1955">
        <v>-1.837</v>
      </c>
      <c r="P9" s="2006">
        <v>22030215</v>
      </c>
      <c r="Q9" s="2003">
        <v>2.3126000000000002</v>
      </c>
    </row>
    <row r="10" spans="1:27" s="2004" customFormat="1" ht="27" customHeight="1">
      <c r="A10" s="1677">
        <v>2016</v>
      </c>
      <c r="B10" s="2006">
        <v>14728391</v>
      </c>
      <c r="C10" s="1955">
        <v>2.1454</v>
      </c>
      <c r="D10" s="1954">
        <v>3088632</v>
      </c>
      <c r="E10" s="1955">
        <v>2.3852000000000002</v>
      </c>
      <c r="F10" s="1954">
        <v>20663</v>
      </c>
      <c r="G10" s="1955">
        <v>0.84919999999999995</v>
      </c>
      <c r="H10" s="1954">
        <v>405771</v>
      </c>
      <c r="I10" s="1955">
        <v>2.2448999999999999</v>
      </c>
      <c r="J10" s="1954">
        <v>1710781</v>
      </c>
      <c r="K10" s="1955">
        <v>4.4348999999999998</v>
      </c>
      <c r="L10" s="1954">
        <v>1751669</v>
      </c>
      <c r="M10" s="1955">
        <v>4.7182000000000004</v>
      </c>
      <c r="N10" s="1954">
        <v>846812</v>
      </c>
      <c r="O10" s="1955">
        <v>-2.2448999999999999</v>
      </c>
      <c r="P10" s="2006">
        <v>22552719</v>
      </c>
      <c r="Q10" s="2003">
        <v>2.3717999999999999</v>
      </c>
    </row>
    <row r="11" spans="1:27" s="2004" customFormat="1" ht="27" customHeight="1">
      <c r="A11" s="1677">
        <v>2017</v>
      </c>
      <c r="B11" s="2001">
        <v>15085547</v>
      </c>
      <c r="C11" s="2052">
        <v>2.4249000000000001</v>
      </c>
      <c r="D11" s="2053">
        <v>3115221</v>
      </c>
      <c r="E11" s="1955">
        <v>0.8609</v>
      </c>
      <c r="F11" s="2005">
        <v>20972</v>
      </c>
      <c r="G11" s="1955">
        <v>1.4954000000000001</v>
      </c>
      <c r="H11" s="2005">
        <v>413877</v>
      </c>
      <c r="I11" s="1955">
        <v>1.9977</v>
      </c>
      <c r="J11" s="2053">
        <v>1784191</v>
      </c>
      <c r="K11" s="2052">
        <v>4.2910000000000004</v>
      </c>
      <c r="L11" s="2053">
        <v>1830973</v>
      </c>
      <c r="M11" s="1955">
        <v>4.5273000000000003</v>
      </c>
      <c r="N11" s="2005">
        <v>826242</v>
      </c>
      <c r="O11" s="1955">
        <v>-2.4291</v>
      </c>
      <c r="P11" s="2001">
        <v>23077023</v>
      </c>
      <c r="Q11" s="2003">
        <v>2.3248000000000002</v>
      </c>
      <c r="R11" s="2054"/>
      <c r="S11" s="2054"/>
      <c r="T11" s="2054"/>
      <c r="V11" s="2012"/>
      <c r="W11" s="2012"/>
      <c r="X11" s="2012"/>
      <c r="Y11" s="2012"/>
      <c r="Z11" s="2012"/>
      <c r="AA11" s="2012"/>
    </row>
    <row r="12" spans="1:27" s="2004" customFormat="1" ht="27" customHeight="1">
      <c r="A12" s="1677">
        <v>2018</v>
      </c>
      <c r="B12" s="2001">
        <v>15317045</v>
      </c>
      <c r="C12" s="2052">
        <v>1.5346</v>
      </c>
      <c r="D12" s="2053">
        <v>3173093</v>
      </c>
      <c r="E12" s="1955">
        <v>1.8576999999999999</v>
      </c>
      <c r="F12" s="2005">
        <v>20992</v>
      </c>
      <c r="G12" s="1955">
        <v>9.5399999999999999E-2</v>
      </c>
      <c r="H12" s="2005">
        <v>420999</v>
      </c>
      <c r="I12" s="1955">
        <v>1.7208000000000001</v>
      </c>
      <c r="J12" s="2053">
        <v>1849453</v>
      </c>
      <c r="K12" s="2052">
        <v>3.6577999999999999</v>
      </c>
      <c r="L12" s="2053">
        <v>1918848</v>
      </c>
      <c r="M12" s="1955">
        <v>4.7994000000000003</v>
      </c>
      <c r="N12" s="2005">
        <v>801112</v>
      </c>
      <c r="O12" s="1955">
        <v>-3.0415000000000001</v>
      </c>
      <c r="P12" s="2001">
        <v>23501543</v>
      </c>
      <c r="Q12" s="2003">
        <v>1.8395999999999999</v>
      </c>
      <c r="R12" s="2054"/>
      <c r="S12" s="2054"/>
      <c r="T12" s="2054"/>
      <c r="V12" s="2012"/>
      <c r="W12" s="2012"/>
      <c r="X12" s="2012"/>
      <c r="Y12" s="2012"/>
      <c r="Z12" s="2012"/>
      <c r="AA12" s="2012"/>
    </row>
    <row r="13" spans="1:27" s="2004" customFormat="1" ht="27" customHeight="1">
      <c r="A13" s="1677">
        <v>2019</v>
      </c>
      <c r="B13" s="2001">
        <v>15487494</v>
      </c>
      <c r="C13" s="2052">
        <v>1.1128</v>
      </c>
      <c r="D13" s="2053">
        <v>3231261</v>
      </c>
      <c r="E13" s="1955">
        <v>1.8331999999999999</v>
      </c>
      <c r="F13" s="2005">
        <v>21057</v>
      </c>
      <c r="G13" s="1955">
        <v>0.30959999999999999</v>
      </c>
      <c r="H13" s="2005">
        <v>425249</v>
      </c>
      <c r="I13" s="1955">
        <v>1.0095000000000001</v>
      </c>
      <c r="J13" s="2053">
        <v>1907398</v>
      </c>
      <c r="K13" s="2052">
        <v>3.1331000000000002</v>
      </c>
      <c r="L13" s="2053">
        <v>2010103</v>
      </c>
      <c r="M13" s="1955">
        <v>4.7557</v>
      </c>
      <c r="N13" s="2005">
        <v>777470</v>
      </c>
      <c r="O13" s="1955">
        <v>-2.9510999999999998</v>
      </c>
      <c r="P13" s="2001">
        <v>23860032</v>
      </c>
      <c r="Q13" s="2003">
        <v>1.5254000000000001</v>
      </c>
      <c r="R13" s="2054"/>
      <c r="S13" s="2054"/>
      <c r="T13" s="2054"/>
      <c r="V13" s="2012"/>
      <c r="W13" s="2012"/>
      <c r="X13" s="2012"/>
      <c r="Y13" s="2012"/>
      <c r="Z13" s="2012"/>
      <c r="AA13" s="2012"/>
    </row>
    <row r="14" spans="1:27" s="2012" customFormat="1" ht="27" customHeight="1">
      <c r="A14" s="1677">
        <v>2020</v>
      </c>
      <c r="B14" s="2001">
        <v>15609631</v>
      </c>
      <c r="C14" s="2052">
        <v>0.78859999999999997</v>
      </c>
      <c r="D14" s="2053">
        <v>3278071</v>
      </c>
      <c r="E14" s="1955">
        <v>1.4487000000000001</v>
      </c>
      <c r="F14" s="2005">
        <v>20996</v>
      </c>
      <c r="G14" s="1955">
        <v>-0.28970000000000001</v>
      </c>
      <c r="H14" s="2005">
        <v>429973</v>
      </c>
      <c r="I14" s="1955">
        <v>1.1109</v>
      </c>
      <c r="J14" s="2053">
        <v>1977365</v>
      </c>
      <c r="K14" s="2052">
        <v>3.6682000000000001</v>
      </c>
      <c r="L14" s="2053">
        <v>2130215</v>
      </c>
      <c r="M14" s="1955">
        <v>5.9753999999999996</v>
      </c>
      <c r="N14" s="2005">
        <v>752053</v>
      </c>
      <c r="O14" s="1955">
        <v>-3.2692000000000001</v>
      </c>
      <c r="P14" s="2001">
        <v>24198304</v>
      </c>
      <c r="Q14" s="2003">
        <v>1.4177</v>
      </c>
      <c r="R14" s="2055"/>
      <c r="S14" s="2055"/>
      <c r="T14" s="2055"/>
      <c r="V14" s="1564"/>
      <c r="W14" s="1564"/>
      <c r="X14" s="1564"/>
      <c r="Y14" s="1564"/>
      <c r="Z14" s="1564"/>
      <c r="AA14" s="1564"/>
    </row>
    <row r="15" spans="1:27" s="2012" customFormat="1" ht="27" customHeight="1">
      <c r="A15" s="2056">
        <v>2021</v>
      </c>
      <c r="B15" s="2057">
        <v>15728358</v>
      </c>
      <c r="C15" s="2058">
        <v>0.76060000000000005</v>
      </c>
      <c r="D15" s="2059">
        <v>3358143</v>
      </c>
      <c r="E15" s="2060">
        <v>2.4426999999999999</v>
      </c>
      <c r="F15" s="2061">
        <v>20971</v>
      </c>
      <c r="G15" s="2060">
        <v>-0.1191</v>
      </c>
      <c r="H15" s="2061">
        <v>434174</v>
      </c>
      <c r="I15" s="2060">
        <v>0.97699999999999998</v>
      </c>
      <c r="J15" s="2059">
        <v>2051417</v>
      </c>
      <c r="K15" s="2058">
        <v>3.7450000000000001</v>
      </c>
      <c r="L15" s="2059">
        <v>2206425</v>
      </c>
      <c r="M15" s="2060">
        <v>3.5775999999999999</v>
      </c>
      <c r="N15" s="2061">
        <v>723816</v>
      </c>
      <c r="O15" s="2060">
        <v>-3.7547000000000001</v>
      </c>
      <c r="P15" s="2057">
        <v>24523304</v>
      </c>
      <c r="Q15" s="2062">
        <v>1.3431</v>
      </c>
      <c r="R15" s="2055"/>
      <c r="S15" s="2055"/>
      <c r="T15" s="2055"/>
      <c r="V15" s="1564"/>
      <c r="W15" s="1564"/>
      <c r="X15" s="1564"/>
      <c r="Y15" s="1564"/>
      <c r="Z15" s="1564"/>
      <c r="AA15" s="1564"/>
    </row>
    <row r="16" spans="1:27" s="2012" customFormat="1" ht="27" customHeight="1">
      <c r="A16" s="1751">
        <v>2021.12</v>
      </c>
      <c r="B16" s="2063">
        <v>15728358</v>
      </c>
      <c r="C16" s="2064">
        <v>0.76060000000000005</v>
      </c>
      <c r="D16" s="2065">
        <v>3358143</v>
      </c>
      <c r="E16" s="1965">
        <v>2.4426999999999999</v>
      </c>
      <c r="F16" s="2066">
        <v>20971</v>
      </c>
      <c r="G16" s="1965">
        <v>-0.1191</v>
      </c>
      <c r="H16" s="2066">
        <v>434174</v>
      </c>
      <c r="I16" s="1965">
        <v>0.97699999999999998</v>
      </c>
      <c r="J16" s="2065">
        <v>2051417</v>
      </c>
      <c r="K16" s="2064">
        <v>3.7450000000000001</v>
      </c>
      <c r="L16" s="2065">
        <v>2206425</v>
      </c>
      <c r="M16" s="1965">
        <v>3.5775999999999999</v>
      </c>
      <c r="N16" s="2066">
        <v>723816</v>
      </c>
      <c r="O16" s="1965">
        <v>-3.7547000000000001</v>
      </c>
      <c r="P16" s="2063">
        <v>24523304</v>
      </c>
      <c r="Q16" s="2067">
        <v>1.3431</v>
      </c>
      <c r="R16" s="2055"/>
      <c r="S16" s="2055"/>
      <c r="T16" s="2055"/>
      <c r="V16" s="1564"/>
      <c r="W16" s="1564"/>
      <c r="X16" s="1564"/>
      <c r="Y16" s="1564"/>
      <c r="Z16" s="1564"/>
      <c r="AA16" s="1564"/>
    </row>
    <row r="17" spans="1:41" s="2012" customFormat="1" ht="27" customHeight="1">
      <c r="A17" s="1507">
        <v>2022.01</v>
      </c>
      <c r="B17" s="2001">
        <v>15737787</v>
      </c>
      <c r="C17" s="2052">
        <v>0.75770000000000004</v>
      </c>
      <c r="D17" s="2053">
        <v>3373949</v>
      </c>
      <c r="E17" s="1955">
        <v>2.6467999999999998</v>
      </c>
      <c r="F17" s="2005">
        <v>20996</v>
      </c>
      <c r="G17" s="1955">
        <v>-3.3300000000000003E-2</v>
      </c>
      <c r="H17" s="2005">
        <v>434515</v>
      </c>
      <c r="I17" s="1955">
        <v>1.0168999999999999</v>
      </c>
      <c r="J17" s="2053">
        <v>1976664</v>
      </c>
      <c r="K17" s="2052">
        <v>3.9087000000000001</v>
      </c>
      <c r="L17" s="2053">
        <v>2214680</v>
      </c>
      <c r="M17" s="1955">
        <v>3.0499000000000001</v>
      </c>
      <c r="N17" s="2005">
        <v>721855</v>
      </c>
      <c r="O17" s="1955">
        <v>-3.7012999999999998</v>
      </c>
      <c r="P17" s="2001">
        <v>24480447</v>
      </c>
      <c r="Q17" s="2003">
        <v>1.3323</v>
      </c>
      <c r="R17" s="2055"/>
      <c r="S17" s="2055"/>
      <c r="T17" s="2055"/>
      <c r="V17" s="1564"/>
      <c r="W17" s="1564"/>
      <c r="X17" s="1564"/>
      <c r="Y17" s="1564"/>
      <c r="Z17" s="1564"/>
      <c r="AA17" s="1564"/>
    </row>
    <row r="18" spans="1:41" s="2012" customFormat="1" ht="27" customHeight="1">
      <c r="A18" s="1507">
        <v>2022.02</v>
      </c>
      <c r="B18" s="2006">
        <v>15741080</v>
      </c>
      <c r="C18" s="1955">
        <v>0.71409999999999996</v>
      </c>
      <c r="D18" s="1954">
        <v>3380096</v>
      </c>
      <c r="E18" s="1955">
        <v>2.7805</v>
      </c>
      <c r="F18" s="1954">
        <v>21011</v>
      </c>
      <c r="G18" s="1955">
        <v>-0.13780000000000001</v>
      </c>
      <c r="H18" s="1954">
        <v>434767</v>
      </c>
      <c r="I18" s="1955">
        <v>1.0217000000000001</v>
      </c>
      <c r="J18" s="1954">
        <v>1977120</v>
      </c>
      <c r="K18" s="1955">
        <v>3.8767</v>
      </c>
      <c r="L18" s="1954">
        <v>2218550</v>
      </c>
      <c r="M18" s="1955">
        <v>3.355</v>
      </c>
      <c r="N18" s="1954">
        <v>719631</v>
      </c>
      <c r="O18" s="2003">
        <v>-3.7246000000000001</v>
      </c>
      <c r="P18" s="2006">
        <v>24492256</v>
      </c>
      <c r="Q18" s="2003">
        <v>1.3464</v>
      </c>
      <c r="R18" s="2055"/>
      <c r="S18" s="2055"/>
      <c r="T18" s="2055"/>
      <c r="V18" s="1564"/>
      <c r="W18" s="1564"/>
      <c r="X18" s="1564"/>
      <c r="Y18" s="1564"/>
      <c r="Z18" s="1564"/>
      <c r="AA18" s="1564"/>
    </row>
    <row r="19" spans="1:41" s="2012" customFormat="1" ht="27" customHeight="1">
      <c r="A19" s="1507">
        <v>2022.03</v>
      </c>
      <c r="B19" s="2001">
        <v>15747870</v>
      </c>
      <c r="C19" s="2052">
        <v>0.70689999999999997</v>
      </c>
      <c r="D19" s="2053">
        <v>3385729</v>
      </c>
      <c r="E19" s="1955">
        <v>2.9396</v>
      </c>
      <c r="F19" s="2005">
        <v>21007</v>
      </c>
      <c r="G19" s="1955">
        <v>-0.19950000000000001</v>
      </c>
      <c r="H19" s="2005">
        <v>434864</v>
      </c>
      <c r="I19" s="1955">
        <v>1.0034000000000001</v>
      </c>
      <c r="J19" s="2053">
        <v>2528524</v>
      </c>
      <c r="K19" s="2052">
        <v>2.8250999999999999</v>
      </c>
      <c r="L19" s="2053">
        <v>2221968</v>
      </c>
      <c r="M19" s="1955">
        <v>3.2810999999999999</v>
      </c>
      <c r="N19" s="2005">
        <v>717845</v>
      </c>
      <c r="O19" s="1955">
        <v>-3.6324999999999998</v>
      </c>
      <c r="P19" s="2001">
        <v>25057808</v>
      </c>
      <c r="Q19" s="2003">
        <v>1.3120000000000001</v>
      </c>
      <c r="R19" s="2055"/>
      <c r="S19" s="2055"/>
      <c r="T19" s="2055"/>
      <c r="V19" s="1564"/>
      <c r="W19" s="1564"/>
      <c r="X19" s="1564"/>
      <c r="Y19" s="1564"/>
      <c r="Z19" s="1564"/>
      <c r="AA19" s="1564"/>
    </row>
    <row r="20" spans="1:41" s="2012" customFormat="1" ht="27" customHeight="1">
      <c r="A20" s="1507">
        <v>2022.04</v>
      </c>
      <c r="B20" s="2001">
        <v>15757790</v>
      </c>
      <c r="C20" s="2052">
        <v>0.64510000000000001</v>
      </c>
      <c r="D20" s="2053">
        <v>3395531</v>
      </c>
      <c r="E20" s="1955">
        <v>3.0682</v>
      </c>
      <c r="F20" s="2005">
        <v>20981</v>
      </c>
      <c r="G20" s="1955">
        <v>-0.21879999999999999</v>
      </c>
      <c r="H20" s="2005">
        <v>435332</v>
      </c>
      <c r="I20" s="1955">
        <v>0.99780000000000002</v>
      </c>
      <c r="J20" s="2053">
        <v>2076246</v>
      </c>
      <c r="K20" s="2052">
        <v>3.9519000000000002</v>
      </c>
      <c r="L20" s="2053">
        <v>2241266</v>
      </c>
      <c r="M20" s="1955">
        <v>3.9573999999999998</v>
      </c>
      <c r="N20" s="2005">
        <v>716163</v>
      </c>
      <c r="O20" s="1955">
        <v>-3.5623999999999998</v>
      </c>
      <c r="P20" s="2001">
        <v>24643310</v>
      </c>
      <c r="Q20" s="2003">
        <v>1.4161999999999999</v>
      </c>
      <c r="R20" s="2055"/>
      <c r="S20" s="2055"/>
      <c r="T20" s="2055"/>
      <c r="V20" s="1564"/>
      <c r="W20" s="1564"/>
      <c r="X20" s="1564"/>
      <c r="Y20" s="1564"/>
      <c r="Z20" s="1564"/>
      <c r="AA20" s="1564"/>
    </row>
    <row r="21" spans="1:41" s="2012" customFormat="1" ht="27" customHeight="1">
      <c r="A21" s="1507">
        <v>2022.05</v>
      </c>
      <c r="B21" s="2001">
        <v>15761570</v>
      </c>
      <c r="C21" s="2052">
        <v>0.61</v>
      </c>
      <c r="D21" s="2053">
        <v>3403432</v>
      </c>
      <c r="E21" s="1955">
        <v>3.1758000000000002</v>
      </c>
      <c r="F21" s="2005">
        <v>20964</v>
      </c>
      <c r="G21" s="1955">
        <v>-0.1762</v>
      </c>
      <c r="H21" s="2005">
        <v>435785</v>
      </c>
      <c r="I21" s="1955">
        <v>1.0043</v>
      </c>
      <c r="J21" s="2053">
        <v>2004355</v>
      </c>
      <c r="K21" s="2052">
        <v>3.6575000000000002</v>
      </c>
      <c r="L21" s="2053">
        <v>2251185</v>
      </c>
      <c r="M21" s="1955">
        <v>4.0974000000000004</v>
      </c>
      <c r="N21" s="2005">
        <v>714168</v>
      </c>
      <c r="O21" s="1955">
        <v>-3.4390000000000001</v>
      </c>
      <c r="P21" s="2001">
        <v>24591460</v>
      </c>
      <c r="Q21" s="2003">
        <v>1.3957999999999999</v>
      </c>
      <c r="R21" s="2055"/>
      <c r="S21" s="2055"/>
      <c r="T21" s="2055"/>
      <c r="V21" s="1564"/>
      <c r="W21" s="1564"/>
      <c r="X21" s="1564"/>
      <c r="Y21" s="1564"/>
      <c r="Z21" s="1564"/>
      <c r="AA21" s="1564"/>
    </row>
    <row r="22" spans="1:41" s="2012" customFormat="1" ht="27" customHeight="1">
      <c r="A22" s="1507">
        <v>2022.06</v>
      </c>
      <c r="B22" s="2001">
        <v>15767787</v>
      </c>
      <c r="C22" s="2052">
        <v>0.58579999999999999</v>
      </c>
      <c r="D22" s="2053">
        <v>3414083</v>
      </c>
      <c r="E22" s="1955">
        <v>3.2663000000000002</v>
      </c>
      <c r="F22" s="2005">
        <v>20939</v>
      </c>
      <c r="G22" s="1955">
        <v>-0.19070000000000001</v>
      </c>
      <c r="H22" s="2005">
        <v>436158</v>
      </c>
      <c r="I22" s="1955">
        <v>0.99219999999999997</v>
      </c>
      <c r="J22" s="2053">
        <v>2013678</v>
      </c>
      <c r="K22" s="2052">
        <v>3.6530999999999998</v>
      </c>
      <c r="L22" s="2053">
        <v>2267516</v>
      </c>
      <c r="M22" s="1955">
        <v>4.2065999999999999</v>
      </c>
      <c r="N22" s="2005">
        <v>712095</v>
      </c>
      <c r="O22" s="1955">
        <v>-3.3725999999999998</v>
      </c>
      <c r="P22" s="2001">
        <v>24632257</v>
      </c>
      <c r="Q22" s="2003">
        <v>1.4068000000000001</v>
      </c>
      <c r="R22" s="2055"/>
      <c r="S22" s="2055"/>
      <c r="T22" s="2055"/>
      <c r="V22" s="1564"/>
      <c r="W22" s="1564"/>
      <c r="X22" s="1564"/>
      <c r="Y22" s="1564"/>
      <c r="Z22" s="1564"/>
      <c r="AA22" s="1564"/>
    </row>
    <row r="23" spans="1:41" s="2012" customFormat="1" ht="27" customHeight="1">
      <c r="A23" s="1507">
        <v>2022.07</v>
      </c>
      <c r="B23" s="2001">
        <v>15775115</v>
      </c>
      <c r="C23" s="2052">
        <v>0.5575</v>
      </c>
      <c r="D23" s="2053">
        <v>3424938</v>
      </c>
      <c r="E23" s="1955">
        <v>3.3336000000000001</v>
      </c>
      <c r="F23" s="2005">
        <v>20927</v>
      </c>
      <c r="G23" s="1955">
        <v>-0.16700000000000001</v>
      </c>
      <c r="H23" s="2005">
        <v>436650</v>
      </c>
      <c r="I23" s="1955">
        <v>0.9859</v>
      </c>
      <c r="J23" s="2053">
        <v>2022293</v>
      </c>
      <c r="K23" s="2052">
        <v>3.6840999999999999</v>
      </c>
      <c r="L23" s="2053">
        <v>2258604</v>
      </c>
      <c r="M23" s="1955">
        <v>3.2031000000000001</v>
      </c>
      <c r="N23" s="2005">
        <v>710071</v>
      </c>
      <c r="O23" s="1955">
        <v>-3.3130000000000002</v>
      </c>
      <c r="P23" s="2001">
        <v>24648599</v>
      </c>
      <c r="Q23" s="2003">
        <v>1.3145</v>
      </c>
      <c r="R23" s="2055"/>
      <c r="S23" s="2055"/>
      <c r="T23" s="2055"/>
      <c r="V23" s="1564"/>
      <c r="W23" s="1564"/>
      <c r="X23" s="1564"/>
      <c r="Y23" s="1564"/>
      <c r="Z23" s="1564"/>
      <c r="AA23" s="1564"/>
    </row>
    <row r="24" spans="1:41" s="2012" customFormat="1" ht="27" customHeight="1">
      <c r="A24" s="1507">
        <v>2022.08</v>
      </c>
      <c r="B24" s="2001">
        <v>15781138</v>
      </c>
      <c r="C24" s="2052">
        <v>0.57769999999999999</v>
      </c>
      <c r="D24" s="2053">
        <v>3435198</v>
      </c>
      <c r="E24" s="1955">
        <v>3.3628999999999998</v>
      </c>
      <c r="F24" s="2005">
        <v>20905</v>
      </c>
      <c r="G24" s="1955">
        <v>-0.28139999999999998</v>
      </c>
      <c r="H24" s="2005">
        <v>436995</v>
      </c>
      <c r="I24" s="1955">
        <v>0.96899999999999997</v>
      </c>
      <c r="J24" s="2053">
        <v>2030162</v>
      </c>
      <c r="K24" s="2052">
        <v>3.5882999999999998</v>
      </c>
      <c r="L24" s="2053">
        <v>2264610</v>
      </c>
      <c r="M24" s="1955">
        <v>3.6211000000000002</v>
      </c>
      <c r="N24" s="2005">
        <v>708081</v>
      </c>
      <c r="O24" s="1955">
        <v>-3.2705000000000002</v>
      </c>
      <c r="P24" s="2001">
        <v>24677090</v>
      </c>
      <c r="Q24" s="2003">
        <v>1.3640000000000001</v>
      </c>
      <c r="R24" s="2055"/>
      <c r="S24" s="2055"/>
      <c r="T24" s="2055"/>
      <c r="V24" s="1564"/>
      <c r="W24" s="1564"/>
      <c r="X24" s="1564"/>
      <c r="Y24" s="1564"/>
      <c r="Z24" s="1564"/>
      <c r="AA24" s="1564"/>
    </row>
    <row r="25" spans="1:41" s="2012" customFormat="1" ht="27" customHeight="1">
      <c r="A25" s="1507">
        <v>2022.09</v>
      </c>
      <c r="B25" s="2001">
        <v>15789088</v>
      </c>
      <c r="C25" s="2052">
        <v>0.5635</v>
      </c>
      <c r="D25" s="2053">
        <v>3444232</v>
      </c>
      <c r="E25" s="1955">
        <v>3.4319000000000002</v>
      </c>
      <c r="F25" s="2005">
        <v>20896</v>
      </c>
      <c r="G25" s="1955">
        <v>-0.3861</v>
      </c>
      <c r="H25" s="2005">
        <v>437312</v>
      </c>
      <c r="I25" s="1955">
        <v>0.95109999999999995</v>
      </c>
      <c r="J25" s="2053">
        <v>2036049</v>
      </c>
      <c r="K25" s="2052">
        <v>3.3668</v>
      </c>
      <c r="L25" s="2053">
        <v>2277576</v>
      </c>
      <c r="M25" s="1955">
        <v>3.9864000000000002</v>
      </c>
      <c r="N25" s="2005">
        <v>706561</v>
      </c>
      <c r="O25" s="1955">
        <v>-3.1894999999999998</v>
      </c>
      <c r="P25" s="2001">
        <v>24711715</v>
      </c>
      <c r="Q25" s="2003">
        <v>1.3832</v>
      </c>
      <c r="R25" s="2055"/>
      <c r="S25" s="2055"/>
      <c r="T25" s="2055"/>
      <c r="V25" s="1564"/>
      <c r="W25" s="1564"/>
      <c r="X25" s="1564"/>
      <c r="Y25" s="1564"/>
      <c r="Z25" s="1564"/>
      <c r="AA25" s="1564"/>
    </row>
    <row r="26" spans="1:41" s="2012" customFormat="1" ht="27" customHeight="1">
      <c r="A26" s="1507">
        <v>2022.1</v>
      </c>
      <c r="B26" s="2001">
        <v>15796930</v>
      </c>
      <c r="C26" s="2052">
        <v>0.56889999999999996</v>
      </c>
      <c r="D26" s="2053">
        <v>3453257</v>
      </c>
      <c r="E26" s="1955">
        <v>3.5937000000000001</v>
      </c>
      <c r="F26" s="2005">
        <v>20892</v>
      </c>
      <c r="G26" s="1955">
        <v>-0.36720000000000003</v>
      </c>
      <c r="H26" s="2005">
        <v>437498</v>
      </c>
      <c r="I26" s="1955">
        <v>0.92900000000000005</v>
      </c>
      <c r="J26" s="2053">
        <v>2040262</v>
      </c>
      <c r="K26" s="2052">
        <v>3.286</v>
      </c>
      <c r="L26" s="2053">
        <v>2274775</v>
      </c>
      <c r="M26" s="1955">
        <v>3.5594999999999999</v>
      </c>
      <c r="N26" s="2005">
        <v>705264</v>
      </c>
      <c r="O26" s="1955">
        <v>-3.1006</v>
      </c>
      <c r="P26" s="2001">
        <v>24728879</v>
      </c>
      <c r="Q26" s="2003">
        <v>1.3675999999999999</v>
      </c>
      <c r="R26" s="2055"/>
      <c r="S26" s="2055"/>
      <c r="T26" s="2055"/>
      <c r="V26" s="1564"/>
      <c r="W26" s="1564"/>
      <c r="X26" s="1564"/>
      <c r="Y26" s="1564"/>
      <c r="Z26" s="1564"/>
      <c r="AA26" s="1564"/>
    </row>
    <row r="27" spans="1:41" s="2012" customFormat="1" ht="27" customHeight="1">
      <c r="A27" s="1507">
        <v>2022.11</v>
      </c>
      <c r="B27" s="2001">
        <v>15807311</v>
      </c>
      <c r="C27" s="2052">
        <v>0.54700000000000004</v>
      </c>
      <c r="D27" s="2053">
        <v>3465358</v>
      </c>
      <c r="E27" s="1955">
        <v>3.6097999999999999</v>
      </c>
      <c r="F27" s="2005">
        <v>20863</v>
      </c>
      <c r="G27" s="1955">
        <v>-0.50080000000000002</v>
      </c>
      <c r="H27" s="2005">
        <v>437574</v>
      </c>
      <c r="I27" s="1955">
        <v>0.8579</v>
      </c>
      <c r="J27" s="2053">
        <v>2593647</v>
      </c>
      <c r="K27" s="2052">
        <v>2.3784999999999998</v>
      </c>
      <c r="L27" s="2053">
        <v>2287338</v>
      </c>
      <c r="M27" s="1955">
        <v>3.9171</v>
      </c>
      <c r="N27" s="2005">
        <v>703806</v>
      </c>
      <c r="O27" s="1955">
        <v>-3.0779999999999998</v>
      </c>
      <c r="P27" s="2001">
        <v>25315898</v>
      </c>
      <c r="Q27" s="2003">
        <v>1.3389</v>
      </c>
      <c r="R27" s="2055"/>
      <c r="S27" s="2055"/>
      <c r="T27" s="2055"/>
      <c r="V27" s="1564"/>
      <c r="W27" s="1564"/>
      <c r="X27" s="1564"/>
      <c r="Y27" s="1564"/>
      <c r="Z27" s="1564"/>
      <c r="AA27" s="1564"/>
    </row>
    <row r="28" spans="1:41" s="2012" customFormat="1" ht="27" customHeight="1">
      <c r="A28" s="2068">
        <v>2022.12</v>
      </c>
      <c r="B28" s="2069">
        <v>15811248</v>
      </c>
      <c r="C28" s="2070">
        <v>0.52700000000000002</v>
      </c>
      <c r="D28" s="2071">
        <v>3478752</v>
      </c>
      <c r="E28" s="1971">
        <v>3.5914999999999999</v>
      </c>
      <c r="F28" s="2072">
        <v>20833</v>
      </c>
      <c r="G28" s="1971">
        <v>-0.65810000000000002</v>
      </c>
      <c r="H28" s="2072">
        <v>437670</v>
      </c>
      <c r="I28" s="1971">
        <v>0.80520000000000003</v>
      </c>
      <c r="J28" s="2071">
        <v>2122727</v>
      </c>
      <c r="K28" s="2070">
        <v>3.4761000000000002</v>
      </c>
      <c r="L28" s="2071">
        <v>2293016</v>
      </c>
      <c r="M28" s="1971">
        <v>3.9245000000000001</v>
      </c>
      <c r="N28" s="2072">
        <v>702128</v>
      </c>
      <c r="O28" s="1971">
        <v>-2.9963000000000002</v>
      </c>
      <c r="P28" s="2069">
        <v>24866375</v>
      </c>
      <c r="Q28" s="2073">
        <v>1.399</v>
      </c>
      <c r="R28" s="2055"/>
      <c r="S28" s="2055"/>
      <c r="T28" s="2055"/>
      <c r="V28" s="1564"/>
      <c r="W28" s="1564"/>
      <c r="X28" s="1564"/>
      <c r="Y28" s="1564"/>
      <c r="Z28" s="1564"/>
      <c r="AA28" s="1564"/>
    </row>
    <row r="29" spans="1:41" s="2012" customFormat="1" ht="3" customHeight="1">
      <c r="A29" s="2074"/>
      <c r="B29" s="2005"/>
      <c r="C29" s="2075"/>
      <c r="D29" s="2005"/>
      <c r="E29" s="2075"/>
      <c r="F29" s="2005"/>
      <c r="G29" s="2075"/>
      <c r="H29" s="2005"/>
      <c r="I29" s="2075"/>
      <c r="J29" s="2005"/>
      <c r="K29" s="2075"/>
      <c r="L29" s="2005"/>
      <c r="M29" s="2075"/>
      <c r="N29" s="2005"/>
      <c r="O29" s="2075"/>
      <c r="P29" s="2005"/>
      <c r="Q29" s="2075"/>
      <c r="R29" s="2055"/>
      <c r="S29" s="2055"/>
      <c r="T29" s="2055"/>
      <c r="V29" s="1564"/>
      <c r="W29" s="1564"/>
      <c r="X29" s="1564"/>
      <c r="Y29" s="1564"/>
      <c r="Z29" s="1564"/>
      <c r="AA29" s="1564"/>
    </row>
    <row r="30" spans="1:41" s="1564" customFormat="1" ht="13.5" customHeight="1">
      <c r="A30" s="1394" t="s">
        <v>1144</v>
      </c>
      <c r="B30" s="2029"/>
      <c r="C30" s="2030"/>
      <c r="D30" s="2031"/>
      <c r="E30" s="2030"/>
      <c r="F30" s="2029"/>
      <c r="G30" s="2030"/>
      <c r="H30" s="2029"/>
      <c r="I30" s="2032"/>
      <c r="J30" s="2032"/>
      <c r="K30" s="2030"/>
      <c r="L30" s="2029"/>
      <c r="M30" s="2032"/>
      <c r="O30" s="2032"/>
      <c r="P30" s="2033"/>
      <c r="Q30" s="2034"/>
    </row>
    <row r="31" spans="1:41" s="1564" customFormat="1" ht="7.5" hidden="1" customHeight="1">
      <c r="A31" s="1394"/>
      <c r="B31" s="2029"/>
      <c r="C31" s="2030"/>
      <c r="D31" s="2031"/>
      <c r="E31" s="2030"/>
      <c r="F31" s="2029"/>
      <c r="G31" s="2030"/>
      <c r="H31" s="2029"/>
      <c r="I31" s="2032"/>
      <c r="J31" s="2032"/>
      <c r="K31" s="2030"/>
      <c r="L31" s="2029"/>
      <c r="M31" s="2032"/>
      <c r="O31" s="2032"/>
      <c r="P31" s="2033"/>
      <c r="Q31" s="2034"/>
    </row>
    <row r="32" spans="1:41" ht="12" customHeight="1">
      <c r="A32" s="634"/>
      <c r="B32" s="305"/>
      <c r="C32" s="2076"/>
      <c r="D32" s="2077"/>
      <c r="E32" s="2076"/>
      <c r="F32" s="305"/>
      <c r="G32" s="2076"/>
      <c r="H32" s="305"/>
      <c r="I32" s="2076"/>
      <c r="J32" s="629"/>
      <c r="K32" s="2076"/>
      <c r="L32" s="631"/>
      <c r="M32" s="2078"/>
      <c r="N32" s="631"/>
      <c r="O32" s="631"/>
      <c r="P32" s="2079"/>
      <c r="Q32" s="636"/>
      <c r="U32" s="1564"/>
      <c r="V32" s="1564"/>
      <c r="W32" s="1564"/>
      <c r="X32" s="1564"/>
      <c r="Y32" s="1564"/>
      <c r="Z32" s="1564"/>
      <c r="AA32" s="1564"/>
      <c r="AB32" s="1564"/>
      <c r="AC32" s="1564"/>
      <c r="AD32" s="1564"/>
      <c r="AE32" s="1564"/>
      <c r="AF32" s="1564"/>
      <c r="AG32" s="1564"/>
      <c r="AH32" s="1564"/>
      <c r="AI32" s="1564"/>
      <c r="AJ32" s="1564"/>
      <c r="AK32" s="1564"/>
      <c r="AL32" s="1564"/>
      <c r="AM32" s="1564"/>
      <c r="AN32" s="1564"/>
      <c r="AO32" s="1564"/>
    </row>
    <row r="33" spans="1:41" ht="12" customHeight="1">
      <c r="A33" s="309"/>
      <c r="B33" s="250"/>
      <c r="C33" s="2037"/>
      <c r="D33" s="2038"/>
      <c r="E33" s="2037"/>
      <c r="F33" s="250"/>
      <c r="G33" s="2037"/>
      <c r="H33" s="250"/>
      <c r="I33" s="2037"/>
      <c r="J33" s="257"/>
      <c r="K33" s="2037"/>
      <c r="L33" s="309"/>
      <c r="M33" s="309"/>
      <c r="N33" s="309"/>
      <c r="O33" s="309"/>
      <c r="P33" s="557"/>
      <c r="Q33" s="2039"/>
      <c r="U33" s="1564"/>
      <c r="V33" s="1564"/>
      <c r="W33" s="1564"/>
      <c r="X33" s="1564"/>
      <c r="Y33" s="1564"/>
      <c r="Z33" s="1564"/>
      <c r="AA33" s="1564"/>
      <c r="AB33" s="1564"/>
      <c r="AC33" s="1564"/>
      <c r="AD33" s="1564"/>
      <c r="AE33" s="1564"/>
      <c r="AF33" s="1564"/>
      <c r="AG33" s="1564"/>
      <c r="AH33" s="1564"/>
      <c r="AI33" s="1564"/>
      <c r="AJ33" s="1564"/>
      <c r="AK33" s="1564"/>
      <c r="AL33" s="1564"/>
      <c r="AM33" s="1564"/>
      <c r="AN33" s="1564"/>
      <c r="AO33" s="1564"/>
    </row>
    <row r="34" spans="1:41" ht="12" customHeight="1">
      <c r="A34" s="309"/>
      <c r="B34" s="250"/>
      <c r="C34" s="2037"/>
      <c r="D34" s="2038"/>
      <c r="E34" s="2037"/>
      <c r="F34" s="250"/>
      <c r="G34" s="2037"/>
      <c r="H34" s="250"/>
      <c r="I34" s="2037"/>
      <c r="J34" s="250"/>
      <c r="K34" s="2037"/>
      <c r="L34" s="309"/>
      <c r="M34" s="309"/>
      <c r="N34" s="309"/>
      <c r="O34" s="309"/>
      <c r="P34" s="557"/>
      <c r="Q34" s="2039"/>
      <c r="U34" s="1564"/>
      <c r="V34" s="1564"/>
      <c r="W34" s="1564"/>
      <c r="X34" s="1564"/>
      <c r="Y34" s="1564"/>
      <c r="Z34" s="1564"/>
      <c r="AA34" s="1564"/>
      <c r="AB34" s="1564"/>
      <c r="AC34" s="1564"/>
      <c r="AD34" s="1564"/>
      <c r="AE34" s="1564"/>
      <c r="AF34" s="1564"/>
      <c r="AG34" s="1564"/>
      <c r="AH34" s="1564"/>
      <c r="AI34" s="1564"/>
      <c r="AJ34" s="1564"/>
      <c r="AK34" s="1564"/>
      <c r="AL34" s="1564"/>
      <c r="AM34" s="1564"/>
      <c r="AN34" s="1564"/>
      <c r="AO34" s="1564"/>
    </row>
  </sheetData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52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36"/>
  <sheetViews>
    <sheetView showGridLines="0" view="pageBreakPreview" zoomScale="70" zoomScaleNormal="100" zoomScaleSheetLayoutView="7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625" style="12" customWidth="1"/>
    <col min="2" max="2" width="13" style="12" customWidth="1"/>
    <col min="3" max="3" width="7" style="2049" customWidth="1"/>
    <col min="4" max="4" width="13" style="12" customWidth="1"/>
    <col min="5" max="5" width="7" style="2049" customWidth="1"/>
    <col min="6" max="6" width="13" style="12" customWidth="1"/>
    <col min="7" max="7" width="7" style="2049" customWidth="1"/>
    <col min="8" max="8" width="13" style="12" customWidth="1"/>
    <col min="9" max="9" width="7" style="2049" customWidth="1"/>
    <col min="10" max="10" width="15.5" style="12" customWidth="1"/>
    <col min="11" max="11" width="7.75" style="2049" customWidth="1"/>
    <col min="12" max="12" width="15.5" style="12" customWidth="1"/>
    <col min="13" max="13" width="7.75" style="2049" customWidth="1"/>
    <col min="14" max="14" width="15.5" style="12" customWidth="1"/>
    <col min="15" max="15" width="7.75" style="2049" customWidth="1"/>
    <col min="16" max="16" width="16.125" style="12" customWidth="1"/>
    <col min="17" max="17" width="7.75" style="2049" customWidth="1"/>
    <col min="18" max="18" width="10" style="12"/>
    <col min="19" max="20" width="12.25" style="2117" customWidth="1"/>
    <col min="21" max="16384" width="10" style="12"/>
  </cols>
  <sheetData>
    <row r="1" spans="1:20" s="249" customFormat="1" ht="20.25">
      <c r="A1" s="2051" t="s">
        <v>1148</v>
      </c>
      <c r="C1" s="1986"/>
      <c r="E1" s="2080"/>
      <c r="G1" s="1986"/>
      <c r="I1" s="1986"/>
      <c r="K1" s="1986"/>
      <c r="M1" s="1986"/>
      <c r="O1" s="1986"/>
      <c r="Q1" s="1986"/>
      <c r="S1" s="310"/>
      <c r="T1" s="310"/>
    </row>
    <row r="2" spans="1:20" s="252" customFormat="1" ht="17.25">
      <c r="A2" s="252" t="s">
        <v>1149</v>
      </c>
      <c r="C2" s="1989"/>
      <c r="E2" s="1989"/>
      <c r="G2" s="1989"/>
      <c r="I2" s="1989"/>
      <c r="K2" s="1989"/>
      <c r="M2" s="1989"/>
      <c r="O2" s="1989"/>
      <c r="Q2" s="1989"/>
      <c r="S2" s="253"/>
      <c r="T2" s="253"/>
    </row>
    <row r="3" spans="1:20" s="631" customFormat="1" ht="15" customHeight="1">
      <c r="C3" s="2081"/>
      <c r="E3" s="2081"/>
      <c r="G3" s="2081"/>
      <c r="H3" s="2082"/>
      <c r="I3" s="2081"/>
      <c r="K3" s="2083"/>
      <c r="M3" s="2081"/>
      <c r="O3" s="2081"/>
      <c r="Q3" s="2084" t="s">
        <v>1150</v>
      </c>
      <c r="S3" s="1520"/>
      <c r="T3" s="1520"/>
    </row>
    <row r="4" spans="1:20" s="307" customFormat="1" ht="35.1" customHeight="1">
      <c r="A4" s="1996" t="s">
        <v>1011</v>
      </c>
      <c r="B4" s="1997" t="s">
        <v>1137</v>
      </c>
      <c r="C4" s="1998" t="s">
        <v>31</v>
      </c>
      <c r="D4" s="1999" t="s">
        <v>1138</v>
      </c>
      <c r="E4" s="1998" t="s">
        <v>31</v>
      </c>
      <c r="F4" s="1999" t="s">
        <v>1139</v>
      </c>
      <c r="G4" s="1998" t="s">
        <v>31</v>
      </c>
      <c r="H4" s="2085" t="s">
        <v>1151</v>
      </c>
      <c r="I4" s="2086" t="s">
        <v>31</v>
      </c>
      <c r="J4" s="1644" t="s">
        <v>1141</v>
      </c>
      <c r="K4" s="1998" t="s">
        <v>31</v>
      </c>
      <c r="L4" s="1999" t="s">
        <v>1142</v>
      </c>
      <c r="M4" s="1998" t="s">
        <v>31</v>
      </c>
      <c r="N4" s="1999" t="s">
        <v>1143</v>
      </c>
      <c r="O4" s="1998" t="s">
        <v>31</v>
      </c>
      <c r="P4" s="1997" t="s">
        <v>161</v>
      </c>
      <c r="Q4" s="2087" t="s">
        <v>31</v>
      </c>
      <c r="S4" s="2088"/>
      <c r="T4" s="2088"/>
    </row>
    <row r="5" spans="1:20" s="2004" customFormat="1" ht="24.95" customHeight="1">
      <c r="A5" s="1677">
        <v>2011</v>
      </c>
      <c r="B5" s="1474">
        <v>7621964.0920000002</v>
      </c>
      <c r="C5" s="1955">
        <v>0.62309999999999999</v>
      </c>
      <c r="D5" s="437">
        <v>10118763.673</v>
      </c>
      <c r="E5" s="1955">
        <v>4.9976000000000003</v>
      </c>
      <c r="F5" s="437">
        <v>712750.75</v>
      </c>
      <c r="G5" s="1955">
        <v>9.6435999999999993</v>
      </c>
      <c r="H5" s="437">
        <v>20428280.261</v>
      </c>
      <c r="I5" s="1955">
        <v>14.568199999999999</v>
      </c>
      <c r="J5" s="437">
        <v>479851.32</v>
      </c>
      <c r="K5" s="1955">
        <v>5.8804999999999996</v>
      </c>
      <c r="L5" s="437">
        <v>274238.52600000001</v>
      </c>
      <c r="M5" s="1955">
        <v>9.6912000000000003</v>
      </c>
      <c r="N5" s="437">
        <v>1011202.798</v>
      </c>
      <c r="O5" s="2052">
        <v>1.7074</v>
      </c>
      <c r="P5" s="2089">
        <v>40647051.420999996</v>
      </c>
      <c r="Q5" s="2003">
        <v>8.7108000000000008</v>
      </c>
    </row>
    <row r="6" spans="1:20" s="2004" customFormat="1" ht="24.95" customHeight="1">
      <c r="A6" s="1677">
        <v>2012</v>
      </c>
      <c r="B6" s="1474">
        <v>8099666.2240000004</v>
      </c>
      <c r="C6" s="1955">
        <v>6.2674000000000003</v>
      </c>
      <c r="D6" s="437">
        <v>11428849.503</v>
      </c>
      <c r="E6" s="1955">
        <v>12.947100000000001</v>
      </c>
      <c r="F6" s="437">
        <v>855546.88300000003</v>
      </c>
      <c r="G6" s="1955">
        <v>20.034500000000001</v>
      </c>
      <c r="H6" s="437">
        <v>23959881.861000001</v>
      </c>
      <c r="I6" s="1955">
        <v>17.287800000000001</v>
      </c>
      <c r="J6" s="437">
        <v>548102.42700000003</v>
      </c>
      <c r="K6" s="1955">
        <v>14.2234</v>
      </c>
      <c r="L6" s="437">
        <v>312298.56699999998</v>
      </c>
      <c r="M6" s="1955">
        <v>13.878399999999999</v>
      </c>
      <c r="N6" s="437">
        <v>1033474.501</v>
      </c>
      <c r="O6" s="2052">
        <v>2.2025000000000001</v>
      </c>
      <c r="P6" s="2089">
        <v>46237819.965000004</v>
      </c>
      <c r="Q6" s="2003">
        <v>13.7544</v>
      </c>
    </row>
    <row r="7" spans="1:20" s="2004" customFormat="1" ht="24.95" customHeight="1">
      <c r="A7" s="1677">
        <v>2013</v>
      </c>
      <c r="B7" s="2090">
        <v>8359482.1430000002</v>
      </c>
      <c r="C7" s="1955">
        <v>3.2077</v>
      </c>
      <c r="D7" s="437">
        <v>12466201.558</v>
      </c>
      <c r="E7" s="1955">
        <v>9.0765999999999991</v>
      </c>
      <c r="F7" s="437">
        <v>921824.18599999999</v>
      </c>
      <c r="G7" s="1955">
        <v>7.7468000000000004</v>
      </c>
      <c r="H7" s="437">
        <v>26723313.243999999</v>
      </c>
      <c r="I7" s="1955">
        <v>11.5336</v>
      </c>
      <c r="J7" s="437">
        <v>630970.91299999994</v>
      </c>
      <c r="K7" s="1955">
        <v>15.119199999999999</v>
      </c>
      <c r="L7" s="437">
        <v>338753.96399999998</v>
      </c>
      <c r="M7" s="1955">
        <v>8.4711999999999996</v>
      </c>
      <c r="N7" s="437">
        <v>1047827.078</v>
      </c>
      <c r="O7" s="2003">
        <v>1.3888</v>
      </c>
      <c r="P7" s="2091">
        <v>50488373.086000003</v>
      </c>
      <c r="Q7" s="2003">
        <v>9.1928000000000001</v>
      </c>
    </row>
    <row r="8" spans="1:20" s="2004" customFormat="1" ht="24.95" customHeight="1">
      <c r="A8" s="1677">
        <v>2014</v>
      </c>
      <c r="B8" s="2090">
        <v>8066376.7070000004</v>
      </c>
      <c r="C8" s="1955">
        <v>-3.5063</v>
      </c>
      <c r="D8" s="437">
        <v>13073321.415999999</v>
      </c>
      <c r="E8" s="1955">
        <v>4.8700999999999999</v>
      </c>
      <c r="F8" s="437">
        <v>849078.68700000003</v>
      </c>
      <c r="G8" s="1955">
        <v>-7.8914999999999997</v>
      </c>
      <c r="H8" s="437">
        <v>29116998.686000001</v>
      </c>
      <c r="I8" s="1955">
        <v>8.9573</v>
      </c>
      <c r="J8" s="437">
        <v>686214.23300000001</v>
      </c>
      <c r="K8" s="1955">
        <v>8.7553000000000001</v>
      </c>
      <c r="L8" s="437">
        <v>365234.26199999999</v>
      </c>
      <c r="M8" s="1955">
        <v>7.8170000000000002</v>
      </c>
      <c r="N8" s="437">
        <v>986847.39899999998</v>
      </c>
      <c r="O8" s="2003">
        <v>-5.8196000000000003</v>
      </c>
      <c r="P8" s="2091">
        <v>53144071.390000001</v>
      </c>
      <c r="Q8" s="2003">
        <v>5.26</v>
      </c>
    </row>
    <row r="9" spans="1:20" s="2004" customFormat="1" ht="24.95" customHeight="1">
      <c r="A9" s="1677">
        <v>2015</v>
      </c>
      <c r="B9" s="2090">
        <v>8116164.9900000002</v>
      </c>
      <c r="C9" s="1955">
        <v>0.61719999999999997</v>
      </c>
      <c r="D9" s="437">
        <v>13526415.516000001</v>
      </c>
      <c r="E9" s="1955">
        <v>3.4658000000000002</v>
      </c>
      <c r="F9" s="437">
        <v>870691.76899999997</v>
      </c>
      <c r="G9" s="1955">
        <v>2.5455000000000001</v>
      </c>
      <c r="H9" s="437">
        <v>29382565.881000001</v>
      </c>
      <c r="I9" s="1955">
        <v>0.91210000000000002</v>
      </c>
      <c r="J9" s="437">
        <v>742907.23300000001</v>
      </c>
      <c r="K9" s="1955">
        <v>8.2616999999999994</v>
      </c>
      <c r="L9" s="437">
        <v>378803.70699999999</v>
      </c>
      <c r="M9" s="1955">
        <v>3.7153</v>
      </c>
      <c r="N9" s="437">
        <v>946136.97100000002</v>
      </c>
      <c r="O9" s="2003">
        <v>-4.1253000000000002</v>
      </c>
      <c r="P9" s="2091">
        <v>53963686.067000002</v>
      </c>
      <c r="Q9" s="2003">
        <v>1.5423</v>
      </c>
    </row>
    <row r="10" spans="1:20" s="2004" customFormat="1" ht="24.95" customHeight="1">
      <c r="A10" s="1677">
        <v>2016</v>
      </c>
      <c r="B10" s="1474">
        <v>8270443.2589999996</v>
      </c>
      <c r="C10" s="1955">
        <v>1.9009</v>
      </c>
      <c r="D10" s="437">
        <v>14164678.060000001</v>
      </c>
      <c r="E10" s="1955">
        <v>4.7186000000000003</v>
      </c>
      <c r="F10" s="437">
        <v>900914.37199999997</v>
      </c>
      <c r="G10" s="1955">
        <v>3.4710999999999999</v>
      </c>
      <c r="H10" s="437">
        <v>29866595.241999999</v>
      </c>
      <c r="I10" s="1955">
        <v>1.6473</v>
      </c>
      <c r="J10" s="437">
        <v>786031.60199999996</v>
      </c>
      <c r="K10" s="1955">
        <v>5.8048000000000002</v>
      </c>
      <c r="L10" s="437">
        <v>392456.59700000001</v>
      </c>
      <c r="M10" s="1955">
        <v>3.6042000000000001</v>
      </c>
      <c r="N10" s="437">
        <v>906403.93</v>
      </c>
      <c r="O10" s="2003">
        <v>-4.1994999999999996</v>
      </c>
      <c r="P10" s="2090">
        <v>55287523.060000002</v>
      </c>
      <c r="Q10" s="2003">
        <v>2.4531999999999998</v>
      </c>
    </row>
    <row r="11" spans="1:20" s="2012" customFormat="1" ht="24.95" customHeight="1">
      <c r="A11" s="1677">
        <v>2017</v>
      </c>
      <c r="B11" s="2090">
        <v>7437258.8269999996</v>
      </c>
      <c r="C11" s="1955">
        <v>-10.074199999999999</v>
      </c>
      <c r="D11" s="437">
        <v>14515430.182</v>
      </c>
      <c r="E11" s="1955">
        <v>2.4762</v>
      </c>
      <c r="F11" s="437">
        <v>857124.03700000001</v>
      </c>
      <c r="G11" s="1955">
        <v>-4.8606999999999996</v>
      </c>
      <c r="H11" s="437">
        <v>30715446.368000001</v>
      </c>
      <c r="I11" s="1955">
        <v>2.8420999999999998</v>
      </c>
      <c r="J11" s="437">
        <v>820634.50399999996</v>
      </c>
      <c r="K11" s="1955">
        <v>4.4021999999999997</v>
      </c>
      <c r="L11" s="437">
        <v>403630.97399999999</v>
      </c>
      <c r="M11" s="1955">
        <v>2.8473000000000002</v>
      </c>
      <c r="N11" s="437">
        <v>864485.91799999995</v>
      </c>
      <c r="O11" s="2003">
        <v>-4.6246999999999998</v>
      </c>
      <c r="P11" s="2091">
        <v>55614010.810000002</v>
      </c>
      <c r="Q11" s="2003">
        <v>0.59050000000000002</v>
      </c>
    </row>
    <row r="12" spans="1:20" s="2012" customFormat="1" ht="24.95" customHeight="1">
      <c r="A12" s="1677">
        <v>2018</v>
      </c>
      <c r="B12" s="2090">
        <v>7790409.2589999996</v>
      </c>
      <c r="C12" s="1955">
        <v>4.7484000000000002</v>
      </c>
      <c r="D12" s="437">
        <v>15198335.856000001</v>
      </c>
      <c r="E12" s="1955">
        <v>4.7046999999999999</v>
      </c>
      <c r="F12" s="437">
        <v>903498.21699999995</v>
      </c>
      <c r="G12" s="1955">
        <v>5.4104000000000001</v>
      </c>
      <c r="H12" s="437">
        <v>31191485.295000002</v>
      </c>
      <c r="I12" s="1955">
        <v>1.5498000000000001</v>
      </c>
      <c r="J12" s="437">
        <v>877588.27800000005</v>
      </c>
      <c r="K12" s="1955">
        <v>6.9401999999999999</v>
      </c>
      <c r="L12" s="437">
        <v>407555.74800000002</v>
      </c>
      <c r="M12" s="1955">
        <v>0.97240000000000004</v>
      </c>
      <c r="N12" s="437">
        <v>848713.53300000005</v>
      </c>
      <c r="O12" s="2003">
        <v>-1.8245</v>
      </c>
      <c r="P12" s="2091">
        <v>57217586.406000003</v>
      </c>
      <c r="Q12" s="2003">
        <v>2.8834</v>
      </c>
    </row>
    <row r="13" spans="1:20" s="2012" customFormat="1" ht="24.95" customHeight="1">
      <c r="A13" s="1677">
        <v>2019</v>
      </c>
      <c r="B13" s="2090">
        <v>7623684.7029999997</v>
      </c>
      <c r="C13" s="1955">
        <v>-2.1400999999999999</v>
      </c>
      <c r="D13" s="437">
        <v>15147479.418</v>
      </c>
      <c r="E13" s="1955">
        <v>-0.33460000000000001</v>
      </c>
      <c r="F13" s="437">
        <v>889053.06700000004</v>
      </c>
      <c r="G13" s="1955">
        <v>-1.5988</v>
      </c>
      <c r="H13" s="437">
        <v>30821348.916999999</v>
      </c>
      <c r="I13" s="1955">
        <v>-1.1867000000000001</v>
      </c>
      <c r="J13" s="437">
        <v>901438.826</v>
      </c>
      <c r="K13" s="1955">
        <v>2.7176999999999998</v>
      </c>
      <c r="L13" s="437">
        <v>406828.84399999998</v>
      </c>
      <c r="M13" s="1955">
        <v>-0.1784</v>
      </c>
      <c r="N13" s="437">
        <v>766666.51699999999</v>
      </c>
      <c r="O13" s="2003">
        <v>-9.6671999999999993</v>
      </c>
      <c r="P13" s="2091">
        <v>56556500.292000003</v>
      </c>
      <c r="Q13" s="2003">
        <v>-1.1554</v>
      </c>
    </row>
    <row r="14" spans="1:20" s="2012" customFormat="1" ht="24.95" customHeight="1">
      <c r="A14" s="1677">
        <v>2020</v>
      </c>
      <c r="B14" s="2090">
        <v>8232506.608</v>
      </c>
      <c r="C14" s="1955">
        <v>7.9859</v>
      </c>
      <c r="D14" s="437">
        <v>14955272.458000001</v>
      </c>
      <c r="E14" s="1955">
        <v>-1.2688999999999999</v>
      </c>
      <c r="F14" s="437">
        <v>781516.14899999998</v>
      </c>
      <c r="G14" s="1955">
        <v>-12.095700000000001</v>
      </c>
      <c r="H14" s="437">
        <v>29914726.353</v>
      </c>
      <c r="I14" s="1955">
        <v>-2.9415</v>
      </c>
      <c r="J14" s="437">
        <v>921881.23</v>
      </c>
      <c r="K14" s="1955">
        <v>2.2677999999999998</v>
      </c>
      <c r="L14" s="437">
        <v>401011.73300000001</v>
      </c>
      <c r="M14" s="1955">
        <v>-1.4298999999999999</v>
      </c>
      <c r="N14" s="437">
        <v>711663.81499999994</v>
      </c>
      <c r="O14" s="2003">
        <v>-7.1742999999999997</v>
      </c>
      <c r="P14" s="2091">
        <v>55918578.344999999</v>
      </c>
      <c r="Q14" s="2003">
        <v>-1.1278999999999999</v>
      </c>
    </row>
    <row r="15" spans="1:20" s="2012" customFormat="1" ht="24.95" customHeight="1">
      <c r="A15" s="1778">
        <v>2021</v>
      </c>
      <c r="B15" s="2092">
        <v>8723165.5930000003</v>
      </c>
      <c r="C15" s="2060">
        <v>5.96</v>
      </c>
      <c r="D15" s="2093">
        <v>15358188.585000001</v>
      </c>
      <c r="E15" s="2060">
        <v>2.6941000000000002</v>
      </c>
      <c r="F15" s="2093">
        <v>856494.47600000002</v>
      </c>
      <c r="G15" s="2060">
        <v>9.5939999999999994</v>
      </c>
      <c r="H15" s="2093">
        <v>30730573.149</v>
      </c>
      <c r="I15" s="2060">
        <v>2.7271999999999998</v>
      </c>
      <c r="J15" s="2093">
        <v>946732.375</v>
      </c>
      <c r="K15" s="2060">
        <v>2.6957</v>
      </c>
      <c r="L15" s="2093">
        <v>389133.67700000003</v>
      </c>
      <c r="M15" s="2060">
        <v>-2.9620000000000002</v>
      </c>
      <c r="N15" s="2093">
        <v>667199.674</v>
      </c>
      <c r="O15" s="2062">
        <v>-6.2478999999999996</v>
      </c>
      <c r="P15" s="2094">
        <v>57671487.527999997</v>
      </c>
      <c r="Q15" s="2062">
        <v>3.1347999999999998</v>
      </c>
    </row>
    <row r="16" spans="1:20" s="2012" customFormat="1" ht="24.95" customHeight="1">
      <c r="A16" s="1782" t="s">
        <v>795</v>
      </c>
      <c r="B16" s="2095">
        <v>8723165.5930000003</v>
      </c>
      <c r="C16" s="2096">
        <v>5.96</v>
      </c>
      <c r="D16" s="2097">
        <v>15358188.585000001</v>
      </c>
      <c r="E16" s="2096">
        <v>2.6941000000000002</v>
      </c>
      <c r="F16" s="2097">
        <v>856494.47600000002</v>
      </c>
      <c r="G16" s="2096">
        <v>9.5939999999999994</v>
      </c>
      <c r="H16" s="2097">
        <v>30730573.149</v>
      </c>
      <c r="I16" s="2096">
        <v>2.7271999999999998</v>
      </c>
      <c r="J16" s="2097">
        <v>946732.375</v>
      </c>
      <c r="K16" s="2098">
        <v>2.6957</v>
      </c>
      <c r="L16" s="2097">
        <v>389133.67700000003</v>
      </c>
      <c r="M16" s="2096">
        <v>-2.9620000000000002</v>
      </c>
      <c r="N16" s="2097">
        <v>667199.674</v>
      </c>
      <c r="O16" s="2099">
        <v>-6.2478999999999996</v>
      </c>
      <c r="P16" s="2095">
        <v>57671487.527999997</v>
      </c>
      <c r="Q16" s="2099">
        <v>3.1347999999999998</v>
      </c>
    </row>
    <row r="17" spans="1:20" s="2012" customFormat="1" ht="24.95" customHeight="1">
      <c r="A17" s="1507">
        <v>2021.12</v>
      </c>
      <c r="B17" s="2100">
        <v>716612.45700000005</v>
      </c>
      <c r="C17" s="2101">
        <v>1.6253</v>
      </c>
      <c r="D17" s="1487">
        <v>1477543.122</v>
      </c>
      <c r="E17" s="2101">
        <v>8.0246999999999993</v>
      </c>
      <c r="F17" s="1487">
        <v>93121.349000000002</v>
      </c>
      <c r="G17" s="2101">
        <v>6.7778</v>
      </c>
      <c r="H17" s="1487">
        <v>2969009.4019999998</v>
      </c>
      <c r="I17" s="2101">
        <v>5.1791999999999998</v>
      </c>
      <c r="J17" s="1487">
        <v>87550.258000000002</v>
      </c>
      <c r="K17" s="2102">
        <v>5.0311000000000003</v>
      </c>
      <c r="L17" s="1487">
        <v>34328.745000000003</v>
      </c>
      <c r="M17" s="2101">
        <v>-0.33379999999999999</v>
      </c>
      <c r="N17" s="1487">
        <v>91244.258000000002</v>
      </c>
      <c r="O17" s="2103">
        <v>-6.4085999999999999</v>
      </c>
      <c r="P17" s="2100">
        <v>5469409.5899999999</v>
      </c>
      <c r="Q17" s="2103">
        <v>5.2164000000000001</v>
      </c>
    </row>
    <row r="18" spans="1:20" s="2012" customFormat="1" ht="24.95" customHeight="1">
      <c r="A18" s="1751" t="s">
        <v>796</v>
      </c>
      <c r="B18" s="2095">
        <v>9826366.4120000005</v>
      </c>
      <c r="C18" s="2096">
        <v>12.646800000000001</v>
      </c>
      <c r="D18" s="2097">
        <v>17692429.103</v>
      </c>
      <c r="E18" s="2096">
        <v>15.198700000000001</v>
      </c>
      <c r="F18" s="2097">
        <v>1012042.827</v>
      </c>
      <c r="G18" s="2096">
        <v>18.161000000000001</v>
      </c>
      <c r="H18" s="2097">
        <v>35127215.030000001</v>
      </c>
      <c r="I18" s="2096">
        <v>14.3071</v>
      </c>
      <c r="J18" s="2097">
        <v>1218629.254</v>
      </c>
      <c r="K18" s="2098">
        <v>28.7195</v>
      </c>
      <c r="L18" s="2097">
        <v>426407.864</v>
      </c>
      <c r="M18" s="2096">
        <v>9.5787999999999993</v>
      </c>
      <c r="N18" s="2097">
        <v>726993.69</v>
      </c>
      <c r="O18" s="2099">
        <v>8.9619</v>
      </c>
      <c r="P18" s="2095">
        <v>66030084.284999996</v>
      </c>
      <c r="Q18" s="2099">
        <v>14.493499999999999</v>
      </c>
    </row>
    <row r="19" spans="1:20" s="2012" customFormat="1" ht="24.95" customHeight="1">
      <c r="A19" s="1507">
        <v>2022.01</v>
      </c>
      <c r="B19" s="2100">
        <v>844730.08100000001</v>
      </c>
      <c r="C19" s="2101">
        <v>1.1214</v>
      </c>
      <c r="D19" s="1487">
        <v>1545238.4310000001</v>
      </c>
      <c r="E19" s="2101">
        <v>4.8146000000000004</v>
      </c>
      <c r="F19" s="1487">
        <v>99652.77</v>
      </c>
      <c r="G19" s="2101">
        <v>7.9566999999999997</v>
      </c>
      <c r="H19" s="1487">
        <v>2965453.57</v>
      </c>
      <c r="I19" s="2101">
        <v>6.3451000000000004</v>
      </c>
      <c r="J19" s="1487">
        <v>103974.111</v>
      </c>
      <c r="K19" s="2102">
        <v>11.1965</v>
      </c>
      <c r="L19" s="1487">
        <v>35536.815999999999</v>
      </c>
      <c r="M19" s="2101">
        <v>2.3132000000000001</v>
      </c>
      <c r="N19" s="1487">
        <v>121807.54700000001</v>
      </c>
      <c r="O19" s="2103">
        <v>-5.4817999999999998</v>
      </c>
      <c r="P19" s="2100">
        <v>5716393.3329999996</v>
      </c>
      <c r="Q19" s="2103">
        <v>4.9349999999999996</v>
      </c>
    </row>
    <row r="20" spans="1:20" s="2012" customFormat="1" ht="24.95" customHeight="1">
      <c r="A20" s="1507">
        <v>2022.02</v>
      </c>
      <c r="B20" s="2100">
        <v>839720.70400000003</v>
      </c>
      <c r="C20" s="2101">
        <v>7.1238000000000001</v>
      </c>
      <c r="D20" s="1487">
        <v>1545714.85</v>
      </c>
      <c r="E20" s="2101">
        <v>9.5509000000000004</v>
      </c>
      <c r="F20" s="1487">
        <v>88040.676999999996</v>
      </c>
      <c r="G20" s="2101">
        <v>8.9100999999999999</v>
      </c>
      <c r="H20" s="1487">
        <v>2740383.9139999999</v>
      </c>
      <c r="I20" s="2101">
        <v>6.5872000000000002</v>
      </c>
      <c r="J20" s="1487">
        <v>105045.186</v>
      </c>
      <c r="K20" s="2102">
        <v>15.9856</v>
      </c>
      <c r="L20" s="1487">
        <v>35110.720999999998</v>
      </c>
      <c r="M20" s="2101">
        <v>2.7818000000000001</v>
      </c>
      <c r="N20" s="1487">
        <v>124376.113</v>
      </c>
      <c r="O20" s="2103">
        <v>2.7599</v>
      </c>
      <c r="P20" s="2100">
        <v>5478392.1730000004</v>
      </c>
      <c r="Q20" s="2103">
        <v>7.5785</v>
      </c>
    </row>
    <row r="21" spans="1:20" s="2012" customFormat="1" ht="24.95" customHeight="1">
      <c r="A21" s="1507">
        <v>2022.03</v>
      </c>
      <c r="B21" s="2100">
        <v>680388.92299999995</v>
      </c>
      <c r="C21" s="2101">
        <v>12.797000000000001</v>
      </c>
      <c r="D21" s="1487">
        <v>1246201.3060000001</v>
      </c>
      <c r="E21" s="2101">
        <v>11.3103</v>
      </c>
      <c r="F21" s="1487">
        <v>81574.937000000005</v>
      </c>
      <c r="G21" s="2101">
        <v>14.4443</v>
      </c>
      <c r="H21" s="1487">
        <v>2395279.3969999999</v>
      </c>
      <c r="I21" s="2101">
        <v>6.8061999999999996</v>
      </c>
      <c r="J21" s="1487">
        <v>91335.145999999993</v>
      </c>
      <c r="K21" s="2102">
        <v>17.9573</v>
      </c>
      <c r="L21" s="1487">
        <v>32758.449000000001</v>
      </c>
      <c r="M21" s="2101">
        <v>2.4037999999999999</v>
      </c>
      <c r="N21" s="1487">
        <v>86340.985000000001</v>
      </c>
      <c r="O21" s="2103">
        <v>8.9616000000000007</v>
      </c>
      <c r="P21" s="2100">
        <v>4613879.1540000001</v>
      </c>
      <c r="Q21" s="2103">
        <v>9.1951999999999998</v>
      </c>
    </row>
    <row r="22" spans="1:20" s="2012" customFormat="1" ht="24.95" customHeight="1">
      <c r="A22" s="1507">
        <v>2022.04</v>
      </c>
      <c r="B22" s="2100">
        <v>709902.70600000001</v>
      </c>
      <c r="C22" s="2101">
        <v>12.2041</v>
      </c>
      <c r="D22" s="1487">
        <v>1120872.8019999999</v>
      </c>
      <c r="E22" s="2101">
        <v>12.607900000000001</v>
      </c>
      <c r="F22" s="1487">
        <v>67961.237999999998</v>
      </c>
      <c r="G22" s="2101">
        <v>21.055099999999999</v>
      </c>
      <c r="H22" s="1487">
        <v>2461663.7799999998</v>
      </c>
      <c r="I22" s="2101">
        <v>12.3986</v>
      </c>
      <c r="J22" s="1487">
        <v>86492.407000000007</v>
      </c>
      <c r="K22" s="2102">
        <v>20.792200000000001</v>
      </c>
      <c r="L22" s="1487">
        <v>34286.906999999999</v>
      </c>
      <c r="M22" s="2101">
        <v>4.7958999999999996</v>
      </c>
      <c r="N22" s="1487">
        <v>56709.216999999997</v>
      </c>
      <c r="O22" s="2103">
        <v>15.2845</v>
      </c>
      <c r="P22" s="2100">
        <v>4537889.0650000004</v>
      </c>
      <c r="Q22" s="2103">
        <v>12.6631</v>
      </c>
    </row>
    <row r="23" spans="1:20" s="2012" customFormat="1" ht="24.95" customHeight="1">
      <c r="A23" s="1507">
        <v>2022.05</v>
      </c>
      <c r="B23" s="2100">
        <v>648211.12699999998</v>
      </c>
      <c r="C23" s="2101">
        <v>12.219900000000001</v>
      </c>
      <c r="D23" s="1487">
        <v>1119359.5220000001</v>
      </c>
      <c r="E23" s="2101">
        <v>16.053899999999999</v>
      </c>
      <c r="F23" s="1487">
        <v>54796.044999999998</v>
      </c>
      <c r="G23" s="2101">
        <v>16.853999999999999</v>
      </c>
      <c r="H23" s="1487">
        <v>2480253.111</v>
      </c>
      <c r="I23" s="2101">
        <v>15.048999999999999</v>
      </c>
      <c r="J23" s="1487">
        <v>80952.622000000003</v>
      </c>
      <c r="K23" s="2102">
        <v>28.2456</v>
      </c>
      <c r="L23" s="1487">
        <v>34123.766000000003</v>
      </c>
      <c r="M23" s="2101">
        <v>8.5457000000000001</v>
      </c>
      <c r="N23" s="1487">
        <v>36569.313000000002</v>
      </c>
      <c r="O23" s="2103">
        <v>5.7695999999999996</v>
      </c>
      <c r="P23" s="2100">
        <v>4454265.5149999997</v>
      </c>
      <c r="Q23" s="2103">
        <v>14.9786</v>
      </c>
    </row>
    <row r="24" spans="1:20" s="2012" customFormat="1" ht="24.95" customHeight="1">
      <c r="A24" s="1507">
        <v>2022.06</v>
      </c>
      <c r="B24" s="2100">
        <v>689433.14399999997</v>
      </c>
      <c r="C24" s="2101">
        <v>11.3063</v>
      </c>
      <c r="D24" s="1487">
        <v>1389696.8259999999</v>
      </c>
      <c r="E24" s="2101">
        <v>12.6401</v>
      </c>
      <c r="F24" s="1487">
        <v>76141.437999999995</v>
      </c>
      <c r="G24" s="2101">
        <v>14.3111</v>
      </c>
      <c r="H24" s="1487">
        <v>2946972.4279999998</v>
      </c>
      <c r="I24" s="2101">
        <v>6.6951000000000001</v>
      </c>
      <c r="J24" s="1487">
        <v>85572.388999999996</v>
      </c>
      <c r="K24" s="2102">
        <v>33.803100000000001</v>
      </c>
      <c r="L24" s="1487">
        <v>33631.94</v>
      </c>
      <c r="M24" s="2101">
        <v>8.9339999999999993</v>
      </c>
      <c r="N24" s="1487">
        <v>27933.983</v>
      </c>
      <c r="O24" s="2103">
        <v>2.3492999999999999</v>
      </c>
      <c r="P24" s="2100">
        <v>5249382.1569999997</v>
      </c>
      <c r="Q24" s="2103">
        <v>9.2727000000000004</v>
      </c>
    </row>
    <row r="25" spans="1:20" s="2012" customFormat="1" ht="24.95" customHeight="1">
      <c r="A25" s="1507">
        <v>2022.07</v>
      </c>
      <c r="B25" s="2100">
        <v>959268.49100000004</v>
      </c>
      <c r="C25" s="2101">
        <v>27.866800000000001</v>
      </c>
      <c r="D25" s="1487">
        <v>1825567.2220000001</v>
      </c>
      <c r="E25" s="2101">
        <v>19.892399999999999</v>
      </c>
      <c r="F25" s="1487">
        <v>100603.834</v>
      </c>
      <c r="G25" s="2101">
        <v>24.183800000000002</v>
      </c>
      <c r="H25" s="1487">
        <v>3390630.7089999998</v>
      </c>
      <c r="I25" s="2101">
        <v>14.1389</v>
      </c>
      <c r="J25" s="1487">
        <v>99073.601999999999</v>
      </c>
      <c r="K25" s="2102">
        <v>42.14</v>
      </c>
      <c r="L25" s="1487">
        <v>33980.019</v>
      </c>
      <c r="M25" s="2101">
        <v>12.4549</v>
      </c>
      <c r="N25" s="1487">
        <v>28290.616000000002</v>
      </c>
      <c r="O25" s="2103">
        <v>19.679300000000001</v>
      </c>
      <c r="P25" s="2100">
        <v>6437414.5020000003</v>
      </c>
      <c r="Q25" s="2103">
        <v>18.159600000000001</v>
      </c>
    </row>
    <row r="26" spans="1:20" s="2012" customFormat="1" ht="24.95" customHeight="1">
      <c r="A26" s="1507">
        <v>2022.08</v>
      </c>
      <c r="B26" s="2100">
        <v>1161325.1950000001</v>
      </c>
      <c r="C26" s="2101">
        <v>3.3439999999999999</v>
      </c>
      <c r="D26" s="1487">
        <v>1938027.575</v>
      </c>
      <c r="E26" s="2101">
        <v>17.372900000000001</v>
      </c>
      <c r="F26" s="1487">
        <v>93345.785000000003</v>
      </c>
      <c r="G26" s="2101">
        <v>22.928699999999999</v>
      </c>
      <c r="H26" s="1487">
        <v>3295864.2209999999</v>
      </c>
      <c r="I26" s="2101">
        <v>17.4495</v>
      </c>
      <c r="J26" s="1487">
        <v>114354.469</v>
      </c>
      <c r="K26" s="2102">
        <v>30.7529</v>
      </c>
      <c r="L26" s="1487">
        <v>34501.737000000001</v>
      </c>
      <c r="M26" s="2101">
        <v>11.443</v>
      </c>
      <c r="N26" s="1487">
        <v>26660.422999999999</v>
      </c>
      <c r="O26" s="2103">
        <v>27.56</v>
      </c>
      <c r="P26" s="2100">
        <v>6664079.415</v>
      </c>
      <c r="Q26" s="2103">
        <v>14.969900000000001</v>
      </c>
    </row>
    <row r="27" spans="1:20" s="2012" customFormat="1" ht="24.95" customHeight="1">
      <c r="A27" s="1507">
        <v>2022.09</v>
      </c>
      <c r="B27" s="2100">
        <v>904150.51300000004</v>
      </c>
      <c r="C27" s="2101">
        <v>19.8598</v>
      </c>
      <c r="D27" s="1487">
        <v>1520629.3359999999</v>
      </c>
      <c r="E27" s="2101">
        <v>19.648</v>
      </c>
      <c r="F27" s="1487">
        <v>82162.47</v>
      </c>
      <c r="G27" s="2101">
        <v>23.786200000000001</v>
      </c>
      <c r="H27" s="1487">
        <v>2607949.5049999999</v>
      </c>
      <c r="I27" s="2101">
        <v>14.4208</v>
      </c>
      <c r="J27" s="1487">
        <v>107188.90700000001</v>
      </c>
      <c r="K27" s="2102">
        <v>30.945799999999998</v>
      </c>
      <c r="L27" s="1487">
        <v>35315.171000000002</v>
      </c>
      <c r="M27" s="2101">
        <v>13.241400000000001</v>
      </c>
      <c r="N27" s="1487">
        <v>23869.850999999999</v>
      </c>
      <c r="O27" s="2103">
        <v>20.734999999999999</v>
      </c>
      <c r="P27" s="2100">
        <v>5281265.7620000001</v>
      </c>
      <c r="Q27" s="2103">
        <v>17.264800000000001</v>
      </c>
    </row>
    <row r="28" spans="1:20" s="2012" customFormat="1" ht="24.95" customHeight="1">
      <c r="A28" s="1507">
        <v>2022.1</v>
      </c>
      <c r="B28" s="2100">
        <v>743711.74300000002</v>
      </c>
      <c r="C28" s="2101">
        <v>13.875999999999999</v>
      </c>
      <c r="D28" s="1487">
        <v>1260874.0900000001</v>
      </c>
      <c r="E28" s="2101">
        <v>20.901</v>
      </c>
      <c r="F28" s="1487">
        <v>66860.936000000002</v>
      </c>
      <c r="G28" s="2101">
        <v>23.3201</v>
      </c>
      <c r="H28" s="1487">
        <v>2845777.7540000002</v>
      </c>
      <c r="I28" s="2101">
        <v>28.034199999999998</v>
      </c>
      <c r="J28" s="1487">
        <v>95894.683999999994</v>
      </c>
      <c r="K28" s="2102">
        <v>29.572900000000001</v>
      </c>
      <c r="L28" s="1487">
        <v>37014.947999999997</v>
      </c>
      <c r="M28" s="2101">
        <v>13.652100000000001</v>
      </c>
      <c r="N28" s="1487">
        <v>28002.475999999999</v>
      </c>
      <c r="O28" s="2103">
        <v>34.765900000000002</v>
      </c>
      <c r="P28" s="2100">
        <v>5078136.6399999997</v>
      </c>
      <c r="Q28" s="2103">
        <v>23.85</v>
      </c>
    </row>
    <row r="29" spans="1:20" s="2012" customFormat="1" ht="24.95" customHeight="1">
      <c r="A29" s="1507">
        <v>2022.11</v>
      </c>
      <c r="B29" s="2100">
        <v>787796.08</v>
      </c>
      <c r="C29" s="2101">
        <v>17.055299999999999</v>
      </c>
      <c r="D29" s="1487">
        <v>1431452.594</v>
      </c>
      <c r="E29" s="2101">
        <v>19.831700000000001</v>
      </c>
      <c r="F29" s="1487">
        <v>82840.144</v>
      </c>
      <c r="G29" s="2101">
        <v>15.43</v>
      </c>
      <c r="H29" s="1487">
        <v>3403987.4419999998</v>
      </c>
      <c r="I29" s="2101">
        <v>22.770600000000002</v>
      </c>
      <c r="J29" s="1487">
        <v>125614.577</v>
      </c>
      <c r="K29" s="2102">
        <v>46.110500000000002</v>
      </c>
      <c r="L29" s="1487">
        <v>39943.714</v>
      </c>
      <c r="M29" s="2101">
        <v>17.6099</v>
      </c>
      <c r="N29" s="1487">
        <v>60070.521999999997</v>
      </c>
      <c r="O29" s="2103">
        <v>18.571300000000001</v>
      </c>
      <c r="P29" s="2100">
        <v>5931705.0820000004</v>
      </c>
      <c r="Q29" s="2103">
        <v>21.487400000000001</v>
      </c>
    </row>
    <row r="30" spans="1:20" s="2012" customFormat="1" ht="24.95" customHeight="1">
      <c r="A30" s="2068">
        <v>2022.12</v>
      </c>
      <c r="B30" s="2104">
        <v>857727.70400000003</v>
      </c>
      <c r="C30" s="2105">
        <v>19.692</v>
      </c>
      <c r="D30" s="2106">
        <v>1748794.5490000001</v>
      </c>
      <c r="E30" s="2105">
        <v>18.3583</v>
      </c>
      <c r="F30" s="2106">
        <v>118062.552</v>
      </c>
      <c r="G30" s="2105">
        <v>26.7836</v>
      </c>
      <c r="H30" s="2106">
        <v>3592999.2</v>
      </c>
      <c r="I30" s="2105">
        <v>21.0168</v>
      </c>
      <c r="J30" s="2106">
        <v>123131.15300000001</v>
      </c>
      <c r="K30" s="2107">
        <v>40.640500000000003</v>
      </c>
      <c r="L30" s="2106">
        <v>40203.675999999999</v>
      </c>
      <c r="M30" s="2105">
        <v>17.113700000000001</v>
      </c>
      <c r="N30" s="2106">
        <v>106362.644</v>
      </c>
      <c r="O30" s="2108">
        <v>16.569099999999999</v>
      </c>
      <c r="P30" s="2104">
        <v>6587281.4869999997</v>
      </c>
      <c r="Q30" s="2108">
        <v>20.438600000000001</v>
      </c>
      <c r="S30" s="2024"/>
      <c r="T30" s="2109"/>
    </row>
    <row r="31" spans="1:20" s="2012" customFormat="1" ht="3" customHeight="1">
      <c r="A31" s="1975"/>
      <c r="B31" s="1732"/>
      <c r="C31" s="2110"/>
      <c r="D31" s="1732"/>
      <c r="E31" s="2110"/>
      <c r="F31" s="1732"/>
      <c r="G31" s="2110"/>
      <c r="H31" s="1732"/>
      <c r="I31" s="2110"/>
      <c r="J31" s="1732"/>
      <c r="K31" s="2110"/>
      <c r="L31" s="1732"/>
      <c r="M31" s="2110"/>
      <c r="N31" s="1732"/>
      <c r="O31" s="2110"/>
      <c r="P31" s="1732"/>
      <c r="Q31" s="2110"/>
    </row>
    <row r="32" spans="1:20" s="1564" customFormat="1" ht="12" customHeight="1">
      <c r="A32" s="577" t="s">
        <v>1152</v>
      </c>
      <c r="B32" s="2111"/>
      <c r="C32" s="2112"/>
      <c r="D32" s="1949"/>
      <c r="E32" s="2112"/>
      <c r="F32" s="2111"/>
      <c r="G32" s="2112"/>
      <c r="H32" s="2111"/>
      <c r="I32" s="1982"/>
      <c r="J32" s="2111"/>
      <c r="K32" s="2112"/>
      <c r="L32" s="2111"/>
      <c r="M32" s="1982"/>
      <c r="N32" s="577"/>
      <c r="O32" s="1982"/>
      <c r="P32" s="2113"/>
      <c r="Q32" s="2114"/>
      <c r="S32" s="2115"/>
      <c r="T32" s="2115"/>
    </row>
    <row r="33" spans="1:27" s="1564" customFormat="1" ht="9.9499999999999993" customHeight="1">
      <c r="A33" s="631"/>
      <c r="B33" s="2111"/>
      <c r="C33" s="2112"/>
      <c r="D33" s="2111"/>
      <c r="E33" s="2112"/>
      <c r="F33" s="2111"/>
      <c r="G33" s="2112"/>
      <c r="H33" s="2111"/>
      <c r="I33" s="2112"/>
      <c r="J33" s="2111"/>
      <c r="K33" s="2112"/>
      <c r="L33" s="2111"/>
      <c r="M33" s="2112"/>
      <c r="N33" s="2111"/>
      <c r="O33" s="2112"/>
      <c r="P33" s="2113"/>
      <c r="Q33" s="2114"/>
      <c r="S33" s="2115"/>
      <c r="T33" s="2115"/>
    </row>
    <row r="34" spans="1:27" ht="6.75" hidden="1" customHeight="1">
      <c r="A34" s="631"/>
      <c r="B34" s="626"/>
      <c r="C34" s="2076"/>
      <c r="D34" s="305"/>
      <c r="E34" s="2076"/>
      <c r="F34" s="305"/>
      <c r="G34" s="2076"/>
      <c r="H34" s="305"/>
      <c r="I34" s="2076"/>
      <c r="J34" s="305"/>
      <c r="K34" s="2076"/>
      <c r="L34" s="631"/>
      <c r="M34" s="631"/>
      <c r="N34" s="631"/>
      <c r="O34" s="631"/>
      <c r="P34" s="2079"/>
      <c r="Q34" s="2116"/>
      <c r="S34" s="2115"/>
      <c r="T34" s="2115"/>
      <c r="U34" s="1564"/>
      <c r="V34" s="1564"/>
      <c r="W34" s="1564"/>
      <c r="X34" s="1564"/>
      <c r="Y34" s="1564"/>
      <c r="Z34" s="1564"/>
      <c r="AA34" s="1564"/>
    </row>
    <row r="35" spans="1:27" ht="12" customHeight="1">
      <c r="A35" s="634"/>
      <c r="B35" s="626"/>
      <c r="C35" s="2076"/>
      <c r="D35" s="305"/>
      <c r="E35" s="2076"/>
      <c r="F35" s="305"/>
      <c r="G35" s="2076"/>
      <c r="H35" s="305"/>
      <c r="I35" s="2076"/>
      <c r="J35" s="305"/>
      <c r="K35" s="2076"/>
      <c r="L35" s="631"/>
      <c r="M35" s="631"/>
      <c r="N35" s="631"/>
      <c r="O35" s="631"/>
      <c r="P35" s="2079"/>
      <c r="Q35" s="636"/>
      <c r="S35" s="2115"/>
      <c r="T35" s="2115"/>
      <c r="U35" s="1564"/>
      <c r="V35" s="1564"/>
      <c r="W35" s="1564"/>
      <c r="X35" s="1564"/>
      <c r="Y35" s="1564"/>
      <c r="Z35" s="1564"/>
      <c r="AA35" s="1564"/>
    </row>
    <row r="36" spans="1:27" ht="12" customHeight="1">
      <c r="A36" s="309"/>
      <c r="B36" s="250"/>
      <c r="C36" s="2037"/>
      <c r="D36" s="2038"/>
      <c r="E36" s="2037"/>
      <c r="F36" s="250"/>
      <c r="G36" s="2037"/>
      <c r="H36" s="250"/>
      <c r="I36" s="2037"/>
      <c r="J36" s="250"/>
      <c r="K36" s="2037"/>
      <c r="L36" s="250"/>
      <c r="M36" s="309"/>
      <c r="N36" s="250"/>
      <c r="O36" s="309"/>
      <c r="P36" s="557"/>
      <c r="Q36" s="2039"/>
      <c r="S36" s="1564"/>
      <c r="T36" s="1564"/>
      <c r="U36" s="1564"/>
      <c r="V36" s="1564"/>
      <c r="W36" s="1564"/>
      <c r="X36" s="1564"/>
      <c r="Y36" s="1564"/>
      <c r="Z36" s="1564"/>
      <c r="AA36" s="1564"/>
    </row>
  </sheetData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54" orientation="portrait" useFirstPageNumber="1" r:id="rId1"/>
  <headerFooter differentOddEven="1" scaleWithDoc="0" alignWithMargins="0"/>
  <colBreaks count="1" manualBreakCount="1">
    <brk id="9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="70" zoomScaleNormal="100" zoomScaleSheetLayoutView="70" workbookViewId="0">
      <pane xSplit="1" ySplit="5" topLeftCell="B18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2" width="13.25" style="1280" customWidth="1"/>
    <col min="3" max="3" width="7" style="1280" customWidth="1"/>
    <col min="4" max="4" width="13" style="1280" customWidth="1"/>
    <col min="5" max="5" width="7" style="1280" customWidth="1"/>
    <col min="6" max="6" width="13" style="1280" customWidth="1"/>
    <col min="7" max="7" width="7" style="1280" customWidth="1"/>
    <col min="8" max="8" width="13" style="1280" customWidth="1"/>
    <col min="9" max="9" width="7" style="1280" customWidth="1"/>
    <col min="10" max="10" width="12.375" style="1280" customWidth="1"/>
    <col min="11" max="11" width="6.5" style="1280" customWidth="1"/>
    <col min="12" max="12" width="12.125" style="1280" customWidth="1"/>
    <col min="13" max="13" width="6.5" style="1280" customWidth="1"/>
    <col min="14" max="14" width="12.125" style="1280" customWidth="1"/>
    <col min="15" max="15" width="6.5" style="1280" customWidth="1"/>
    <col min="16" max="16" width="12.125" style="1280" customWidth="1"/>
    <col min="17" max="17" width="6.5" style="1280" customWidth="1"/>
    <col min="18" max="18" width="12.125" style="1665" customWidth="1"/>
    <col min="19" max="19" width="6.5" style="1280" customWidth="1"/>
    <col min="20" max="20" width="10" style="1280" customWidth="1"/>
    <col min="21" max="21" width="5.875" style="1280" bestFit="1" customWidth="1"/>
    <col min="22" max="22" width="7.875" style="1280" customWidth="1"/>
    <col min="23" max="23" width="5.875" style="1280" bestFit="1" customWidth="1"/>
    <col min="24" max="24" width="7.875" style="1280" customWidth="1"/>
    <col min="25" max="25" width="5.875" style="1280" bestFit="1" customWidth="1"/>
    <col min="26" max="26" width="7.875" style="1280" customWidth="1"/>
    <col min="27" max="27" width="5.875" style="1280" bestFit="1" customWidth="1"/>
    <col min="28" max="28" width="7.875" style="1280" customWidth="1"/>
    <col min="29" max="29" width="5.875" style="1280" bestFit="1" customWidth="1"/>
    <col min="30" max="34" width="13.125" style="1280" customWidth="1"/>
    <col min="35" max="16384" width="7.875" style="1280"/>
  </cols>
  <sheetData>
    <row r="1" spans="1:31" ht="20.25">
      <c r="A1" s="1946" t="s">
        <v>1153</v>
      </c>
    </row>
    <row r="2" spans="1:31" s="1947" customFormat="1" ht="17.25">
      <c r="A2" s="1947" t="s">
        <v>1154</v>
      </c>
      <c r="R2" s="2118"/>
    </row>
    <row r="3" spans="1:31" ht="15" customHeight="1">
      <c r="A3" s="307"/>
      <c r="Q3" s="3085" t="s">
        <v>872</v>
      </c>
      <c r="R3" s="3085"/>
      <c r="S3" s="3085"/>
    </row>
    <row r="4" spans="1:31" s="307" customFormat="1" ht="20.100000000000001" customHeight="1">
      <c r="A4" s="2881" t="s">
        <v>65</v>
      </c>
      <c r="B4" s="3003" t="s">
        <v>1155</v>
      </c>
      <c r="C4" s="3008"/>
      <c r="D4" s="3010" t="s">
        <v>1156</v>
      </c>
      <c r="E4" s="3006"/>
      <c r="F4" s="3006"/>
      <c r="G4" s="3006"/>
      <c r="H4" s="3006"/>
      <c r="I4" s="3008"/>
      <c r="J4" s="3010" t="s">
        <v>1157</v>
      </c>
      <c r="K4" s="3006"/>
      <c r="L4" s="3006"/>
      <c r="M4" s="3006"/>
      <c r="N4" s="3006"/>
      <c r="O4" s="3006"/>
      <c r="P4" s="3006"/>
      <c r="Q4" s="3087"/>
      <c r="R4" s="3003" t="s">
        <v>1158</v>
      </c>
      <c r="S4" s="3088"/>
    </row>
    <row r="5" spans="1:31" s="307" customFormat="1" ht="20.100000000000001" customHeight="1">
      <c r="A5" s="2883"/>
      <c r="B5" s="3033"/>
      <c r="C5" s="3086"/>
      <c r="D5" s="3082" t="s">
        <v>1159</v>
      </c>
      <c r="E5" s="3083"/>
      <c r="F5" s="3082" t="s">
        <v>1160</v>
      </c>
      <c r="G5" s="3083"/>
      <c r="H5" s="3082" t="s">
        <v>1161</v>
      </c>
      <c r="I5" s="3083"/>
      <c r="J5" s="3082" t="s">
        <v>1162</v>
      </c>
      <c r="K5" s="3083"/>
      <c r="L5" s="3082" t="s">
        <v>1163</v>
      </c>
      <c r="M5" s="3083"/>
      <c r="N5" s="3082" t="s">
        <v>1164</v>
      </c>
      <c r="O5" s="3083"/>
      <c r="P5" s="3082" t="s">
        <v>1165</v>
      </c>
      <c r="Q5" s="3084"/>
      <c r="R5" s="3033"/>
      <c r="S5" s="3089"/>
    </row>
    <row r="6" spans="1:31" ht="24.95" customHeight="1">
      <c r="A6" s="2119">
        <v>2011</v>
      </c>
      <c r="B6" s="2120">
        <v>61564248.781999998</v>
      </c>
      <c r="C6" s="2121">
        <v>0.6</v>
      </c>
      <c r="D6" s="2122">
        <v>20539309.021000002</v>
      </c>
      <c r="E6" s="2121">
        <v>3.36</v>
      </c>
      <c r="F6" s="2120">
        <v>130762275.087</v>
      </c>
      <c r="G6" s="2121">
        <v>0.65</v>
      </c>
      <c r="H6" s="2120">
        <v>151301584.10800001</v>
      </c>
      <c r="I6" s="2121">
        <v>1.01</v>
      </c>
      <c r="J6" s="2123">
        <v>10574979.511</v>
      </c>
      <c r="K6" s="2121">
        <v>5.31</v>
      </c>
      <c r="L6" s="2120">
        <v>1928241.074</v>
      </c>
      <c r="M6" s="2121">
        <v>14.57</v>
      </c>
      <c r="N6" s="2120">
        <v>229701207.02500001</v>
      </c>
      <c r="O6" s="2121">
        <v>8.6300000000000008</v>
      </c>
      <c r="P6" s="2120">
        <v>242204427.61000001</v>
      </c>
      <c r="Q6" s="2124">
        <v>8.5299999999999994</v>
      </c>
      <c r="R6" s="2125">
        <v>455070260.5</v>
      </c>
      <c r="S6" s="2124">
        <v>4.8162000000000003</v>
      </c>
      <c r="AD6" s="2126"/>
      <c r="AE6" s="2126"/>
    </row>
    <row r="7" spans="1:31" ht="24.95" customHeight="1">
      <c r="A7" s="2119">
        <v>2012</v>
      </c>
      <c r="B7" s="2120">
        <v>63536150.089000002</v>
      </c>
      <c r="C7" s="2121">
        <v>3.2</v>
      </c>
      <c r="D7" s="2122">
        <v>21422339.614999998</v>
      </c>
      <c r="E7" s="2121">
        <v>4.3</v>
      </c>
      <c r="F7" s="2120">
        <v>132498775.42</v>
      </c>
      <c r="G7" s="2121">
        <v>1.33</v>
      </c>
      <c r="H7" s="2120">
        <v>153921115.035</v>
      </c>
      <c r="I7" s="2121">
        <v>1.73</v>
      </c>
      <c r="J7" s="2123">
        <v>12074000.517999999</v>
      </c>
      <c r="K7" s="2121">
        <v>14.18</v>
      </c>
      <c r="L7" s="2120">
        <v>1616370.145</v>
      </c>
      <c r="M7" s="2121">
        <v>-16.170000000000002</v>
      </c>
      <c r="N7" s="2120">
        <v>235445312.90099999</v>
      </c>
      <c r="O7" s="2121">
        <v>2.5</v>
      </c>
      <c r="P7" s="2123">
        <v>249135683.56400001</v>
      </c>
      <c r="Q7" s="2124">
        <v>2.86</v>
      </c>
      <c r="R7" s="2125">
        <v>466592948.68800002</v>
      </c>
      <c r="S7" s="2124">
        <v>2.5320999999999998</v>
      </c>
      <c r="AD7" s="2126"/>
      <c r="AE7" s="2126"/>
    </row>
    <row r="8" spans="1:31" ht="24.95" customHeight="1">
      <c r="A8" s="2119">
        <v>2013</v>
      </c>
      <c r="B8" s="2127">
        <v>63970471.619999997</v>
      </c>
      <c r="C8" s="2128">
        <v>0.68</v>
      </c>
      <c r="D8" s="2123">
        <v>21982155.565000001</v>
      </c>
      <c r="E8" s="2128">
        <v>2.61</v>
      </c>
      <c r="F8" s="2123">
        <v>132054876.26000001</v>
      </c>
      <c r="G8" s="2128">
        <v>-0.34</v>
      </c>
      <c r="H8" s="2123">
        <v>154037031.82499999</v>
      </c>
      <c r="I8" s="2128">
        <v>0.08</v>
      </c>
      <c r="J8" s="2123">
        <v>13061607.359999999</v>
      </c>
      <c r="K8" s="2128">
        <v>8.18</v>
      </c>
      <c r="L8" s="2123">
        <v>1478042.5160000001</v>
      </c>
      <c r="M8" s="2128">
        <v>-8.56</v>
      </c>
      <c r="N8" s="2123">
        <v>242301426.789</v>
      </c>
      <c r="O8" s="2128">
        <v>2.91</v>
      </c>
      <c r="P8" s="2123">
        <v>256841076.66499999</v>
      </c>
      <c r="Q8" s="2129">
        <v>3.09</v>
      </c>
      <c r="R8" s="2130">
        <v>474848580.11000001</v>
      </c>
      <c r="S8" s="2131">
        <v>1.7693000000000001</v>
      </c>
      <c r="AD8" s="2126"/>
      <c r="AE8" s="2126"/>
    </row>
    <row r="9" spans="1:31" ht="24.95" customHeight="1">
      <c r="A9" s="2119">
        <v>2014</v>
      </c>
      <c r="B9" s="2130">
        <v>62675310.258000001</v>
      </c>
      <c r="C9" s="2128">
        <v>-2.02</v>
      </c>
      <c r="D9" s="2123">
        <v>21669253.322999999</v>
      </c>
      <c r="E9" s="2128">
        <v>-1.42</v>
      </c>
      <c r="F9" s="2123">
        <v>128629516.37800001</v>
      </c>
      <c r="G9" s="2128">
        <v>-2.59</v>
      </c>
      <c r="H9" s="2123">
        <v>150298769.70100001</v>
      </c>
      <c r="I9" s="2128">
        <v>-2.4300000000000002</v>
      </c>
      <c r="J9" s="2123">
        <v>13556457.179</v>
      </c>
      <c r="K9" s="2128">
        <v>3.79</v>
      </c>
      <c r="L9" s="2123">
        <v>1570929.2420000001</v>
      </c>
      <c r="M9" s="2128">
        <v>6.28</v>
      </c>
      <c r="N9" s="2123">
        <v>249490234.64300001</v>
      </c>
      <c r="O9" s="2128">
        <v>2.97</v>
      </c>
      <c r="P9" s="2123">
        <v>264617621.06400001</v>
      </c>
      <c r="Q9" s="2129">
        <v>3.03</v>
      </c>
      <c r="R9" s="2125">
        <v>477591701.023</v>
      </c>
      <c r="S9" s="2129">
        <v>0.57769999999999999</v>
      </c>
      <c r="AD9" s="2126"/>
      <c r="AE9" s="2126"/>
    </row>
    <row r="10" spans="1:31" ht="24.95" customHeight="1">
      <c r="A10" s="2119">
        <v>2015</v>
      </c>
      <c r="B10" s="2130">
        <v>63794044.410999998</v>
      </c>
      <c r="C10" s="2128">
        <v>1.78</v>
      </c>
      <c r="D10" s="2123">
        <v>22178571.885000002</v>
      </c>
      <c r="E10" s="2128">
        <v>2.35</v>
      </c>
      <c r="F10" s="2123">
        <v>132049196.90099999</v>
      </c>
      <c r="G10" s="2128">
        <v>2.66</v>
      </c>
      <c r="H10" s="2123">
        <v>154227768.78600001</v>
      </c>
      <c r="I10" s="2128">
        <v>2.61</v>
      </c>
      <c r="J10" s="2123">
        <v>14644964.459000001</v>
      </c>
      <c r="K10" s="2128">
        <v>8.0299999999999994</v>
      </c>
      <c r="L10" s="2123">
        <v>1630852.91</v>
      </c>
      <c r="M10" s="2128">
        <v>3.81</v>
      </c>
      <c r="N10" s="2123">
        <v>249357184.736</v>
      </c>
      <c r="O10" s="2128">
        <v>-0.05</v>
      </c>
      <c r="P10" s="2123">
        <v>265633002.10499999</v>
      </c>
      <c r="Q10" s="2129">
        <v>0.38</v>
      </c>
      <c r="R10" s="2125">
        <v>483654815.30199999</v>
      </c>
      <c r="S10" s="2129">
        <v>1.2695000000000001</v>
      </c>
      <c r="AD10" s="2126"/>
      <c r="AE10" s="2126"/>
    </row>
    <row r="11" spans="1:31" ht="24.95" customHeight="1">
      <c r="A11" s="2132">
        <v>2016</v>
      </c>
      <c r="B11" s="2125">
        <v>66173064.987000003</v>
      </c>
      <c r="C11" s="2128">
        <v>3.73</v>
      </c>
      <c r="D11" s="2123">
        <v>22908419.364</v>
      </c>
      <c r="E11" s="2128">
        <v>3.29</v>
      </c>
      <c r="F11" s="2123">
        <v>137982085.93799999</v>
      </c>
      <c r="G11" s="2128">
        <v>4.49</v>
      </c>
      <c r="H11" s="2123">
        <v>160890505.30199999</v>
      </c>
      <c r="I11" s="2128">
        <v>4.32</v>
      </c>
      <c r="J11" s="2123">
        <v>15396810.333000001</v>
      </c>
      <c r="K11" s="2128">
        <v>5.13</v>
      </c>
      <c r="L11" s="2123">
        <v>1754503.2420000001</v>
      </c>
      <c r="M11" s="2128">
        <v>7.58</v>
      </c>
      <c r="N11" s="2123">
        <v>252824020.067</v>
      </c>
      <c r="O11" s="2128">
        <v>1.39</v>
      </c>
      <c r="P11" s="2123">
        <v>269975333.64200002</v>
      </c>
      <c r="Q11" s="2131">
        <v>1.63</v>
      </c>
      <c r="R11" s="2127">
        <v>497038903.93099999</v>
      </c>
      <c r="S11" s="2131">
        <v>2.7673000000000001</v>
      </c>
      <c r="AD11" s="2126"/>
      <c r="AE11" s="2126"/>
    </row>
    <row r="12" spans="1:31" s="1960" customFormat="1" ht="24.95" customHeight="1">
      <c r="A12" s="2119">
        <v>2017</v>
      </c>
      <c r="B12" s="2130">
        <v>66517357.427000001</v>
      </c>
      <c r="C12" s="2128">
        <v>0.52</v>
      </c>
      <c r="D12" s="2123">
        <v>23604528.379999999</v>
      </c>
      <c r="E12" s="2128">
        <v>3.04</v>
      </c>
      <c r="F12" s="2123">
        <v>140952297.10299999</v>
      </c>
      <c r="G12" s="2128">
        <v>2.15</v>
      </c>
      <c r="H12" s="2123">
        <v>164556825.48300001</v>
      </c>
      <c r="I12" s="2128">
        <v>2.2799999999999998</v>
      </c>
      <c r="J12" s="2123">
        <v>15981131.086999999</v>
      </c>
      <c r="K12" s="2128">
        <v>3.8</v>
      </c>
      <c r="L12" s="2123">
        <v>1746244.2150000001</v>
      </c>
      <c r="M12" s="2128">
        <v>-0.47</v>
      </c>
      <c r="N12" s="2123">
        <v>258944827.89899999</v>
      </c>
      <c r="O12" s="2128">
        <v>2.42</v>
      </c>
      <c r="P12" s="2123">
        <v>276672203.20099998</v>
      </c>
      <c r="Q12" s="2129">
        <v>2.48</v>
      </c>
      <c r="R12" s="2125">
        <v>507746386.111</v>
      </c>
      <c r="S12" s="2129">
        <v>2.1543000000000001</v>
      </c>
      <c r="T12" s="2133"/>
      <c r="AD12" s="2134"/>
      <c r="AE12" s="2134"/>
    </row>
    <row r="13" spans="1:31" s="1960" customFormat="1" ht="24.95" customHeight="1">
      <c r="A13" s="2119">
        <v>2018</v>
      </c>
      <c r="B13" s="2130">
        <v>70687228.439999998</v>
      </c>
      <c r="C13" s="2128">
        <v>6.27</v>
      </c>
      <c r="D13" s="2123">
        <v>24568575.798999999</v>
      </c>
      <c r="E13" s="2128">
        <v>4.08</v>
      </c>
      <c r="F13" s="2123">
        <v>149983026.55500001</v>
      </c>
      <c r="G13" s="2128">
        <v>6.41</v>
      </c>
      <c r="H13" s="2123">
        <v>174551602.354</v>
      </c>
      <c r="I13" s="2128">
        <v>6.07</v>
      </c>
      <c r="J13" s="2123">
        <v>17126088.302999999</v>
      </c>
      <c r="K13" s="2128">
        <v>7.16</v>
      </c>
      <c r="L13" s="2123">
        <v>1478381.175</v>
      </c>
      <c r="M13" s="2128">
        <v>-15.34</v>
      </c>
      <c r="N13" s="2123">
        <v>262305861.45500001</v>
      </c>
      <c r="O13" s="2128">
        <v>1.3</v>
      </c>
      <c r="P13" s="2123">
        <v>280910330.93300003</v>
      </c>
      <c r="Q13" s="2129">
        <v>1.53</v>
      </c>
      <c r="R13" s="2125">
        <v>526149161.727</v>
      </c>
      <c r="S13" s="2129">
        <v>3.6244000000000001</v>
      </c>
      <c r="T13" s="2133"/>
      <c r="AD13" s="2134"/>
      <c r="AE13" s="2134"/>
    </row>
    <row r="14" spans="1:31" s="1960" customFormat="1" ht="24.95" customHeight="1">
      <c r="A14" s="2119">
        <v>2019</v>
      </c>
      <c r="B14" s="2130">
        <v>70455407.319999993</v>
      </c>
      <c r="C14" s="2128">
        <v>-0.33</v>
      </c>
      <c r="D14" s="2123">
        <v>24458147.578000002</v>
      </c>
      <c r="E14" s="2128">
        <v>-0.45</v>
      </c>
      <c r="F14" s="2123">
        <v>148310522.41999999</v>
      </c>
      <c r="G14" s="2128">
        <v>-1.1200000000000001</v>
      </c>
      <c r="H14" s="2123">
        <v>172768669.998</v>
      </c>
      <c r="I14" s="2128">
        <v>-1.02</v>
      </c>
      <c r="J14" s="2123">
        <v>17304667.783</v>
      </c>
      <c r="K14" s="2128">
        <v>1.04</v>
      </c>
      <c r="L14" s="2123">
        <v>1492516.243</v>
      </c>
      <c r="M14" s="2128">
        <v>0.96</v>
      </c>
      <c r="N14" s="2123">
        <v>258477476.382</v>
      </c>
      <c r="O14" s="2128">
        <v>-1.46</v>
      </c>
      <c r="P14" s="2123">
        <v>277274660.40799999</v>
      </c>
      <c r="Q14" s="2129">
        <v>-1.29</v>
      </c>
      <c r="R14" s="2125">
        <v>520498737.72600001</v>
      </c>
      <c r="S14" s="2129">
        <v>-1.0739000000000001</v>
      </c>
      <c r="T14" s="2133"/>
      <c r="AD14" s="2134"/>
      <c r="AE14" s="2134"/>
    </row>
    <row r="15" spans="1:31" s="1960" customFormat="1" ht="24.95" customHeight="1">
      <c r="A15" s="2119">
        <v>2020</v>
      </c>
      <c r="B15" s="2130">
        <v>74073574.145999998</v>
      </c>
      <c r="C15" s="2128">
        <v>5.14</v>
      </c>
      <c r="D15" s="2123">
        <v>23622904.795000002</v>
      </c>
      <c r="E15" s="2128">
        <v>-3.41</v>
      </c>
      <c r="F15" s="2123">
        <v>144443995.59799999</v>
      </c>
      <c r="G15" s="2128">
        <v>-2.61</v>
      </c>
      <c r="H15" s="2123">
        <v>168066900.39300001</v>
      </c>
      <c r="I15" s="2128">
        <v>-2.72</v>
      </c>
      <c r="J15" s="2123">
        <v>17036657.677000001</v>
      </c>
      <c r="K15" s="2128">
        <v>-1.55</v>
      </c>
      <c r="L15" s="2123">
        <v>1552099.5330000001</v>
      </c>
      <c r="M15" s="2128">
        <v>3.99</v>
      </c>
      <c r="N15" s="2123">
        <v>248540483.44800001</v>
      </c>
      <c r="O15" s="2128">
        <v>-3.84</v>
      </c>
      <c r="P15" s="2123">
        <v>267129240.65799999</v>
      </c>
      <c r="Q15" s="2129">
        <v>-3.66</v>
      </c>
      <c r="R15" s="2125">
        <v>509269715.19700003</v>
      </c>
      <c r="S15" s="2129">
        <v>-2.1574</v>
      </c>
      <c r="T15" s="2133"/>
      <c r="AD15" s="2134"/>
      <c r="AE15" s="2134"/>
    </row>
    <row r="16" spans="1:31" s="1960" customFormat="1" ht="24.95" customHeight="1">
      <c r="A16" s="2135">
        <v>2021</v>
      </c>
      <c r="B16" s="2136">
        <v>77558384.943000004</v>
      </c>
      <c r="C16" s="2137">
        <v>4.7</v>
      </c>
      <c r="D16" s="2138">
        <v>25025911.670000002</v>
      </c>
      <c r="E16" s="2137">
        <v>5.94</v>
      </c>
      <c r="F16" s="2138">
        <v>148181597.007</v>
      </c>
      <c r="G16" s="2137">
        <v>2.59</v>
      </c>
      <c r="H16" s="2138">
        <v>173207508.67699999</v>
      </c>
      <c r="I16" s="2137">
        <v>3.06</v>
      </c>
      <c r="J16" s="2138">
        <v>18496161.567000002</v>
      </c>
      <c r="K16" s="2137">
        <v>8.57</v>
      </c>
      <c r="L16" s="2138">
        <v>1806892.6229999999</v>
      </c>
      <c r="M16" s="2137">
        <v>16.420000000000002</v>
      </c>
      <c r="N16" s="2138">
        <v>262361863.04800001</v>
      </c>
      <c r="O16" s="2137">
        <v>5.56</v>
      </c>
      <c r="P16" s="2138">
        <v>282664917.23799998</v>
      </c>
      <c r="Q16" s="2139">
        <v>5.82</v>
      </c>
      <c r="R16" s="2140">
        <v>533430810.85799998</v>
      </c>
      <c r="S16" s="2139">
        <v>4.7443</v>
      </c>
      <c r="T16" s="2133"/>
      <c r="AD16" s="2134"/>
      <c r="AE16" s="2134"/>
    </row>
    <row r="17" spans="1:31" s="1960" customFormat="1" ht="24.95" customHeight="1">
      <c r="A17" s="1782" t="s">
        <v>795</v>
      </c>
      <c r="B17" s="2141">
        <v>77558384.943000004</v>
      </c>
      <c r="C17" s="2142">
        <v>4.7</v>
      </c>
      <c r="D17" s="2143">
        <v>25025911.670000002</v>
      </c>
      <c r="E17" s="2142">
        <v>5.94</v>
      </c>
      <c r="F17" s="2143">
        <v>148181597.007</v>
      </c>
      <c r="G17" s="2142">
        <v>2.59</v>
      </c>
      <c r="H17" s="2143">
        <v>173207508.67699999</v>
      </c>
      <c r="I17" s="2142">
        <v>3.06</v>
      </c>
      <c r="J17" s="2143">
        <v>18496161.567000002</v>
      </c>
      <c r="K17" s="2142">
        <v>8.57</v>
      </c>
      <c r="L17" s="2143">
        <v>1806892.6229999999</v>
      </c>
      <c r="M17" s="2142">
        <v>16.420000000000002</v>
      </c>
      <c r="N17" s="2143">
        <v>262361863.04800001</v>
      </c>
      <c r="O17" s="2142">
        <v>5.56</v>
      </c>
      <c r="P17" s="2143">
        <v>282664917.23799998</v>
      </c>
      <c r="Q17" s="2144">
        <v>5.82</v>
      </c>
      <c r="R17" s="2141">
        <v>533430810.85799998</v>
      </c>
      <c r="S17" s="2144">
        <v>4.7443</v>
      </c>
      <c r="T17" s="2133"/>
      <c r="AD17" s="2134"/>
      <c r="AE17" s="2134"/>
    </row>
    <row r="18" spans="1:31" s="1960" customFormat="1" ht="24.95" customHeight="1">
      <c r="A18" s="296">
        <v>2021.12</v>
      </c>
      <c r="B18" s="2127">
        <v>6218111.9620000003</v>
      </c>
      <c r="C18" s="2128">
        <v>0.39</v>
      </c>
      <c r="D18" s="2123">
        <v>2385002.2540000002</v>
      </c>
      <c r="E18" s="2128">
        <v>1.83</v>
      </c>
      <c r="F18" s="2123">
        <v>13799958.691</v>
      </c>
      <c r="G18" s="2128">
        <v>8.24</v>
      </c>
      <c r="H18" s="2123">
        <v>16184960.945</v>
      </c>
      <c r="I18" s="2128">
        <v>7.25</v>
      </c>
      <c r="J18" s="2123">
        <v>1612623.1329999999</v>
      </c>
      <c r="K18" s="2128">
        <v>5.44</v>
      </c>
      <c r="L18" s="2123">
        <v>166186.45699999999</v>
      </c>
      <c r="M18" s="2128">
        <v>-0.11</v>
      </c>
      <c r="N18" s="2123">
        <v>23068736.618000001</v>
      </c>
      <c r="O18" s="2128">
        <v>4.6399999999999997</v>
      </c>
      <c r="P18" s="2123">
        <v>24847546.208000001</v>
      </c>
      <c r="Q18" s="2131">
        <v>4.66</v>
      </c>
      <c r="R18" s="2127">
        <v>47250619.115000002</v>
      </c>
      <c r="S18" s="2131">
        <v>4.9382000000000001</v>
      </c>
      <c r="T18" s="2133"/>
      <c r="AD18" s="2134"/>
      <c r="AE18" s="2134"/>
    </row>
    <row r="19" spans="1:31" s="1960" customFormat="1" ht="24.95" customHeight="1">
      <c r="A19" s="289" t="s">
        <v>796</v>
      </c>
      <c r="B19" s="2141">
        <v>78557454.194999993</v>
      </c>
      <c r="C19" s="2142">
        <v>1.29</v>
      </c>
      <c r="D19" s="2143">
        <v>25889561.004999999</v>
      </c>
      <c r="E19" s="2142">
        <v>3.45</v>
      </c>
      <c r="F19" s="2143">
        <v>155548437.37099999</v>
      </c>
      <c r="G19" s="2142">
        <v>4.97</v>
      </c>
      <c r="H19" s="2143">
        <v>181437998.37599999</v>
      </c>
      <c r="I19" s="2142">
        <v>4.75</v>
      </c>
      <c r="J19" s="2143">
        <v>19285645.269000001</v>
      </c>
      <c r="K19" s="2142">
        <v>4.2699999999999996</v>
      </c>
      <c r="L19" s="2143">
        <v>1759071.1980000001</v>
      </c>
      <c r="M19" s="2142">
        <v>-2.65</v>
      </c>
      <c r="N19" s="2143">
        <v>266892573.17500001</v>
      </c>
      <c r="O19" s="2142">
        <v>1.73</v>
      </c>
      <c r="P19" s="2143">
        <v>287937289.64200002</v>
      </c>
      <c r="Q19" s="2144">
        <v>1.87</v>
      </c>
      <c r="R19" s="2141">
        <v>547932742.21300006</v>
      </c>
      <c r="S19" s="2144">
        <v>2.7185999999999999</v>
      </c>
      <c r="T19" s="2133"/>
      <c r="AD19" s="2134"/>
      <c r="AE19" s="2134"/>
    </row>
    <row r="20" spans="1:31" s="1960" customFormat="1" ht="24.95" customHeight="1">
      <c r="A20" s="296">
        <v>2022.01</v>
      </c>
      <c r="B20" s="2127">
        <v>6859670.5990000004</v>
      </c>
      <c r="C20" s="2128">
        <v>-1.1499999999999999</v>
      </c>
      <c r="D20" s="2145">
        <v>2639207.1379999998</v>
      </c>
      <c r="E20" s="2128">
        <v>0.52</v>
      </c>
      <c r="F20" s="2123">
        <v>14629330.888</v>
      </c>
      <c r="G20" s="2146">
        <v>-0.04</v>
      </c>
      <c r="H20" s="2123">
        <v>17268538.026000001</v>
      </c>
      <c r="I20" s="2128">
        <v>0.04</v>
      </c>
      <c r="J20" s="2123">
        <v>1948983.9040000001</v>
      </c>
      <c r="K20" s="2128">
        <v>3</v>
      </c>
      <c r="L20" s="2123">
        <v>158433.101</v>
      </c>
      <c r="M20" s="2128">
        <v>5.49</v>
      </c>
      <c r="N20" s="2123">
        <v>23566593.057</v>
      </c>
      <c r="O20" s="2128">
        <v>4.68</v>
      </c>
      <c r="P20" s="2123">
        <v>25674010.061999999</v>
      </c>
      <c r="Q20" s="2131">
        <v>4.5599999999999996</v>
      </c>
      <c r="R20" s="2127">
        <v>49802218.686999999</v>
      </c>
      <c r="S20" s="2131">
        <v>2.1467000000000001</v>
      </c>
      <c r="T20" s="2133"/>
      <c r="AD20" s="2134"/>
      <c r="AE20" s="2134"/>
    </row>
    <row r="21" spans="1:31" s="1960" customFormat="1" ht="24.95" customHeight="1">
      <c r="A21" s="2147">
        <v>2022.02</v>
      </c>
      <c r="B21" s="2125">
        <v>6832512.4340000004</v>
      </c>
      <c r="C21" s="2128">
        <v>2.19</v>
      </c>
      <c r="D21" s="2123">
        <v>2404998.8110000002</v>
      </c>
      <c r="E21" s="2128">
        <v>3.21</v>
      </c>
      <c r="F21" s="2123">
        <v>14854224.221999999</v>
      </c>
      <c r="G21" s="2128">
        <v>8.0399999999999991</v>
      </c>
      <c r="H21" s="2123">
        <v>17259223.033</v>
      </c>
      <c r="I21" s="2128">
        <v>7.34</v>
      </c>
      <c r="J21" s="2123">
        <v>1969215.666</v>
      </c>
      <c r="K21" s="2128">
        <v>9.14</v>
      </c>
      <c r="L21" s="2123">
        <v>140167.58100000001</v>
      </c>
      <c r="M21" s="2128">
        <v>0.81</v>
      </c>
      <c r="N21" s="2123">
        <v>21340352.554000001</v>
      </c>
      <c r="O21" s="2128">
        <v>4.2</v>
      </c>
      <c r="P21" s="2123">
        <v>23449735.800999999</v>
      </c>
      <c r="Q21" s="2131">
        <v>4.58</v>
      </c>
      <c r="R21" s="2125">
        <v>47541471.267999999</v>
      </c>
      <c r="S21" s="2131">
        <v>5.2083000000000004</v>
      </c>
      <c r="T21" s="2133"/>
      <c r="AD21" s="2134"/>
      <c r="AE21" s="2134"/>
    </row>
    <row r="22" spans="1:31" s="1960" customFormat="1" ht="24.95" customHeight="1">
      <c r="A22" s="296">
        <v>2022.03</v>
      </c>
      <c r="B22" s="2125">
        <v>6026908.5499999998</v>
      </c>
      <c r="C22" s="2128">
        <v>4.76</v>
      </c>
      <c r="D22" s="2123">
        <v>2243266.2069999999</v>
      </c>
      <c r="E22" s="2128">
        <v>6.4</v>
      </c>
      <c r="F22" s="2123">
        <v>12751919.351</v>
      </c>
      <c r="G22" s="2128">
        <v>8.3800000000000008</v>
      </c>
      <c r="H22" s="2123">
        <v>14995185.558</v>
      </c>
      <c r="I22" s="2128">
        <v>8.07</v>
      </c>
      <c r="J22" s="2123">
        <v>1677624.834</v>
      </c>
      <c r="K22" s="2128">
        <v>13</v>
      </c>
      <c r="L22" s="2123">
        <v>153160.22399999999</v>
      </c>
      <c r="M22" s="2128">
        <v>0.7</v>
      </c>
      <c r="N22" s="2123">
        <v>22983927.333000001</v>
      </c>
      <c r="O22" s="2128">
        <v>5.38</v>
      </c>
      <c r="P22" s="2123">
        <v>24814712.390999999</v>
      </c>
      <c r="Q22" s="2131">
        <v>5.83</v>
      </c>
      <c r="R22" s="2125">
        <v>45836806.498999998</v>
      </c>
      <c r="S22" s="2131">
        <v>6.4131999999999998</v>
      </c>
      <c r="T22" s="2133"/>
      <c r="AD22" s="2134"/>
      <c r="AE22" s="2134"/>
    </row>
    <row r="23" spans="1:31" s="1960" customFormat="1" ht="24.95" customHeight="1">
      <c r="A23" s="296">
        <v>2022.04</v>
      </c>
      <c r="B23" s="2127">
        <v>6097476.0669999998</v>
      </c>
      <c r="C23" s="2128">
        <v>3.18</v>
      </c>
      <c r="D23" s="2123">
        <v>1994621.0959999999</v>
      </c>
      <c r="E23" s="2128">
        <v>4.12</v>
      </c>
      <c r="F23" s="2123">
        <v>11893989.539999999</v>
      </c>
      <c r="G23" s="2128">
        <v>7.04</v>
      </c>
      <c r="H23" s="2123">
        <v>13888610.636</v>
      </c>
      <c r="I23" s="2128">
        <v>6.61</v>
      </c>
      <c r="J23" s="2123">
        <v>1476160.595</v>
      </c>
      <c r="K23" s="2128">
        <v>8.69</v>
      </c>
      <c r="L23" s="2123">
        <v>152036.68100000001</v>
      </c>
      <c r="M23" s="2128">
        <v>-4.54</v>
      </c>
      <c r="N23" s="2123">
        <v>22143996.471000001</v>
      </c>
      <c r="O23" s="2128">
        <v>3.26</v>
      </c>
      <c r="P23" s="2123">
        <v>23772193.747000001</v>
      </c>
      <c r="Q23" s="2131">
        <v>3.53</v>
      </c>
      <c r="R23" s="2127">
        <v>43758280.450000003</v>
      </c>
      <c r="S23" s="2131">
        <v>4.4358000000000004</v>
      </c>
      <c r="T23" s="2133"/>
      <c r="AD23" s="2134"/>
      <c r="AE23" s="2134"/>
    </row>
    <row r="24" spans="1:31" s="1960" customFormat="1" ht="24.95" customHeight="1">
      <c r="A24" s="296">
        <v>2022.05</v>
      </c>
      <c r="B24" s="2127">
        <v>5606725</v>
      </c>
      <c r="C24" s="2128">
        <v>0.21</v>
      </c>
      <c r="D24" s="2123">
        <v>1774475.2069999999</v>
      </c>
      <c r="E24" s="2128">
        <v>1.8</v>
      </c>
      <c r="F24" s="2123">
        <v>11216679.219000001</v>
      </c>
      <c r="G24" s="2128">
        <v>6.56</v>
      </c>
      <c r="H24" s="2123">
        <v>12991154.426000001</v>
      </c>
      <c r="I24" s="2128">
        <v>5.89</v>
      </c>
      <c r="J24" s="2123">
        <v>1314338.301</v>
      </c>
      <c r="K24" s="2128">
        <v>6.99</v>
      </c>
      <c r="L24" s="2123">
        <v>145967.48800000001</v>
      </c>
      <c r="M24" s="2128">
        <v>-3.55</v>
      </c>
      <c r="N24" s="2123">
        <v>22146808.791000001</v>
      </c>
      <c r="O24" s="2128">
        <v>2.54</v>
      </c>
      <c r="P24" s="2123">
        <v>23607114.579999998</v>
      </c>
      <c r="Q24" s="2131">
        <v>2.74</v>
      </c>
      <c r="R24" s="2127">
        <v>42204994.005999997</v>
      </c>
      <c r="S24" s="2131">
        <v>3.3365</v>
      </c>
      <c r="T24" s="2133"/>
      <c r="AD24" s="2134"/>
      <c r="AE24" s="2134"/>
    </row>
    <row r="25" spans="1:31" s="1960" customFormat="1" ht="24.95" customHeight="1">
      <c r="A25" s="296">
        <v>2022.06</v>
      </c>
      <c r="B25" s="2127">
        <v>5810424.5829999996</v>
      </c>
      <c r="C25" s="2128">
        <v>-0.49</v>
      </c>
      <c r="D25" s="2123">
        <v>1917742.8959999999</v>
      </c>
      <c r="E25" s="2128">
        <v>1.1299999999999999</v>
      </c>
      <c r="F25" s="2123">
        <v>11998553.218</v>
      </c>
      <c r="G25" s="2128">
        <v>6.21</v>
      </c>
      <c r="H25" s="2123">
        <v>13916296.114</v>
      </c>
      <c r="I25" s="2128">
        <v>5.48</v>
      </c>
      <c r="J25" s="2123">
        <v>1430044.2350000001</v>
      </c>
      <c r="K25" s="2128">
        <v>12.09</v>
      </c>
      <c r="L25" s="2123">
        <v>141016.27900000001</v>
      </c>
      <c r="M25" s="2128">
        <v>-7.66</v>
      </c>
      <c r="N25" s="2123">
        <v>21717279.489999998</v>
      </c>
      <c r="O25" s="2128">
        <v>0.68</v>
      </c>
      <c r="P25" s="2123">
        <v>23288340.004000001</v>
      </c>
      <c r="Q25" s="2131">
        <v>1.26</v>
      </c>
      <c r="R25" s="2127">
        <v>43015060.700999998</v>
      </c>
      <c r="S25" s="2131">
        <v>2.3391000000000002</v>
      </c>
      <c r="T25" s="2133"/>
      <c r="AD25" s="2134"/>
      <c r="AE25" s="2134"/>
    </row>
    <row r="26" spans="1:31" s="1960" customFormat="1" ht="24.95" customHeight="1">
      <c r="A26" s="296">
        <v>2022.07</v>
      </c>
      <c r="B26" s="2127">
        <v>7335045.3090000004</v>
      </c>
      <c r="C26" s="2128">
        <v>8.44</v>
      </c>
      <c r="D26" s="2123">
        <v>2256068.0099999998</v>
      </c>
      <c r="E26" s="2128">
        <v>6.59</v>
      </c>
      <c r="F26" s="2123">
        <v>13733082.103</v>
      </c>
      <c r="G26" s="2128">
        <v>8.5399999999999991</v>
      </c>
      <c r="H26" s="2123">
        <v>15989150.113</v>
      </c>
      <c r="I26" s="2128">
        <v>8.26</v>
      </c>
      <c r="J26" s="2123">
        <v>1455903.9369999999</v>
      </c>
      <c r="K26" s="2128">
        <v>7.52</v>
      </c>
      <c r="L26" s="2123">
        <v>141919.90299999999</v>
      </c>
      <c r="M26" s="2128">
        <v>-6.37</v>
      </c>
      <c r="N26" s="2123">
        <v>23611107.186000001</v>
      </c>
      <c r="O26" s="2128">
        <v>2.96</v>
      </c>
      <c r="P26" s="2123">
        <v>25208931.026000001</v>
      </c>
      <c r="Q26" s="2131">
        <v>3.15</v>
      </c>
      <c r="R26" s="2127">
        <v>48533126.447999999</v>
      </c>
      <c r="S26" s="2131">
        <v>5.5715000000000003</v>
      </c>
      <c r="T26" s="2133"/>
      <c r="AD26" s="2134"/>
      <c r="AE26" s="2134"/>
    </row>
    <row r="27" spans="1:31" s="1960" customFormat="1" ht="24.95" customHeight="1">
      <c r="A27" s="296">
        <v>2022.08</v>
      </c>
      <c r="B27" s="2127">
        <v>8720534.5610000007</v>
      </c>
      <c r="C27" s="2128">
        <v>-3.35</v>
      </c>
      <c r="D27" s="2123">
        <v>2239078.733</v>
      </c>
      <c r="E27" s="2128">
        <v>4.8</v>
      </c>
      <c r="F27" s="2123">
        <v>14682018.634</v>
      </c>
      <c r="G27" s="2128">
        <v>5.74</v>
      </c>
      <c r="H27" s="2123">
        <v>16921097.366999999</v>
      </c>
      <c r="I27" s="2128">
        <v>5.61</v>
      </c>
      <c r="J27" s="2123">
        <v>1714459.0959999999</v>
      </c>
      <c r="K27" s="2128">
        <v>-3.99</v>
      </c>
      <c r="L27" s="2123">
        <v>137370.52299999999</v>
      </c>
      <c r="M27" s="2128">
        <v>-0.5</v>
      </c>
      <c r="N27" s="2123">
        <v>22668604.723000001</v>
      </c>
      <c r="O27" s="2128">
        <v>3.22</v>
      </c>
      <c r="P27" s="2123">
        <v>24520434.342</v>
      </c>
      <c r="Q27" s="2131">
        <v>2.66</v>
      </c>
      <c r="R27" s="2127">
        <v>50162066.270000003</v>
      </c>
      <c r="S27" s="2131">
        <v>2.5181</v>
      </c>
      <c r="T27" s="2133"/>
      <c r="AD27" s="2134"/>
      <c r="AE27" s="2134"/>
    </row>
    <row r="28" spans="1:31" s="1960" customFormat="1" ht="24.95" customHeight="1">
      <c r="A28" s="296">
        <v>2022.09</v>
      </c>
      <c r="B28" s="2127">
        <v>7184446.7649999997</v>
      </c>
      <c r="C28" s="2128">
        <v>3.62</v>
      </c>
      <c r="D28" s="2123">
        <v>2063355.919</v>
      </c>
      <c r="E28" s="2128">
        <v>2.93</v>
      </c>
      <c r="F28" s="2123">
        <v>12992044.493000001</v>
      </c>
      <c r="G28" s="2128">
        <v>6.73</v>
      </c>
      <c r="H28" s="2123">
        <v>15055400.412</v>
      </c>
      <c r="I28" s="2128">
        <v>6.19</v>
      </c>
      <c r="J28" s="2123">
        <v>1591057.996</v>
      </c>
      <c r="K28" s="2128">
        <v>-2.54</v>
      </c>
      <c r="L28" s="2123">
        <v>134902.39799999999</v>
      </c>
      <c r="M28" s="2128">
        <v>-3.82</v>
      </c>
      <c r="N28" s="2123">
        <v>21350987.899999999</v>
      </c>
      <c r="O28" s="2128">
        <v>-2.66</v>
      </c>
      <c r="P28" s="2123">
        <v>23076948.294</v>
      </c>
      <c r="Q28" s="2131">
        <v>-2.66</v>
      </c>
      <c r="R28" s="2127">
        <v>45316795.471000001</v>
      </c>
      <c r="S28" s="2131">
        <v>1.1109</v>
      </c>
      <c r="T28" s="2133"/>
      <c r="AD28" s="2134"/>
      <c r="AE28" s="2134"/>
    </row>
    <row r="29" spans="1:31" s="1960" customFormat="1" ht="24.95" customHeight="1">
      <c r="A29" s="296">
        <v>2022.1</v>
      </c>
      <c r="B29" s="2127">
        <v>5863994.477</v>
      </c>
      <c r="C29" s="2128">
        <v>-0.75</v>
      </c>
      <c r="D29" s="2123">
        <v>1849955.3130000001</v>
      </c>
      <c r="E29" s="2128">
        <v>1.28</v>
      </c>
      <c r="F29" s="2123">
        <v>11477215.921</v>
      </c>
      <c r="G29" s="2128">
        <v>3.39</v>
      </c>
      <c r="H29" s="2123">
        <v>13327171.233999999</v>
      </c>
      <c r="I29" s="2128">
        <v>3.09</v>
      </c>
      <c r="J29" s="2123">
        <v>1301180.996</v>
      </c>
      <c r="K29" s="2128">
        <v>-1.19</v>
      </c>
      <c r="L29" s="2123">
        <v>143732.378</v>
      </c>
      <c r="M29" s="2128">
        <v>-0.39</v>
      </c>
      <c r="N29" s="2123">
        <v>21706845.719999999</v>
      </c>
      <c r="O29" s="2128">
        <v>0.77</v>
      </c>
      <c r="P29" s="2123">
        <v>23151759.094000001</v>
      </c>
      <c r="Q29" s="2131">
        <v>0.65</v>
      </c>
      <c r="R29" s="2127">
        <v>42342924.805</v>
      </c>
      <c r="S29" s="2131">
        <v>1.2062999999999999</v>
      </c>
      <c r="T29" s="2133"/>
      <c r="AD29" s="2134"/>
      <c r="AE29" s="2134"/>
    </row>
    <row r="30" spans="1:31" s="1960" customFormat="1" ht="24.95" customHeight="1">
      <c r="A30" s="296">
        <v>2022.11</v>
      </c>
      <c r="B30" s="2127">
        <v>5922540.5760000004</v>
      </c>
      <c r="C30" s="2128">
        <v>-1.1200000000000001</v>
      </c>
      <c r="D30" s="2123">
        <v>1958715.138</v>
      </c>
      <c r="E30" s="2128">
        <v>1.1000000000000001</v>
      </c>
      <c r="F30" s="2123">
        <v>11602313.932</v>
      </c>
      <c r="G30" s="2128">
        <v>1.02</v>
      </c>
      <c r="H30" s="2123">
        <v>13561029.07</v>
      </c>
      <c r="I30" s="2128">
        <v>1.03</v>
      </c>
      <c r="J30" s="2123">
        <v>1781885.817</v>
      </c>
      <c r="K30" s="2128">
        <v>1.78</v>
      </c>
      <c r="L30" s="2123">
        <v>156062.51500000001</v>
      </c>
      <c r="M30" s="2128">
        <v>-3.59</v>
      </c>
      <c r="N30" s="2123">
        <v>21069570.210000001</v>
      </c>
      <c r="O30" s="2128">
        <v>-2.0299999999999998</v>
      </c>
      <c r="P30" s="2123">
        <v>23007518.541999999</v>
      </c>
      <c r="Q30" s="2131">
        <v>-1.75</v>
      </c>
      <c r="R30" s="2127">
        <v>42491088.188000001</v>
      </c>
      <c r="S30" s="2131">
        <v>-0.79039999999999999</v>
      </c>
      <c r="T30" s="2133"/>
      <c r="AD30" s="2134"/>
      <c r="AE30" s="2134"/>
    </row>
    <row r="31" spans="1:31" s="1960" customFormat="1" ht="24.95" customHeight="1">
      <c r="A31" s="298">
        <v>2022.12</v>
      </c>
      <c r="B31" s="2148">
        <v>6297175.2740000002</v>
      </c>
      <c r="C31" s="2149">
        <v>1.27</v>
      </c>
      <c r="D31" s="2150">
        <v>2548076.537</v>
      </c>
      <c r="E31" s="2149">
        <v>6.84</v>
      </c>
      <c r="F31" s="2150">
        <v>13717065.85</v>
      </c>
      <c r="G31" s="2149">
        <v>-0.6</v>
      </c>
      <c r="H31" s="2150">
        <v>16265142.387</v>
      </c>
      <c r="I31" s="2149">
        <v>0.5</v>
      </c>
      <c r="J31" s="2150">
        <v>1624789.892</v>
      </c>
      <c r="K31" s="2149">
        <v>0.75</v>
      </c>
      <c r="L31" s="2150">
        <v>154302.12700000001</v>
      </c>
      <c r="M31" s="2149">
        <v>-7.15</v>
      </c>
      <c r="N31" s="2150">
        <v>22586499.739999998</v>
      </c>
      <c r="O31" s="2149">
        <v>-2.09</v>
      </c>
      <c r="P31" s="2150">
        <v>24365591.759</v>
      </c>
      <c r="Q31" s="2151">
        <v>-1.94</v>
      </c>
      <c r="R31" s="2148">
        <v>46927909.420000002</v>
      </c>
      <c r="S31" s="2151">
        <v>-0.68300000000000005</v>
      </c>
      <c r="T31" s="2133"/>
      <c r="AD31" s="2134"/>
      <c r="AE31" s="2134"/>
    </row>
    <row r="32" spans="1:31" ht="3.75" customHeight="1">
      <c r="A32" s="307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1992"/>
      <c r="AD32" s="2126"/>
      <c r="AE32" s="2126"/>
    </row>
    <row r="33" spans="1:19" ht="12" customHeight="1">
      <c r="A33" s="1949" t="s">
        <v>1166</v>
      </c>
      <c r="J33" s="1949" t="s">
        <v>1167</v>
      </c>
    </row>
    <row r="34" spans="1:19" ht="8.1" customHeight="1">
      <c r="A34" s="2031"/>
    </row>
    <row r="35" spans="1:19" s="309" customFormat="1" ht="11.25" customHeight="1">
      <c r="A35" s="631"/>
      <c r="B35" s="1280"/>
      <c r="C35" s="1280"/>
      <c r="D35" s="1280"/>
      <c r="E35" s="1280"/>
      <c r="F35" s="2152"/>
      <c r="G35" s="1280"/>
      <c r="H35" s="2152"/>
      <c r="I35" s="1280"/>
      <c r="J35" s="1280"/>
      <c r="K35" s="1280"/>
      <c r="L35" s="1280"/>
      <c r="M35" s="1280"/>
      <c r="N35" s="2152"/>
      <c r="P35" s="2152"/>
      <c r="Q35" s="1280"/>
      <c r="R35" s="2036"/>
      <c r="S35" s="636"/>
    </row>
    <row r="36" spans="1:19" s="309" customFormat="1" ht="13.5" customHeight="1">
      <c r="B36" s="1280"/>
      <c r="C36" s="1280"/>
      <c r="D36" s="1280"/>
      <c r="E36" s="1280"/>
      <c r="F36" s="1280"/>
      <c r="G36" s="1280"/>
      <c r="H36" s="1280"/>
      <c r="I36" s="1280"/>
      <c r="J36" s="1280"/>
      <c r="K36" s="1280"/>
      <c r="L36" s="1280"/>
      <c r="M36" s="1280"/>
      <c r="P36" s="1280"/>
      <c r="Q36" s="1280"/>
      <c r="R36" s="2036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80" firstPageNumber="56" orientation="portrait" useFirstPageNumber="1" r:id="rId1"/>
  <headerFooter differentOddEven="1" scaleWithDoc="0" alignWithMargins="0"/>
  <colBreaks count="1" manualBreakCount="1">
    <brk id="9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4"/>
  <sheetViews>
    <sheetView showGridLines="0" view="pageBreakPreview" zoomScale="70" zoomScaleNormal="100" zoomScaleSheetLayoutView="70" workbookViewId="0">
      <pane xSplit="1" ySplit="5" topLeftCell="B12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3.25" style="1280" customWidth="1"/>
    <col min="2" max="2" width="13.375" style="1280" customWidth="1"/>
    <col min="3" max="3" width="7" style="1280" customWidth="1"/>
    <col min="4" max="4" width="13" style="1280" customWidth="1"/>
    <col min="5" max="5" width="7" style="1280" customWidth="1"/>
    <col min="6" max="6" width="13" style="1280" customWidth="1"/>
    <col min="7" max="7" width="7" style="1280" customWidth="1"/>
    <col min="8" max="8" width="13" style="1280" customWidth="1"/>
    <col min="9" max="9" width="7" style="1280" customWidth="1"/>
    <col min="10" max="10" width="12.375" style="1280" customWidth="1"/>
    <col min="11" max="11" width="6.5" style="1280" customWidth="1"/>
    <col min="12" max="12" width="12.125" style="1280" customWidth="1"/>
    <col min="13" max="13" width="6.5" style="1280" customWidth="1"/>
    <col min="14" max="14" width="12.125" style="1280" customWidth="1"/>
    <col min="15" max="15" width="6.5" style="1280" customWidth="1"/>
    <col min="16" max="16" width="12.125" style="1280" customWidth="1"/>
    <col min="17" max="17" width="6.5" style="1280" customWidth="1"/>
    <col min="18" max="18" width="12.125" style="1665" customWidth="1"/>
    <col min="19" max="19" width="6.5" style="1280" customWidth="1"/>
    <col min="20" max="22" width="13.125" style="1280" customWidth="1"/>
    <col min="23" max="16384" width="7.875" style="1280"/>
  </cols>
  <sheetData>
    <row r="1" spans="1:19" ht="20.25">
      <c r="A1" s="1946" t="s">
        <v>1168</v>
      </c>
    </row>
    <row r="2" spans="1:19" s="1947" customFormat="1" ht="17.25">
      <c r="A2" s="1947" t="s">
        <v>1169</v>
      </c>
      <c r="R2" s="2118"/>
    </row>
    <row r="3" spans="1:19" ht="15" customHeight="1">
      <c r="A3" s="307"/>
      <c r="Q3" s="3085" t="s">
        <v>1170</v>
      </c>
      <c r="R3" s="3085"/>
      <c r="S3" s="3085"/>
    </row>
    <row r="4" spans="1:19" s="307" customFormat="1" ht="21" customHeight="1">
      <c r="A4" s="2881" t="s">
        <v>65</v>
      </c>
      <c r="B4" s="3003" t="s">
        <v>1155</v>
      </c>
      <c r="C4" s="3008"/>
      <c r="D4" s="3010" t="s">
        <v>1156</v>
      </c>
      <c r="E4" s="3006"/>
      <c r="F4" s="3006"/>
      <c r="G4" s="3006"/>
      <c r="H4" s="3006"/>
      <c r="I4" s="3008"/>
      <c r="J4" s="3010" t="s">
        <v>1157</v>
      </c>
      <c r="K4" s="3006"/>
      <c r="L4" s="3006"/>
      <c r="M4" s="3006"/>
      <c r="N4" s="3006"/>
      <c r="O4" s="3006"/>
      <c r="P4" s="3006"/>
      <c r="Q4" s="3087"/>
      <c r="R4" s="3003" t="s">
        <v>1158</v>
      </c>
      <c r="S4" s="3088"/>
    </row>
    <row r="5" spans="1:19" s="307" customFormat="1" ht="21" customHeight="1">
      <c r="A5" s="2883"/>
      <c r="B5" s="3033"/>
      <c r="C5" s="3086"/>
      <c r="D5" s="3082" t="s">
        <v>1159</v>
      </c>
      <c r="E5" s="3083"/>
      <c r="F5" s="3082" t="s">
        <v>1160</v>
      </c>
      <c r="G5" s="3083"/>
      <c r="H5" s="3082" t="s">
        <v>1161</v>
      </c>
      <c r="I5" s="3083"/>
      <c r="J5" s="3082" t="s">
        <v>1162</v>
      </c>
      <c r="K5" s="3083"/>
      <c r="L5" s="3082" t="s">
        <v>1163</v>
      </c>
      <c r="M5" s="3083"/>
      <c r="N5" s="3082" t="s">
        <v>1164</v>
      </c>
      <c r="O5" s="3083"/>
      <c r="P5" s="3082" t="s">
        <v>1165</v>
      </c>
      <c r="Q5" s="3084"/>
      <c r="R5" s="3033"/>
      <c r="S5" s="3089"/>
    </row>
    <row r="6" spans="1:19" ht="24.95" customHeight="1">
      <c r="A6" s="2153">
        <v>2011</v>
      </c>
      <c r="B6" s="2154">
        <v>11742234</v>
      </c>
      <c r="C6" s="2155">
        <v>2.23</v>
      </c>
      <c r="D6" s="2156">
        <v>168155</v>
      </c>
      <c r="E6" s="2155">
        <v>3.63</v>
      </c>
      <c r="F6" s="2156">
        <v>6337426</v>
      </c>
      <c r="G6" s="2155">
        <v>3.9809999999999999</v>
      </c>
      <c r="H6" s="2157">
        <v>6505581</v>
      </c>
      <c r="I6" s="2155">
        <v>3.972</v>
      </c>
      <c r="J6" s="2156">
        <v>1300303</v>
      </c>
      <c r="K6" s="2155">
        <v>5.82</v>
      </c>
      <c r="L6" s="2156">
        <v>2935</v>
      </c>
      <c r="M6" s="2155">
        <v>9.56</v>
      </c>
      <c r="N6" s="2156">
        <v>263813</v>
      </c>
      <c r="O6" s="2155">
        <v>3.3889999999999998</v>
      </c>
      <c r="P6" s="2156">
        <v>1567051</v>
      </c>
      <c r="Q6" s="2155">
        <v>5.41</v>
      </c>
      <c r="R6" s="2158">
        <v>19814866</v>
      </c>
      <c r="S6" s="2159">
        <v>3.0444</v>
      </c>
    </row>
    <row r="7" spans="1:19" ht="27" customHeight="1">
      <c r="A7" s="2153">
        <v>2012</v>
      </c>
      <c r="B7" s="2154">
        <v>12170299</v>
      </c>
      <c r="C7" s="2155">
        <v>3.65</v>
      </c>
      <c r="D7" s="2156">
        <v>172056</v>
      </c>
      <c r="E7" s="2155">
        <v>2.3199999999999998</v>
      </c>
      <c r="F7" s="2156">
        <v>6465907</v>
      </c>
      <c r="G7" s="2155">
        <v>2.0270000000000001</v>
      </c>
      <c r="H7" s="2157">
        <v>6637963</v>
      </c>
      <c r="I7" s="2155">
        <v>2.0350000000000001</v>
      </c>
      <c r="J7" s="2156">
        <v>1391907</v>
      </c>
      <c r="K7" s="2155">
        <v>7.04</v>
      </c>
      <c r="L7" s="2156">
        <v>3194</v>
      </c>
      <c r="M7" s="2155">
        <v>8.82</v>
      </c>
      <c r="N7" s="2156">
        <v>272536</v>
      </c>
      <c r="O7" s="2155">
        <v>3.3069999999999999</v>
      </c>
      <c r="P7" s="2156">
        <v>1667637</v>
      </c>
      <c r="Q7" s="2155">
        <v>6.4189999999999996</v>
      </c>
      <c r="R7" s="2158">
        <v>20475899</v>
      </c>
      <c r="S7" s="2159">
        <v>3.3359999999999999</v>
      </c>
    </row>
    <row r="8" spans="1:19" ht="27" customHeight="1">
      <c r="A8" s="2153">
        <v>2013</v>
      </c>
      <c r="B8" s="2154">
        <v>12468753</v>
      </c>
      <c r="C8" s="2155">
        <v>2.4500000000000002</v>
      </c>
      <c r="D8" s="2156">
        <v>178004</v>
      </c>
      <c r="E8" s="2155">
        <v>3.46</v>
      </c>
      <c r="F8" s="2156">
        <v>6636398</v>
      </c>
      <c r="G8" s="2155">
        <v>2.637</v>
      </c>
      <c r="H8" s="2157">
        <v>6814402</v>
      </c>
      <c r="I8" s="2155">
        <v>2.6579999999999999</v>
      </c>
      <c r="J8" s="2156">
        <v>1450139</v>
      </c>
      <c r="K8" s="2155">
        <v>4.18</v>
      </c>
      <c r="L8" s="2156">
        <v>3432</v>
      </c>
      <c r="M8" s="2155">
        <v>7.45</v>
      </c>
      <c r="N8" s="2156">
        <v>280967</v>
      </c>
      <c r="O8" s="2155">
        <v>3.0939999999999999</v>
      </c>
      <c r="P8" s="2156">
        <v>1734538</v>
      </c>
      <c r="Q8" s="2155">
        <v>4.0119999999999996</v>
      </c>
      <c r="R8" s="2158">
        <v>21017693</v>
      </c>
      <c r="S8" s="2159">
        <v>2.6459999999999999</v>
      </c>
    </row>
    <row r="9" spans="1:19" ht="27" customHeight="1">
      <c r="A9" s="2153">
        <v>2014</v>
      </c>
      <c r="B9" s="2154">
        <v>12721502</v>
      </c>
      <c r="C9" s="2155">
        <v>2.0299999999999998</v>
      </c>
      <c r="D9" s="2156">
        <v>186288</v>
      </c>
      <c r="E9" s="2155">
        <v>4.6500000000000004</v>
      </c>
      <c r="F9" s="2156">
        <v>6818303</v>
      </c>
      <c r="G9" s="2155">
        <v>2.7410000000000001</v>
      </c>
      <c r="H9" s="2157">
        <v>7004591</v>
      </c>
      <c r="I9" s="2155">
        <v>2.7909999999999999</v>
      </c>
      <c r="J9" s="2156">
        <v>1513711</v>
      </c>
      <c r="K9" s="2155">
        <v>4.38</v>
      </c>
      <c r="L9" s="2156">
        <v>3633</v>
      </c>
      <c r="M9" s="2155">
        <v>5.86</v>
      </c>
      <c r="N9" s="2156">
        <v>288832</v>
      </c>
      <c r="O9" s="2155">
        <v>2.7989999999999999</v>
      </c>
      <c r="P9" s="2156">
        <v>1806176</v>
      </c>
      <c r="Q9" s="2155">
        <v>4.13</v>
      </c>
      <c r="R9" s="2158">
        <v>21532269</v>
      </c>
      <c r="S9" s="2159">
        <v>2.4483000000000001</v>
      </c>
    </row>
    <row r="10" spans="1:19" ht="27" customHeight="1">
      <c r="A10" s="2153">
        <v>2015</v>
      </c>
      <c r="B10" s="2154">
        <v>12969708</v>
      </c>
      <c r="C10" s="2155">
        <v>1.95</v>
      </c>
      <c r="D10" s="2156">
        <v>196858</v>
      </c>
      <c r="E10" s="2155">
        <v>5.67</v>
      </c>
      <c r="F10" s="2156">
        <v>6987499</v>
      </c>
      <c r="G10" s="2155">
        <v>2.4809999999999999</v>
      </c>
      <c r="H10" s="2157">
        <v>7184357</v>
      </c>
      <c r="I10" s="2155">
        <v>2.5659999999999998</v>
      </c>
      <c r="J10" s="2156">
        <v>1576983</v>
      </c>
      <c r="K10" s="2155">
        <v>4.18</v>
      </c>
      <c r="L10" s="2156">
        <v>3738</v>
      </c>
      <c r="M10" s="2155">
        <v>2.89</v>
      </c>
      <c r="N10" s="2156">
        <v>295429</v>
      </c>
      <c r="O10" s="2155">
        <v>2.2839999999999998</v>
      </c>
      <c r="P10" s="2156">
        <v>1876150</v>
      </c>
      <c r="Q10" s="2155">
        <v>3.8740000000000001</v>
      </c>
      <c r="R10" s="2158">
        <v>22030215</v>
      </c>
      <c r="S10" s="2159">
        <v>2.3126000000000002</v>
      </c>
    </row>
    <row r="11" spans="1:19" ht="27" customHeight="1">
      <c r="A11" s="2160">
        <v>2016</v>
      </c>
      <c r="B11" s="2154">
        <v>13226162</v>
      </c>
      <c r="C11" s="2155">
        <v>1.98</v>
      </c>
      <c r="D11" s="2156">
        <v>210088</v>
      </c>
      <c r="E11" s="2155">
        <v>6.72</v>
      </c>
      <c r="F11" s="2156">
        <v>7170567</v>
      </c>
      <c r="G11" s="2155">
        <v>2.62</v>
      </c>
      <c r="H11" s="2157">
        <v>7380655</v>
      </c>
      <c r="I11" s="2155">
        <v>2.7320000000000002</v>
      </c>
      <c r="J11" s="2156">
        <v>1640563</v>
      </c>
      <c r="K11" s="2155">
        <v>4.03</v>
      </c>
      <c r="L11" s="2156">
        <v>3857</v>
      </c>
      <c r="M11" s="2155">
        <v>3.18</v>
      </c>
      <c r="N11" s="2156">
        <v>301482</v>
      </c>
      <c r="O11" s="2155">
        <v>2.0489999999999999</v>
      </c>
      <c r="P11" s="2156">
        <v>1945902</v>
      </c>
      <c r="Q11" s="2155">
        <v>3.718</v>
      </c>
      <c r="R11" s="2158">
        <v>22552719</v>
      </c>
      <c r="S11" s="2159">
        <v>2.3717999999999999</v>
      </c>
    </row>
    <row r="12" spans="1:19" s="1960" customFormat="1" ht="27" customHeight="1">
      <c r="A12" s="2160">
        <v>2017</v>
      </c>
      <c r="B12" s="2154">
        <v>13479459</v>
      </c>
      <c r="C12" s="2155">
        <v>1.92</v>
      </c>
      <c r="D12" s="2156">
        <v>208780</v>
      </c>
      <c r="E12" s="2155">
        <v>-0.62</v>
      </c>
      <c r="F12" s="2156">
        <v>7373260</v>
      </c>
      <c r="G12" s="2155">
        <v>2.827</v>
      </c>
      <c r="H12" s="2157">
        <v>7582040</v>
      </c>
      <c r="I12" s="2155">
        <v>2.7290000000000001</v>
      </c>
      <c r="J12" s="2156">
        <v>1705589</v>
      </c>
      <c r="K12" s="2155">
        <v>3.96</v>
      </c>
      <c r="L12" s="2156">
        <v>3044</v>
      </c>
      <c r="M12" s="2155">
        <v>-21.08</v>
      </c>
      <c r="N12" s="2156">
        <v>306891</v>
      </c>
      <c r="O12" s="2155">
        <v>1.794</v>
      </c>
      <c r="P12" s="2156">
        <v>2015524</v>
      </c>
      <c r="Q12" s="2155">
        <v>3.5779999999999998</v>
      </c>
      <c r="R12" s="2158">
        <v>23077023</v>
      </c>
      <c r="S12" s="2159">
        <v>2.3248000000000002</v>
      </c>
    </row>
    <row r="13" spans="1:19" s="1960" customFormat="1" ht="27" customHeight="1">
      <c r="A13" s="2160">
        <v>2018</v>
      </c>
      <c r="B13" s="2154">
        <v>13623300</v>
      </c>
      <c r="C13" s="2155">
        <v>1.07</v>
      </c>
      <c r="D13" s="2156">
        <v>219083</v>
      </c>
      <c r="E13" s="2155">
        <v>4.93</v>
      </c>
      <c r="F13" s="2156">
        <v>7548865</v>
      </c>
      <c r="G13" s="2155">
        <v>2.3820000000000001</v>
      </c>
      <c r="H13" s="2157">
        <v>7767948</v>
      </c>
      <c r="I13" s="2155">
        <v>2.452</v>
      </c>
      <c r="J13" s="2156">
        <v>1763247</v>
      </c>
      <c r="K13" s="2155">
        <v>3.38</v>
      </c>
      <c r="L13" s="2156">
        <v>2980</v>
      </c>
      <c r="M13" s="2155">
        <v>-2.1</v>
      </c>
      <c r="N13" s="2156">
        <v>344068</v>
      </c>
      <c r="O13" s="2155">
        <v>12.114000000000001</v>
      </c>
      <c r="P13" s="2156">
        <v>2110295</v>
      </c>
      <c r="Q13" s="2155">
        <v>4.702</v>
      </c>
      <c r="R13" s="2158">
        <v>23501543</v>
      </c>
      <c r="S13" s="2159">
        <v>1.8395999999999999</v>
      </c>
    </row>
    <row r="14" spans="1:19" s="1960" customFormat="1" ht="27" customHeight="1">
      <c r="A14" s="2160">
        <v>2019</v>
      </c>
      <c r="B14" s="2154">
        <v>13721737</v>
      </c>
      <c r="C14" s="2155">
        <v>0.72</v>
      </c>
      <c r="D14" s="2156">
        <v>231882</v>
      </c>
      <c r="E14" s="2155">
        <v>5.84</v>
      </c>
      <c r="F14" s="2156">
        <v>7739923</v>
      </c>
      <c r="G14" s="2155">
        <v>2.5310000000000001</v>
      </c>
      <c r="H14" s="2157">
        <v>7971805</v>
      </c>
      <c r="I14" s="2155">
        <v>2.6240000000000001</v>
      </c>
      <c r="J14" s="2156">
        <v>1813907</v>
      </c>
      <c r="K14" s="2155">
        <v>2.87</v>
      </c>
      <c r="L14" s="2156">
        <v>2952</v>
      </c>
      <c r="M14" s="2155">
        <v>-0.94</v>
      </c>
      <c r="N14" s="2156">
        <v>349631</v>
      </c>
      <c r="O14" s="2155">
        <v>1.617</v>
      </c>
      <c r="P14" s="2156">
        <v>2166490</v>
      </c>
      <c r="Q14" s="2155">
        <v>2.6629999999999998</v>
      </c>
      <c r="R14" s="2158">
        <v>23860032</v>
      </c>
      <c r="S14" s="2159">
        <v>1.5254000000000001</v>
      </c>
    </row>
    <row r="15" spans="1:19" s="1960" customFormat="1" ht="27" customHeight="1">
      <c r="A15" s="2160">
        <v>2020</v>
      </c>
      <c r="B15" s="2154">
        <v>13762259</v>
      </c>
      <c r="C15" s="2155">
        <v>0.3</v>
      </c>
      <c r="D15" s="2156">
        <v>231748</v>
      </c>
      <c r="E15" s="2155">
        <v>-0.06</v>
      </c>
      <c r="F15" s="2156">
        <v>7966470</v>
      </c>
      <c r="G15" s="2155">
        <v>2.927</v>
      </c>
      <c r="H15" s="2157">
        <v>8198218</v>
      </c>
      <c r="I15" s="2155">
        <v>2.84</v>
      </c>
      <c r="J15" s="2156">
        <v>1876277</v>
      </c>
      <c r="K15" s="2155">
        <v>3.44</v>
      </c>
      <c r="L15" s="2156">
        <v>3251</v>
      </c>
      <c r="M15" s="2155">
        <v>10.130000000000001</v>
      </c>
      <c r="N15" s="2156">
        <v>358299</v>
      </c>
      <c r="O15" s="2155">
        <v>2.4790000000000001</v>
      </c>
      <c r="P15" s="2156">
        <v>2237827</v>
      </c>
      <c r="Q15" s="2155">
        <v>3.2930000000000001</v>
      </c>
      <c r="R15" s="2158">
        <v>24198304</v>
      </c>
      <c r="S15" s="2159">
        <v>1.4177</v>
      </c>
    </row>
    <row r="16" spans="1:19" s="1960" customFormat="1" ht="27" customHeight="1">
      <c r="A16" s="2161">
        <v>2021</v>
      </c>
      <c r="B16" s="2162">
        <v>13810969</v>
      </c>
      <c r="C16" s="2163">
        <v>0.35</v>
      </c>
      <c r="D16" s="2164">
        <v>180585</v>
      </c>
      <c r="E16" s="2163">
        <v>-22.08</v>
      </c>
      <c r="F16" s="2164">
        <v>8221112</v>
      </c>
      <c r="G16" s="2163">
        <v>3.1960000000000002</v>
      </c>
      <c r="H16" s="2165">
        <v>8401697</v>
      </c>
      <c r="I16" s="2163">
        <v>2.4820000000000002</v>
      </c>
      <c r="J16" s="2164">
        <v>1943570</v>
      </c>
      <c r="K16" s="2163">
        <v>3.59</v>
      </c>
      <c r="L16" s="2164">
        <v>3218</v>
      </c>
      <c r="M16" s="2163">
        <v>-1.02</v>
      </c>
      <c r="N16" s="2164">
        <v>363850</v>
      </c>
      <c r="O16" s="2163">
        <v>1.5489999999999999</v>
      </c>
      <c r="P16" s="2164">
        <v>2310638</v>
      </c>
      <c r="Q16" s="2163">
        <v>3.254</v>
      </c>
      <c r="R16" s="2166">
        <v>24523304</v>
      </c>
      <c r="S16" s="2167">
        <v>1.3431</v>
      </c>
    </row>
    <row r="17" spans="1:19" s="1960" customFormat="1" ht="27" customHeight="1">
      <c r="A17" s="2168">
        <v>2021.12</v>
      </c>
      <c r="B17" s="2169">
        <v>13810969</v>
      </c>
      <c r="C17" s="2170">
        <v>0.35</v>
      </c>
      <c r="D17" s="2171">
        <v>180585</v>
      </c>
      <c r="E17" s="2170">
        <v>-22.08</v>
      </c>
      <c r="F17" s="2171">
        <v>8221112</v>
      </c>
      <c r="G17" s="2170">
        <v>3.1960000000000002</v>
      </c>
      <c r="H17" s="2172">
        <v>8401697</v>
      </c>
      <c r="I17" s="2170">
        <v>2.4820000000000002</v>
      </c>
      <c r="J17" s="2171">
        <v>1943570</v>
      </c>
      <c r="K17" s="2170">
        <v>3.59</v>
      </c>
      <c r="L17" s="2171">
        <v>3218</v>
      </c>
      <c r="M17" s="2170">
        <v>-1.02</v>
      </c>
      <c r="N17" s="2171">
        <v>363850</v>
      </c>
      <c r="O17" s="2170">
        <v>1.5489999999999999</v>
      </c>
      <c r="P17" s="2171">
        <v>2310638</v>
      </c>
      <c r="Q17" s="2170">
        <v>3.254</v>
      </c>
      <c r="R17" s="2173">
        <v>24523304</v>
      </c>
      <c r="S17" s="2174">
        <v>1.3431</v>
      </c>
    </row>
    <row r="18" spans="1:19" s="1960" customFormat="1" ht="27" customHeight="1">
      <c r="A18" s="2175">
        <v>2022.01</v>
      </c>
      <c r="B18" s="2154">
        <v>13817824</v>
      </c>
      <c r="C18" s="2155">
        <v>0.38</v>
      </c>
      <c r="D18" s="2156">
        <v>181993</v>
      </c>
      <c r="E18" s="2155">
        <v>-22.08</v>
      </c>
      <c r="F18" s="2156">
        <v>8244706</v>
      </c>
      <c r="G18" s="2155">
        <v>3.109</v>
      </c>
      <c r="H18" s="2157">
        <v>8426699</v>
      </c>
      <c r="I18" s="2155">
        <v>2.3940000000000001</v>
      </c>
      <c r="J18" s="2156">
        <v>1868328</v>
      </c>
      <c r="K18" s="2155">
        <v>3.74</v>
      </c>
      <c r="L18" s="2156">
        <v>3214</v>
      </c>
      <c r="M18" s="2155">
        <v>-0.77</v>
      </c>
      <c r="N18" s="2156">
        <v>364382</v>
      </c>
      <c r="O18" s="2155">
        <v>1.482</v>
      </c>
      <c r="P18" s="2156">
        <v>2235924</v>
      </c>
      <c r="Q18" s="2155">
        <v>3.3620000000000001</v>
      </c>
      <c r="R18" s="2158">
        <v>24480447</v>
      </c>
      <c r="S18" s="2159">
        <v>1.3323</v>
      </c>
    </row>
    <row r="19" spans="1:19" s="1960" customFormat="1" ht="27" customHeight="1">
      <c r="A19" s="2175">
        <v>2022.02</v>
      </c>
      <c r="B19" s="2154">
        <v>13818575</v>
      </c>
      <c r="C19" s="2155">
        <v>0.36</v>
      </c>
      <c r="D19" s="2156">
        <v>148921</v>
      </c>
      <c r="E19" s="2155">
        <v>-36.57</v>
      </c>
      <c r="F19" s="2156">
        <v>8288162</v>
      </c>
      <c r="G19" s="2155">
        <v>3.63</v>
      </c>
      <c r="H19" s="2157">
        <v>8437083</v>
      </c>
      <c r="I19" s="2155">
        <v>2.484</v>
      </c>
      <c r="J19" s="2156">
        <v>1868640</v>
      </c>
      <c r="K19" s="2155">
        <v>3.72</v>
      </c>
      <c r="L19" s="2156">
        <v>3207</v>
      </c>
      <c r="M19" s="2155">
        <v>-1.08</v>
      </c>
      <c r="N19" s="2156">
        <v>364751</v>
      </c>
      <c r="O19" s="2155">
        <v>1.3879999999999999</v>
      </c>
      <c r="P19" s="2156">
        <v>2236598</v>
      </c>
      <c r="Q19" s="2155">
        <v>3.3210000000000002</v>
      </c>
      <c r="R19" s="2158">
        <v>24492256</v>
      </c>
      <c r="S19" s="2159">
        <v>1.3464</v>
      </c>
    </row>
    <row r="20" spans="1:19" s="1960" customFormat="1" ht="27" customHeight="1">
      <c r="A20" s="2175">
        <v>2022.03</v>
      </c>
      <c r="B20" s="2176">
        <v>13821920</v>
      </c>
      <c r="C20" s="2155">
        <v>0.37</v>
      </c>
      <c r="D20" s="2156">
        <v>149410</v>
      </c>
      <c r="E20" s="2155">
        <v>-36.57</v>
      </c>
      <c r="F20" s="2156">
        <v>8298426</v>
      </c>
      <c r="G20" s="2155">
        <v>3.6440000000000001</v>
      </c>
      <c r="H20" s="2177">
        <v>8447836</v>
      </c>
      <c r="I20" s="2155">
        <v>2.4950000000000001</v>
      </c>
      <c r="J20" s="2156">
        <v>2419817</v>
      </c>
      <c r="K20" s="2155">
        <v>2.66</v>
      </c>
      <c r="L20" s="2156">
        <v>3212</v>
      </c>
      <c r="M20" s="2155">
        <v>-0.89</v>
      </c>
      <c r="N20" s="2156">
        <v>365023</v>
      </c>
      <c r="O20" s="2155">
        <v>1.41</v>
      </c>
      <c r="P20" s="2156">
        <v>2788052</v>
      </c>
      <c r="Q20" s="2159">
        <v>2.488</v>
      </c>
      <c r="R20" s="2158">
        <v>25057808</v>
      </c>
      <c r="S20" s="2159">
        <v>1.3120000000000001</v>
      </c>
    </row>
    <row r="21" spans="1:19" s="1960" customFormat="1" ht="27" customHeight="1">
      <c r="A21" s="2175">
        <v>2022.04</v>
      </c>
      <c r="B21" s="2154">
        <v>13825967</v>
      </c>
      <c r="C21" s="2155">
        <v>0.34</v>
      </c>
      <c r="D21" s="2156">
        <v>116765</v>
      </c>
      <c r="E21" s="2155">
        <v>-50.67</v>
      </c>
      <c r="F21" s="2156">
        <v>8364706</v>
      </c>
      <c r="G21" s="2155">
        <v>4.2469999999999999</v>
      </c>
      <c r="H21" s="2157">
        <v>8481471</v>
      </c>
      <c r="I21" s="2155">
        <v>2.673</v>
      </c>
      <c r="J21" s="2156">
        <v>1967312</v>
      </c>
      <c r="K21" s="2155">
        <v>3.81</v>
      </c>
      <c r="L21" s="2156">
        <v>3214</v>
      </c>
      <c r="M21" s="2155">
        <v>-0.68</v>
      </c>
      <c r="N21" s="2156">
        <v>365346</v>
      </c>
      <c r="O21" s="2155">
        <v>1.349</v>
      </c>
      <c r="P21" s="2156">
        <v>2335872</v>
      </c>
      <c r="Q21" s="2155">
        <v>3.4119999999999999</v>
      </c>
      <c r="R21" s="2158">
        <v>24643310</v>
      </c>
      <c r="S21" s="2159">
        <v>1.4161999999999999</v>
      </c>
    </row>
    <row r="22" spans="1:19" s="1960" customFormat="1" ht="27" customHeight="1">
      <c r="A22" s="2178">
        <v>2022.05</v>
      </c>
      <c r="B22" s="2154">
        <v>13827037</v>
      </c>
      <c r="C22" s="2155">
        <v>0.32</v>
      </c>
      <c r="D22" s="2156">
        <v>117098</v>
      </c>
      <c r="E22" s="2155">
        <v>-50.75</v>
      </c>
      <c r="F22" s="2156">
        <v>8383681</v>
      </c>
      <c r="G22" s="2155">
        <v>4.2990000000000004</v>
      </c>
      <c r="H22" s="2157">
        <v>8500779</v>
      </c>
      <c r="I22" s="2155">
        <v>2.7170000000000001</v>
      </c>
      <c r="J22" s="2156">
        <v>1895074</v>
      </c>
      <c r="K22" s="2155">
        <v>3.5</v>
      </c>
      <c r="L22" s="2156">
        <v>3213</v>
      </c>
      <c r="M22" s="2155">
        <v>-0.5</v>
      </c>
      <c r="N22" s="2156">
        <v>365357</v>
      </c>
      <c r="O22" s="2155">
        <v>1.3180000000000001</v>
      </c>
      <c r="P22" s="2156">
        <v>2263644</v>
      </c>
      <c r="Q22" s="2155">
        <v>3.1389999999999998</v>
      </c>
      <c r="R22" s="2158">
        <v>24591460</v>
      </c>
      <c r="S22" s="2159">
        <v>1.3957999999999999</v>
      </c>
    </row>
    <row r="23" spans="1:19" s="1960" customFormat="1" ht="27" customHeight="1">
      <c r="A23" s="2175">
        <v>2022.06</v>
      </c>
      <c r="B23" s="2154">
        <v>13830329</v>
      </c>
      <c r="C23" s="2155">
        <v>0.32</v>
      </c>
      <c r="D23" s="2156">
        <v>117563</v>
      </c>
      <c r="E23" s="2155">
        <v>-50.81</v>
      </c>
      <c r="F23" s="2156">
        <v>8411945</v>
      </c>
      <c r="G23" s="2155">
        <v>4.3360000000000003</v>
      </c>
      <c r="H23" s="2157">
        <v>8529508</v>
      </c>
      <c r="I23" s="2155">
        <v>2.7490000000000001</v>
      </c>
      <c r="J23" s="2156">
        <v>1903778</v>
      </c>
      <c r="K23" s="2155">
        <v>3.51</v>
      </c>
      <c r="L23" s="2156">
        <v>3205</v>
      </c>
      <c r="M23" s="2155">
        <v>-0.68</v>
      </c>
      <c r="N23" s="2156">
        <v>365437</v>
      </c>
      <c r="O23" s="2155">
        <v>1.244</v>
      </c>
      <c r="P23" s="2156">
        <v>2272420</v>
      </c>
      <c r="Q23" s="2155">
        <v>3.13</v>
      </c>
      <c r="R23" s="2158">
        <v>24632257</v>
      </c>
      <c r="S23" s="2159">
        <v>1.4068000000000001</v>
      </c>
    </row>
    <row r="24" spans="1:19" s="1960" customFormat="1" ht="27" customHeight="1">
      <c r="A24" s="2175">
        <v>2022.07</v>
      </c>
      <c r="B24" s="2154">
        <v>13834007</v>
      </c>
      <c r="C24" s="2155">
        <v>0.3</v>
      </c>
      <c r="D24" s="2156">
        <v>117886</v>
      </c>
      <c r="E24" s="2155">
        <v>-41.4</v>
      </c>
      <c r="F24" s="2156">
        <v>8416079</v>
      </c>
      <c r="G24" s="2155">
        <v>3.5960000000000001</v>
      </c>
      <c r="H24" s="2157">
        <v>8533965</v>
      </c>
      <c r="I24" s="2155">
        <v>2.508</v>
      </c>
      <c r="J24" s="2156">
        <v>1911672</v>
      </c>
      <c r="K24" s="2155">
        <v>3.54</v>
      </c>
      <c r="L24" s="2156">
        <v>3188</v>
      </c>
      <c r="M24" s="2155">
        <v>-1.27</v>
      </c>
      <c r="N24" s="2156">
        <v>365767</v>
      </c>
      <c r="O24" s="2155">
        <v>1.1459999999999999</v>
      </c>
      <c r="P24" s="2156">
        <v>2280627</v>
      </c>
      <c r="Q24" s="2155">
        <v>3.14</v>
      </c>
      <c r="R24" s="2158">
        <v>24648599</v>
      </c>
      <c r="S24" s="2159">
        <v>1.3145</v>
      </c>
    </row>
    <row r="25" spans="1:19" s="1960" customFormat="1" ht="27" customHeight="1">
      <c r="A25" s="2175">
        <v>2022.08</v>
      </c>
      <c r="B25" s="2154">
        <v>13836716</v>
      </c>
      <c r="C25" s="2155">
        <v>0.31</v>
      </c>
      <c r="D25" s="2156">
        <v>117951</v>
      </c>
      <c r="E25" s="2155">
        <v>-41.61</v>
      </c>
      <c r="F25" s="2156">
        <v>8434349</v>
      </c>
      <c r="G25" s="2155">
        <v>3.76</v>
      </c>
      <c r="H25" s="2157">
        <v>8552300</v>
      </c>
      <c r="I25" s="2155">
        <v>2.66</v>
      </c>
      <c r="J25" s="2156">
        <v>1918933</v>
      </c>
      <c r="K25" s="2155">
        <v>3.44</v>
      </c>
      <c r="L25" s="2156">
        <v>3187</v>
      </c>
      <c r="M25" s="2155">
        <v>-1.45</v>
      </c>
      <c r="N25" s="2156">
        <v>365954</v>
      </c>
      <c r="O25" s="2155">
        <v>1.071</v>
      </c>
      <c r="P25" s="2156">
        <v>2288074</v>
      </c>
      <c r="Q25" s="2155">
        <v>3.0470000000000002</v>
      </c>
      <c r="R25" s="2158">
        <v>24677090</v>
      </c>
      <c r="S25" s="2159">
        <v>1.3640000000000001</v>
      </c>
    </row>
    <row r="26" spans="1:19" s="1960" customFormat="1" ht="27" customHeight="1">
      <c r="A26" s="2175">
        <v>2022.09</v>
      </c>
      <c r="B26" s="2154">
        <v>13840212</v>
      </c>
      <c r="C26" s="2155">
        <v>0.3</v>
      </c>
      <c r="D26" s="2156">
        <v>118191</v>
      </c>
      <c r="E26" s="2155">
        <v>-41.69</v>
      </c>
      <c r="F26" s="2156">
        <v>8459823</v>
      </c>
      <c r="G26" s="2155">
        <v>3.8849999999999998</v>
      </c>
      <c r="H26" s="2157">
        <v>8578014</v>
      </c>
      <c r="I26" s="2155">
        <v>2.778</v>
      </c>
      <c r="J26" s="2156">
        <v>1924097</v>
      </c>
      <c r="K26" s="2155">
        <v>3.21</v>
      </c>
      <c r="L26" s="2156">
        <v>3179</v>
      </c>
      <c r="M26" s="2155">
        <v>-1.58</v>
      </c>
      <c r="N26" s="2156">
        <v>366213</v>
      </c>
      <c r="O26" s="2155">
        <v>1.0289999999999999</v>
      </c>
      <c r="P26" s="2156">
        <v>2293489</v>
      </c>
      <c r="Q26" s="2155">
        <v>2.8460000000000001</v>
      </c>
      <c r="R26" s="2158">
        <v>24711715</v>
      </c>
      <c r="S26" s="2159">
        <v>1.3832</v>
      </c>
    </row>
    <row r="27" spans="1:19" s="1960" customFormat="1" ht="27" customHeight="1">
      <c r="A27" s="2175">
        <v>2022.1</v>
      </c>
      <c r="B27" s="2154">
        <v>13841912</v>
      </c>
      <c r="C27" s="2155">
        <v>0.31</v>
      </c>
      <c r="D27" s="2156">
        <v>118568</v>
      </c>
      <c r="E27" s="2155">
        <v>-41.7</v>
      </c>
      <c r="F27" s="2156">
        <v>8471258</v>
      </c>
      <c r="G27" s="2155">
        <v>3.8490000000000002</v>
      </c>
      <c r="H27" s="2157">
        <v>8589826</v>
      </c>
      <c r="I27" s="2155">
        <v>2.7410000000000001</v>
      </c>
      <c r="J27" s="2156">
        <v>1927647</v>
      </c>
      <c r="K27" s="2155">
        <v>3.13</v>
      </c>
      <c r="L27" s="2156">
        <v>3171</v>
      </c>
      <c r="M27" s="2155">
        <v>-1.55</v>
      </c>
      <c r="N27" s="2156">
        <v>366323</v>
      </c>
      <c r="O27" s="2155">
        <v>0.97399999999999998</v>
      </c>
      <c r="P27" s="2156">
        <v>2297141</v>
      </c>
      <c r="Q27" s="2155">
        <v>2.774</v>
      </c>
      <c r="R27" s="2158">
        <v>24728879</v>
      </c>
      <c r="S27" s="2159">
        <v>1.3675999999999999</v>
      </c>
    </row>
    <row r="28" spans="1:19" s="1960" customFormat="1" ht="27" customHeight="1">
      <c r="A28" s="2175">
        <v>2022.11</v>
      </c>
      <c r="B28" s="2154">
        <v>13845603</v>
      </c>
      <c r="C28" s="2155">
        <v>0.28000000000000003</v>
      </c>
      <c r="D28" s="2156">
        <v>206162</v>
      </c>
      <c r="E28" s="2155">
        <v>0.91</v>
      </c>
      <c r="F28" s="2156">
        <v>8414223</v>
      </c>
      <c r="G28" s="2155">
        <v>2.8879999999999999</v>
      </c>
      <c r="H28" s="2157">
        <v>8620385</v>
      </c>
      <c r="I28" s="2155">
        <v>2.84</v>
      </c>
      <c r="J28" s="2156">
        <v>2480108</v>
      </c>
      <c r="K28" s="2155">
        <v>2.2200000000000002</v>
      </c>
      <c r="L28" s="2156">
        <v>3163</v>
      </c>
      <c r="M28" s="2155">
        <v>-1.74</v>
      </c>
      <c r="N28" s="2156">
        <v>366639</v>
      </c>
      <c r="O28" s="2155">
        <v>0.91200000000000003</v>
      </c>
      <c r="P28" s="2156">
        <v>2849910</v>
      </c>
      <c r="Q28" s="2155">
        <v>2.0489999999999999</v>
      </c>
      <c r="R28" s="2158">
        <v>25315898</v>
      </c>
      <c r="S28" s="2159">
        <v>1.3389</v>
      </c>
    </row>
    <row r="29" spans="1:19" s="1960" customFormat="1" ht="27" customHeight="1">
      <c r="A29" s="2179">
        <v>2022.12</v>
      </c>
      <c r="B29" s="2180">
        <v>13846501</v>
      </c>
      <c r="C29" s="2181">
        <v>0.26</v>
      </c>
      <c r="D29" s="2182">
        <v>306058</v>
      </c>
      <c r="E29" s="2181">
        <v>69.48</v>
      </c>
      <c r="F29" s="2182">
        <v>8335115</v>
      </c>
      <c r="G29" s="2181">
        <v>1.387</v>
      </c>
      <c r="H29" s="2183">
        <v>8641173</v>
      </c>
      <c r="I29" s="2181">
        <v>2.85</v>
      </c>
      <c r="J29" s="2182">
        <v>2008599</v>
      </c>
      <c r="K29" s="2181">
        <v>3.35</v>
      </c>
      <c r="L29" s="2182">
        <v>3165</v>
      </c>
      <c r="M29" s="2181">
        <v>-1.65</v>
      </c>
      <c r="N29" s="2182">
        <v>366937</v>
      </c>
      <c r="O29" s="2181">
        <v>0.84799999999999998</v>
      </c>
      <c r="P29" s="2182">
        <v>2378701</v>
      </c>
      <c r="Q29" s="2181">
        <v>2.9460000000000002</v>
      </c>
      <c r="R29" s="2184">
        <v>24866375</v>
      </c>
      <c r="S29" s="2185">
        <v>1.399</v>
      </c>
    </row>
    <row r="30" spans="1:19" s="1960" customFormat="1" ht="3" customHeight="1">
      <c r="A30" s="2054"/>
      <c r="B30" s="632"/>
      <c r="C30" s="2186"/>
      <c r="D30" s="632"/>
      <c r="E30" s="2186"/>
      <c r="F30" s="632"/>
      <c r="G30" s="2186"/>
      <c r="H30" s="2157"/>
      <c r="I30" s="2186"/>
      <c r="J30" s="632"/>
      <c r="K30" s="2186"/>
      <c r="L30" s="632"/>
      <c r="M30" s="2186"/>
      <c r="N30" s="632"/>
      <c r="O30" s="2186"/>
      <c r="P30" s="632"/>
      <c r="Q30" s="2186"/>
      <c r="R30" s="2157"/>
      <c r="S30" s="2186"/>
    </row>
    <row r="31" spans="1:19" ht="12" customHeight="1">
      <c r="A31" s="1949" t="s">
        <v>1166</v>
      </c>
      <c r="J31" s="1949" t="s">
        <v>1167</v>
      </c>
    </row>
    <row r="32" spans="1:19" ht="8.1" customHeight="1">
      <c r="A32" s="2031"/>
    </row>
    <row r="33" spans="1:19" s="309" customFormat="1" ht="11.25" customHeight="1">
      <c r="A33" s="631"/>
      <c r="B33" s="1280"/>
      <c r="C33" s="1280"/>
      <c r="D33" s="1280"/>
      <c r="E33" s="1280"/>
      <c r="F33" s="1280"/>
      <c r="G33" s="1280"/>
      <c r="H33" s="1280"/>
      <c r="I33" s="1280"/>
      <c r="J33" s="1280"/>
      <c r="K33" s="1280"/>
      <c r="L33" s="1280"/>
      <c r="M33" s="1280"/>
      <c r="P33" s="1280"/>
      <c r="Q33" s="1280"/>
      <c r="R33" s="2036"/>
      <c r="S33" s="636"/>
    </row>
    <row r="34" spans="1:19" s="309" customFormat="1" ht="13.5" customHeight="1">
      <c r="B34" s="1280"/>
      <c r="C34" s="1280"/>
      <c r="D34" s="1280"/>
      <c r="E34" s="1280"/>
      <c r="F34" s="1280"/>
      <c r="G34" s="1280"/>
      <c r="H34" s="1280"/>
      <c r="I34" s="1280"/>
      <c r="J34" s="1280"/>
      <c r="K34" s="1280"/>
      <c r="L34" s="1280"/>
      <c r="M34" s="1280"/>
      <c r="P34" s="1280"/>
      <c r="Q34" s="1280"/>
      <c r="R34" s="2036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58" orientation="portrait" useFirstPageNumber="1" r:id="rId1"/>
  <headerFooter differentOddEven="1" scaleWithDoc="0" alignWithMargins="0"/>
  <colBreaks count="1" manualBreakCount="1">
    <brk id="9" max="33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="70" zoomScaleNormal="100" zoomScaleSheetLayoutView="70" workbookViewId="0">
      <pane xSplit="1" ySplit="5" topLeftCell="B1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3.25" style="1280" customWidth="1"/>
    <col min="2" max="2" width="13" style="1280" customWidth="1"/>
    <col min="3" max="3" width="7" style="1280" customWidth="1"/>
    <col min="4" max="4" width="13" style="1280" customWidth="1"/>
    <col min="5" max="5" width="7" style="1280" customWidth="1"/>
    <col min="6" max="6" width="13" style="1280" customWidth="1"/>
    <col min="7" max="7" width="7" style="1280" customWidth="1"/>
    <col min="8" max="8" width="13.375" style="1280" customWidth="1"/>
    <col min="9" max="9" width="7" style="1280" customWidth="1"/>
    <col min="10" max="10" width="12.125" style="1280" customWidth="1"/>
    <col min="11" max="11" width="6.5" style="1280" customWidth="1"/>
    <col min="12" max="12" width="12.125" style="1280" customWidth="1"/>
    <col min="13" max="13" width="6.5" style="1280" customWidth="1"/>
    <col min="14" max="14" width="12.125" style="1280" customWidth="1"/>
    <col min="15" max="15" width="6.5" style="1280" customWidth="1"/>
    <col min="16" max="16" width="12.125" style="1280" customWidth="1"/>
    <col min="17" max="17" width="6.5" style="1280" customWidth="1"/>
    <col min="18" max="18" width="12.125" style="1665" customWidth="1"/>
    <col min="19" max="19" width="6.5" style="1280" customWidth="1"/>
    <col min="20" max="20" width="10" style="1280" customWidth="1"/>
    <col min="21" max="21" width="5.875" style="1280" bestFit="1" customWidth="1"/>
    <col min="22" max="22" width="7.875" style="1280" customWidth="1"/>
    <col min="23" max="23" width="5.875" style="1280" bestFit="1" customWidth="1"/>
    <col min="24" max="24" width="7.875" style="1280" customWidth="1"/>
    <col min="25" max="25" width="5.875" style="1280" bestFit="1" customWidth="1"/>
    <col min="26" max="26" width="7.875" style="1280" customWidth="1"/>
    <col min="27" max="27" width="5.875" style="1280" bestFit="1" customWidth="1"/>
    <col min="28" max="28" width="7.875" style="1280" customWidth="1"/>
    <col min="29" max="29" width="5.875" style="1280" bestFit="1" customWidth="1"/>
    <col min="30" max="34" width="13.125" style="1280" customWidth="1"/>
    <col min="35" max="16384" width="7.875" style="1280"/>
  </cols>
  <sheetData>
    <row r="1" spans="1:31" ht="20.25">
      <c r="A1" s="1946" t="s">
        <v>1171</v>
      </c>
    </row>
    <row r="2" spans="1:31" s="1947" customFormat="1" ht="17.25">
      <c r="A2" s="1947" t="s">
        <v>1172</v>
      </c>
      <c r="R2" s="2118"/>
    </row>
    <row r="3" spans="1:31">
      <c r="A3" s="307"/>
      <c r="Q3" s="3085" t="s">
        <v>1150</v>
      </c>
      <c r="R3" s="3085"/>
      <c r="S3" s="3085"/>
    </row>
    <row r="4" spans="1:31" s="307" customFormat="1" ht="21" customHeight="1">
      <c r="A4" s="2881" t="s">
        <v>65</v>
      </c>
      <c r="B4" s="3003" t="s">
        <v>1155</v>
      </c>
      <c r="C4" s="3008"/>
      <c r="D4" s="3010" t="s">
        <v>1156</v>
      </c>
      <c r="E4" s="3006"/>
      <c r="F4" s="3006"/>
      <c r="G4" s="3006"/>
      <c r="H4" s="3006"/>
      <c r="I4" s="3008"/>
      <c r="J4" s="3010" t="s">
        <v>1157</v>
      </c>
      <c r="K4" s="3006"/>
      <c r="L4" s="3006"/>
      <c r="M4" s="3006"/>
      <c r="N4" s="3006"/>
      <c r="O4" s="3006"/>
      <c r="P4" s="3006"/>
      <c r="Q4" s="3087"/>
      <c r="R4" s="3003" t="s">
        <v>1158</v>
      </c>
      <c r="S4" s="3088"/>
    </row>
    <row r="5" spans="1:31" s="307" customFormat="1" ht="21" customHeight="1">
      <c r="A5" s="2883"/>
      <c r="B5" s="3033"/>
      <c r="C5" s="3086"/>
      <c r="D5" s="3082" t="s">
        <v>1159</v>
      </c>
      <c r="E5" s="3083"/>
      <c r="F5" s="3082" t="s">
        <v>1160</v>
      </c>
      <c r="G5" s="3083"/>
      <c r="H5" s="3082" t="s">
        <v>1161</v>
      </c>
      <c r="I5" s="3083"/>
      <c r="J5" s="3082" t="s">
        <v>1162</v>
      </c>
      <c r="K5" s="3083"/>
      <c r="L5" s="3082" t="s">
        <v>1163</v>
      </c>
      <c r="M5" s="3083"/>
      <c r="N5" s="3082" t="s">
        <v>1164</v>
      </c>
      <c r="O5" s="3083"/>
      <c r="P5" s="3082" t="s">
        <v>1165</v>
      </c>
      <c r="Q5" s="3084"/>
      <c r="R5" s="3033"/>
      <c r="S5" s="3089"/>
    </row>
    <row r="6" spans="1:31" ht="24.95" customHeight="1">
      <c r="A6" s="275">
        <v>2011</v>
      </c>
      <c r="B6" s="2130">
        <v>7410428.4939999999</v>
      </c>
      <c r="C6" s="2128">
        <v>0.71</v>
      </c>
      <c r="D6" s="2123">
        <v>1841949.7509999999</v>
      </c>
      <c r="E6" s="2128">
        <v>9.1300000000000008</v>
      </c>
      <c r="F6" s="2123">
        <v>12123242.971999999</v>
      </c>
      <c r="G6" s="2128">
        <v>4.5750000000000002</v>
      </c>
      <c r="H6" s="2123">
        <v>13965192.721999999</v>
      </c>
      <c r="I6" s="2128">
        <v>5.1539999999999999</v>
      </c>
      <c r="J6" s="2123">
        <v>458682.929</v>
      </c>
      <c r="K6" s="2128">
        <v>5.9</v>
      </c>
      <c r="L6" s="2123">
        <v>182590.26</v>
      </c>
      <c r="M6" s="2128">
        <v>18.420000000000002</v>
      </c>
      <c r="N6" s="2123">
        <v>18630157.015999999</v>
      </c>
      <c r="O6" s="2128">
        <v>15.256</v>
      </c>
      <c r="P6" s="2123">
        <v>19271430.204999998</v>
      </c>
      <c r="Q6" s="2129">
        <v>15.042999999999999</v>
      </c>
      <c r="R6" s="2125">
        <v>40647051.420999996</v>
      </c>
      <c r="S6" s="2129">
        <v>8.7108000000000008</v>
      </c>
      <c r="AD6" s="2126"/>
      <c r="AE6" s="2126"/>
    </row>
    <row r="7" spans="1:31" ht="24.95" customHeight="1">
      <c r="A7" s="275">
        <v>2012</v>
      </c>
      <c r="B7" s="2130">
        <v>7881562.4649999999</v>
      </c>
      <c r="C7" s="2128">
        <v>6.36</v>
      </c>
      <c r="D7" s="2123">
        <v>2180065.3489999999</v>
      </c>
      <c r="E7" s="2128">
        <v>18.36</v>
      </c>
      <c r="F7" s="2123">
        <v>13638488.449999999</v>
      </c>
      <c r="G7" s="2128">
        <v>12.499000000000001</v>
      </c>
      <c r="H7" s="2123">
        <v>15818553.799000001</v>
      </c>
      <c r="I7" s="2128">
        <v>13.271000000000001</v>
      </c>
      <c r="J7" s="2123">
        <v>526500.30000000005</v>
      </c>
      <c r="K7" s="2128">
        <v>14.79</v>
      </c>
      <c r="L7" s="2123">
        <v>188666.698</v>
      </c>
      <c r="M7" s="2128">
        <v>3.33</v>
      </c>
      <c r="N7" s="2123">
        <v>21822536.704</v>
      </c>
      <c r="O7" s="2128">
        <v>17.135999999999999</v>
      </c>
      <c r="P7" s="2123">
        <v>22537703.701000001</v>
      </c>
      <c r="Q7" s="2129">
        <v>16.949000000000002</v>
      </c>
      <c r="R7" s="2125">
        <v>46237819.965000004</v>
      </c>
      <c r="S7" s="2129">
        <v>13.7544</v>
      </c>
      <c r="AD7" s="2126"/>
      <c r="AE7" s="2126"/>
    </row>
    <row r="8" spans="1:31" ht="24.95" customHeight="1">
      <c r="A8" s="275">
        <v>2013</v>
      </c>
      <c r="B8" s="2130">
        <v>8112036.5690000001</v>
      </c>
      <c r="C8" s="2128">
        <v>2.92</v>
      </c>
      <c r="D8" s="2123">
        <v>2430882.4739999999</v>
      </c>
      <c r="E8" s="2128">
        <v>11.51</v>
      </c>
      <c r="F8" s="2123">
        <v>14814959.045</v>
      </c>
      <c r="G8" s="2128">
        <v>8.6259999999999994</v>
      </c>
      <c r="H8" s="2123">
        <v>17245841.519000001</v>
      </c>
      <c r="I8" s="2128">
        <v>9.0229999999999997</v>
      </c>
      <c r="J8" s="2123">
        <v>604889.61199999996</v>
      </c>
      <c r="K8" s="2128">
        <v>14.89</v>
      </c>
      <c r="L8" s="2123">
        <v>189325.29699999999</v>
      </c>
      <c r="M8" s="2128">
        <v>0.35</v>
      </c>
      <c r="N8" s="2123">
        <v>24336280.089000002</v>
      </c>
      <c r="O8" s="2128">
        <v>11.519</v>
      </c>
      <c r="P8" s="2123">
        <v>25130494.998</v>
      </c>
      <c r="Q8" s="2129">
        <v>11.504</v>
      </c>
      <c r="R8" s="2125">
        <v>50488373.086000003</v>
      </c>
      <c r="S8" s="2129">
        <v>9.1928000000000001</v>
      </c>
      <c r="AD8" s="2126"/>
      <c r="AE8" s="2126"/>
    </row>
    <row r="9" spans="1:31" ht="24.95" customHeight="1">
      <c r="A9" s="275">
        <v>2014</v>
      </c>
      <c r="B9" s="2130">
        <v>7827744.057</v>
      </c>
      <c r="C9" s="2128">
        <v>-3.5</v>
      </c>
      <c r="D9" s="2123">
        <v>2508151.5</v>
      </c>
      <c r="E9" s="2128">
        <v>3.18</v>
      </c>
      <c r="F9" s="2123">
        <v>15457321.387</v>
      </c>
      <c r="G9" s="2128">
        <v>4.3360000000000003</v>
      </c>
      <c r="H9" s="2123">
        <v>17965472.886999998</v>
      </c>
      <c r="I9" s="2128">
        <v>4.173</v>
      </c>
      <c r="J9" s="2123">
        <v>652572.74699999997</v>
      </c>
      <c r="K9" s="2128">
        <v>7.88</v>
      </c>
      <c r="L9" s="2123">
        <v>211790.78599999999</v>
      </c>
      <c r="M9" s="2128">
        <v>11.87</v>
      </c>
      <c r="N9" s="2123">
        <v>26486490.912999999</v>
      </c>
      <c r="O9" s="2128">
        <v>8.8350000000000009</v>
      </c>
      <c r="P9" s="2123">
        <v>27350854.445999999</v>
      </c>
      <c r="Q9" s="2129">
        <v>8.8350000000000009</v>
      </c>
      <c r="R9" s="2125">
        <v>53144071.390000001</v>
      </c>
      <c r="S9" s="2129">
        <v>5.26</v>
      </c>
      <c r="AD9" s="2126"/>
      <c r="AE9" s="2126"/>
    </row>
    <row r="10" spans="1:31" ht="24.95" customHeight="1">
      <c r="A10" s="275">
        <v>2015</v>
      </c>
      <c r="B10" s="2130">
        <v>7870506.4500000002</v>
      </c>
      <c r="C10" s="2128">
        <v>0.55000000000000004</v>
      </c>
      <c r="D10" s="2123">
        <v>2601868.7659999998</v>
      </c>
      <c r="E10" s="2128">
        <v>3.74</v>
      </c>
      <c r="F10" s="2123">
        <v>16018005.597999999</v>
      </c>
      <c r="G10" s="2128">
        <v>3.6269999999999998</v>
      </c>
      <c r="H10" s="2123">
        <v>18619874.364999998</v>
      </c>
      <c r="I10" s="2128">
        <v>3.6429999999999998</v>
      </c>
      <c r="J10" s="2123">
        <v>704319.79299999995</v>
      </c>
      <c r="K10" s="2128">
        <v>7.93</v>
      </c>
      <c r="L10" s="2123">
        <v>218885.492</v>
      </c>
      <c r="M10" s="2128">
        <v>3.35</v>
      </c>
      <c r="N10" s="2123">
        <v>26550096.364</v>
      </c>
      <c r="O10" s="2128">
        <v>0.24</v>
      </c>
      <c r="P10" s="2123">
        <v>27473301.649</v>
      </c>
      <c r="Q10" s="2129">
        <v>0.44800000000000001</v>
      </c>
      <c r="R10" s="2125">
        <v>53963682.464000002</v>
      </c>
      <c r="S10" s="2129">
        <v>1.5422</v>
      </c>
      <c r="AD10" s="2126"/>
      <c r="AE10" s="2126"/>
    </row>
    <row r="11" spans="1:31" ht="24.95" customHeight="1">
      <c r="A11" s="275">
        <v>2016</v>
      </c>
      <c r="B11" s="2130">
        <v>8018072.7800000003</v>
      </c>
      <c r="C11" s="2128">
        <v>1.87</v>
      </c>
      <c r="D11" s="2123">
        <v>2689381.077</v>
      </c>
      <c r="E11" s="2128">
        <v>3.36</v>
      </c>
      <c r="F11" s="2123">
        <v>16803508.66</v>
      </c>
      <c r="G11" s="2128">
        <v>4.9039999999999999</v>
      </c>
      <c r="H11" s="2123">
        <v>19492889.738000002</v>
      </c>
      <c r="I11" s="2128">
        <v>4.6890000000000001</v>
      </c>
      <c r="J11" s="2123">
        <v>743145.85800000001</v>
      </c>
      <c r="K11" s="2128">
        <v>5.51</v>
      </c>
      <c r="L11" s="2123">
        <v>231244.73499999999</v>
      </c>
      <c r="M11" s="2128">
        <v>5.65</v>
      </c>
      <c r="N11" s="2123">
        <v>26802169.949000001</v>
      </c>
      <c r="O11" s="2128">
        <v>0.94899999999999995</v>
      </c>
      <c r="P11" s="2123">
        <v>27776560.541999999</v>
      </c>
      <c r="Q11" s="2129">
        <v>1.1040000000000001</v>
      </c>
      <c r="R11" s="2125">
        <v>55287523.060000002</v>
      </c>
      <c r="S11" s="2129">
        <v>2.4531999999999998</v>
      </c>
      <c r="AD11" s="2126"/>
      <c r="AE11" s="2126"/>
    </row>
    <row r="12" spans="1:31" s="1960" customFormat="1" ht="24.95" customHeight="1">
      <c r="A12" s="275">
        <v>2017</v>
      </c>
      <c r="B12" s="2130">
        <v>7217140.4500000002</v>
      </c>
      <c r="C12" s="2128">
        <v>-9.99</v>
      </c>
      <c r="D12" s="2123">
        <v>2704963.6430000002</v>
      </c>
      <c r="E12" s="2128">
        <v>0.57999999999999996</v>
      </c>
      <c r="F12" s="2123">
        <v>17170717.342</v>
      </c>
      <c r="G12" s="2128">
        <v>2.1850000000000001</v>
      </c>
      <c r="H12" s="2123">
        <v>19875680.984999999</v>
      </c>
      <c r="I12" s="2128">
        <v>1.964</v>
      </c>
      <c r="J12" s="2123">
        <v>773427.37600000005</v>
      </c>
      <c r="K12" s="2128">
        <v>4.07</v>
      </c>
      <c r="L12" s="2123">
        <v>231031.894</v>
      </c>
      <c r="M12" s="2128">
        <v>-0.09</v>
      </c>
      <c r="N12" s="2123">
        <v>27516730.105999999</v>
      </c>
      <c r="O12" s="2128">
        <v>2.6659999999999999</v>
      </c>
      <c r="P12" s="2123">
        <v>28521189.375999998</v>
      </c>
      <c r="Q12" s="2129">
        <v>2.681</v>
      </c>
      <c r="R12" s="2125">
        <v>55614010.810000002</v>
      </c>
      <c r="S12" s="2129">
        <v>0.59050000000000002</v>
      </c>
      <c r="T12" s="2133"/>
      <c r="AD12" s="2134"/>
      <c r="AE12" s="2134"/>
    </row>
    <row r="13" spans="1:31" s="1960" customFormat="1" ht="24.95" customHeight="1">
      <c r="A13" s="275">
        <v>2018</v>
      </c>
      <c r="B13" s="2130">
        <v>7543651.8600000003</v>
      </c>
      <c r="C13" s="2128">
        <v>4.5199999999999996</v>
      </c>
      <c r="D13" s="2123">
        <v>2825319.591</v>
      </c>
      <c r="E13" s="2128">
        <v>4.45</v>
      </c>
      <c r="F13" s="2123">
        <v>18258819.302999999</v>
      </c>
      <c r="G13" s="2128">
        <v>6.3369999999999997</v>
      </c>
      <c r="H13" s="2123">
        <v>21084138.892999999</v>
      </c>
      <c r="I13" s="2128">
        <v>6.08</v>
      </c>
      <c r="J13" s="2123">
        <v>826588.45299999998</v>
      </c>
      <c r="K13" s="2128">
        <v>6.87</v>
      </c>
      <c r="L13" s="2123">
        <v>198110.89199999999</v>
      </c>
      <c r="M13" s="2128">
        <v>-14.25</v>
      </c>
      <c r="N13" s="2123">
        <v>27565096.307999998</v>
      </c>
      <c r="O13" s="2128" t="s">
        <v>171</v>
      </c>
      <c r="P13" s="2123">
        <v>28589795.653000001</v>
      </c>
      <c r="Q13" s="2129">
        <v>0.24099999999999999</v>
      </c>
      <c r="R13" s="2125">
        <v>57217586.406000003</v>
      </c>
      <c r="S13" s="2129">
        <v>2.8834</v>
      </c>
      <c r="T13" s="2133"/>
      <c r="AD13" s="2134"/>
      <c r="AE13" s="2134"/>
    </row>
    <row r="14" spans="1:31" s="1960" customFormat="1" ht="24.95" customHeight="1">
      <c r="A14" s="275">
        <v>2019</v>
      </c>
      <c r="B14" s="2130">
        <v>7379937.7120000003</v>
      </c>
      <c r="C14" s="2128">
        <v>-2.17</v>
      </c>
      <c r="D14" s="2123">
        <v>2819539.9380000001</v>
      </c>
      <c r="E14" s="2128">
        <v>-0.2</v>
      </c>
      <c r="F14" s="2123">
        <v>18137891.787999999</v>
      </c>
      <c r="G14" s="2128">
        <v>-0.66200000000000003</v>
      </c>
      <c r="H14" s="2123">
        <v>20957431.726</v>
      </c>
      <c r="I14" s="2128">
        <v>-0.60099999999999998</v>
      </c>
      <c r="J14" s="2123">
        <v>841437.38500000001</v>
      </c>
      <c r="K14" s="2128">
        <v>1.8</v>
      </c>
      <c r="L14" s="2123">
        <v>198154.56200000001</v>
      </c>
      <c r="M14" s="2128">
        <v>0.02</v>
      </c>
      <c r="N14" s="2123">
        <v>27179538.907000002</v>
      </c>
      <c r="O14" s="2128">
        <v>-1.399</v>
      </c>
      <c r="P14" s="2123">
        <v>28219130.853999998</v>
      </c>
      <c r="Q14" s="2129">
        <v>-1.296</v>
      </c>
      <c r="R14" s="2125">
        <v>56556500.292000003</v>
      </c>
      <c r="S14" s="2129">
        <v>-1.1554</v>
      </c>
      <c r="T14" s="2133"/>
      <c r="AD14" s="2134"/>
      <c r="AE14" s="2134"/>
    </row>
    <row r="15" spans="1:31" ht="24.95" customHeight="1">
      <c r="A15" s="275">
        <v>2020</v>
      </c>
      <c r="B15" s="2130">
        <v>7978443.2340000002</v>
      </c>
      <c r="C15" s="2128">
        <v>8.11</v>
      </c>
      <c r="D15" s="2123">
        <v>2743034.2790000001</v>
      </c>
      <c r="E15" s="2128">
        <v>-2.71</v>
      </c>
      <c r="F15" s="2123">
        <v>17818177.679000001</v>
      </c>
      <c r="G15" s="2128">
        <v>-1.7629999999999999</v>
      </c>
      <c r="H15" s="2123">
        <v>20561211.958000001</v>
      </c>
      <c r="I15" s="2128">
        <v>-1.891</v>
      </c>
      <c r="J15" s="2123">
        <v>839672.00100000005</v>
      </c>
      <c r="K15" s="2128">
        <v>-0.21</v>
      </c>
      <c r="L15" s="2123">
        <v>202440.50200000001</v>
      </c>
      <c r="M15" s="2128">
        <v>2.16</v>
      </c>
      <c r="N15" s="2123">
        <v>26336810.513</v>
      </c>
      <c r="O15" s="2128">
        <v>-3.101</v>
      </c>
      <c r="P15" s="2123">
        <v>27378923.017000001</v>
      </c>
      <c r="Q15" s="2129">
        <v>-2.9769999999999999</v>
      </c>
      <c r="R15" s="2125">
        <v>55918578.210000001</v>
      </c>
      <c r="S15" s="2129">
        <v>-1.1278999999999999</v>
      </c>
      <c r="T15" s="2152"/>
      <c r="AD15" s="2126"/>
      <c r="AE15" s="2126"/>
    </row>
    <row r="16" spans="1:31" s="1960" customFormat="1" ht="24.95" customHeight="1">
      <c r="A16" s="2187">
        <v>2021</v>
      </c>
      <c r="B16" s="2136">
        <v>8449662.2170000002</v>
      </c>
      <c r="C16" s="2137">
        <v>5.91</v>
      </c>
      <c r="D16" s="2138">
        <v>2853935.3059999999</v>
      </c>
      <c r="E16" s="2137">
        <v>4.04</v>
      </c>
      <c r="F16" s="2138">
        <v>17916480.901999999</v>
      </c>
      <c r="G16" s="2137">
        <v>0.55200000000000005</v>
      </c>
      <c r="H16" s="2138">
        <v>20770416.208000001</v>
      </c>
      <c r="I16" s="2137">
        <v>1.0169999999999999</v>
      </c>
      <c r="J16" s="2138">
        <v>866970.00699999998</v>
      </c>
      <c r="K16" s="2137">
        <v>3.25</v>
      </c>
      <c r="L16" s="2138">
        <v>230370.63399999999</v>
      </c>
      <c r="M16" s="2137">
        <v>13.8</v>
      </c>
      <c r="N16" s="2138">
        <v>27354068.462000001</v>
      </c>
      <c r="O16" s="2137">
        <v>3.8620000000000001</v>
      </c>
      <c r="P16" s="2138">
        <v>28451409.103</v>
      </c>
      <c r="Q16" s="2139">
        <v>3.9169999999999998</v>
      </c>
      <c r="R16" s="2140">
        <v>57671487.527999997</v>
      </c>
      <c r="S16" s="2139">
        <v>3.1347999999999998</v>
      </c>
      <c r="T16" s="2133"/>
      <c r="AD16" s="2134"/>
      <c r="AE16" s="2134"/>
    </row>
    <row r="17" spans="1:31" s="1960" customFormat="1" ht="24.95" customHeight="1">
      <c r="A17" s="1782" t="s">
        <v>795</v>
      </c>
      <c r="B17" s="2188">
        <v>8449662.2170000002</v>
      </c>
      <c r="C17" s="2142">
        <v>5.91</v>
      </c>
      <c r="D17" s="2143">
        <v>2853935.3059999999</v>
      </c>
      <c r="E17" s="2142">
        <v>4.04</v>
      </c>
      <c r="F17" s="2143">
        <v>17916480.901999999</v>
      </c>
      <c r="G17" s="2142">
        <v>0.55200000000000005</v>
      </c>
      <c r="H17" s="2143">
        <v>20770416.208000001</v>
      </c>
      <c r="I17" s="2142">
        <v>1.0169999999999999</v>
      </c>
      <c r="J17" s="2143">
        <v>866970.00699999998</v>
      </c>
      <c r="K17" s="2142">
        <v>3.25</v>
      </c>
      <c r="L17" s="2143">
        <v>230370.63399999999</v>
      </c>
      <c r="M17" s="2142">
        <v>13.8</v>
      </c>
      <c r="N17" s="2143">
        <v>27354068.462000001</v>
      </c>
      <c r="O17" s="2142">
        <v>3.8620000000000001</v>
      </c>
      <c r="P17" s="2143">
        <v>28451409.103</v>
      </c>
      <c r="Q17" s="2144">
        <v>3.9169999999999998</v>
      </c>
      <c r="R17" s="2189">
        <v>57671487.527999997</v>
      </c>
      <c r="S17" s="2190">
        <v>3.1347999999999998</v>
      </c>
      <c r="T17" s="2133"/>
      <c r="AD17" s="2134"/>
      <c r="AE17" s="2134"/>
    </row>
    <row r="18" spans="1:31" s="1960" customFormat="1" ht="24.95" customHeight="1">
      <c r="A18" s="1507">
        <v>2021.12</v>
      </c>
      <c r="B18" s="2130">
        <v>692447.17</v>
      </c>
      <c r="C18" s="2128">
        <v>1.51</v>
      </c>
      <c r="D18" s="2123">
        <v>281168.51799999998</v>
      </c>
      <c r="E18" s="2128">
        <v>2.42</v>
      </c>
      <c r="F18" s="2123">
        <v>1734785.68</v>
      </c>
      <c r="G18" s="2128">
        <v>6.077</v>
      </c>
      <c r="H18" s="2123">
        <v>2015954.1980000001</v>
      </c>
      <c r="I18" s="2128">
        <v>5.5519999999999996</v>
      </c>
      <c r="J18" s="2123">
        <v>80595.528000000006</v>
      </c>
      <c r="K18" s="2128">
        <v>6.07</v>
      </c>
      <c r="L18" s="2123">
        <v>22473.123</v>
      </c>
      <c r="M18" s="2128">
        <v>1.5</v>
      </c>
      <c r="N18" s="2123">
        <v>2657939.571</v>
      </c>
      <c r="O18" s="2128">
        <v>5.9770000000000003</v>
      </c>
      <c r="P18" s="2123">
        <v>2761008.2220000001</v>
      </c>
      <c r="Q18" s="2131">
        <v>5.9420000000000002</v>
      </c>
      <c r="R18" s="2125">
        <v>5469409.5899999999</v>
      </c>
      <c r="S18" s="2129">
        <v>5.2164000000000001</v>
      </c>
      <c r="T18" s="2133"/>
      <c r="AD18" s="2134"/>
      <c r="AE18" s="2134"/>
    </row>
    <row r="19" spans="1:31" s="1960" customFormat="1" ht="24.95" customHeight="1">
      <c r="A19" s="1751" t="s">
        <v>796</v>
      </c>
      <c r="B19" s="2141">
        <v>9508115.7740000002</v>
      </c>
      <c r="C19" s="2142">
        <v>12.53</v>
      </c>
      <c r="D19" s="2143">
        <v>3237831.19</v>
      </c>
      <c r="E19" s="2142">
        <v>13.45</v>
      </c>
      <c r="F19" s="2143">
        <v>20549823.918000001</v>
      </c>
      <c r="G19" s="2142">
        <v>14.698</v>
      </c>
      <c r="H19" s="2143">
        <v>23787655.107999999</v>
      </c>
      <c r="I19" s="2142">
        <v>14.526999999999999</v>
      </c>
      <c r="J19" s="2143">
        <v>1115316.939</v>
      </c>
      <c r="K19" s="2142">
        <v>28.65</v>
      </c>
      <c r="L19" s="2143">
        <v>247603.96299999999</v>
      </c>
      <c r="M19" s="2142">
        <v>7.48</v>
      </c>
      <c r="N19" s="2143">
        <v>31371392.500999998</v>
      </c>
      <c r="O19" s="2142">
        <v>14.686</v>
      </c>
      <c r="P19" s="2143">
        <v>32734313.401999999</v>
      </c>
      <c r="Q19" s="2144">
        <v>15.053000000000001</v>
      </c>
      <c r="R19" s="2141">
        <v>66030084.284999996</v>
      </c>
      <c r="S19" s="2144">
        <v>14.493499999999999</v>
      </c>
      <c r="T19" s="2133"/>
      <c r="AD19" s="2134"/>
      <c r="AE19" s="2134"/>
    </row>
    <row r="20" spans="1:31" s="1960" customFormat="1" ht="24.95" customHeight="1">
      <c r="A20" s="1507">
        <v>2022.01</v>
      </c>
      <c r="B20" s="2130">
        <v>813264.36499999999</v>
      </c>
      <c r="C20" s="2128">
        <v>0.84</v>
      </c>
      <c r="D20" s="2123">
        <v>300543.35700000002</v>
      </c>
      <c r="E20" s="2128">
        <v>3.86</v>
      </c>
      <c r="F20" s="2123">
        <v>1831274.6089999999</v>
      </c>
      <c r="G20" s="2128">
        <v>3.7210000000000001</v>
      </c>
      <c r="H20" s="2123">
        <v>2131817.966</v>
      </c>
      <c r="I20" s="2128">
        <v>3.7410000000000001</v>
      </c>
      <c r="J20" s="2123">
        <v>95589.64</v>
      </c>
      <c r="K20" s="2128">
        <v>10.72</v>
      </c>
      <c r="L20" s="2123">
        <v>21386.935000000001</v>
      </c>
      <c r="M20" s="2128">
        <v>7.33</v>
      </c>
      <c r="N20" s="2123">
        <v>2654334.426</v>
      </c>
      <c r="O20" s="2128">
        <v>7.0330000000000004</v>
      </c>
      <c r="P20" s="2123">
        <v>2771311.0019999999</v>
      </c>
      <c r="Q20" s="2131">
        <v>7.1589999999999998</v>
      </c>
      <c r="R20" s="2125">
        <v>5716393.3329999996</v>
      </c>
      <c r="S20" s="2129">
        <v>4.9349999999999996</v>
      </c>
      <c r="T20" s="2133"/>
      <c r="AD20" s="2134"/>
      <c r="AE20" s="2134"/>
    </row>
    <row r="21" spans="1:31" s="1960" customFormat="1" ht="24.95" customHeight="1">
      <c r="A21" s="1507">
        <v>2022.02</v>
      </c>
      <c r="B21" s="2130">
        <v>809441.16</v>
      </c>
      <c r="C21" s="2128">
        <v>6.95</v>
      </c>
      <c r="D21" s="2123">
        <v>279979.85800000001</v>
      </c>
      <c r="E21" s="2128">
        <v>5.39</v>
      </c>
      <c r="F21" s="2123">
        <v>1834051.159</v>
      </c>
      <c r="G21" s="2128">
        <v>8.9329999999999998</v>
      </c>
      <c r="H21" s="2123">
        <v>2114031.017</v>
      </c>
      <c r="I21" s="2128">
        <v>8.4499999999999993</v>
      </c>
      <c r="J21" s="2123">
        <v>96404.34</v>
      </c>
      <c r="K21" s="2128">
        <v>15.85</v>
      </c>
      <c r="L21" s="2123">
        <v>19434.030999999999</v>
      </c>
      <c r="M21" s="2128">
        <v>2.2999999999999998</v>
      </c>
      <c r="N21" s="2123">
        <v>2439081.625</v>
      </c>
      <c r="O21" s="2128">
        <v>6.7859999999999996</v>
      </c>
      <c r="P21" s="2123">
        <v>2554919.9959999998</v>
      </c>
      <c r="Q21" s="2131">
        <v>7.0670000000000002</v>
      </c>
      <c r="R21" s="2125">
        <v>5478392.1730000004</v>
      </c>
      <c r="S21" s="2129">
        <v>7.5785</v>
      </c>
      <c r="T21" s="2133"/>
      <c r="AD21" s="2134"/>
      <c r="AE21" s="2134"/>
    </row>
    <row r="22" spans="1:31" s="1960" customFormat="1" ht="24.95" customHeight="1">
      <c r="A22" s="296">
        <v>2022.03</v>
      </c>
      <c r="B22" s="2130">
        <v>656469.51</v>
      </c>
      <c r="C22" s="2128">
        <v>12.48</v>
      </c>
      <c r="D22" s="2123">
        <v>237593.77</v>
      </c>
      <c r="E22" s="2128">
        <v>7.94</v>
      </c>
      <c r="F22" s="2123">
        <v>1462934.5249999999</v>
      </c>
      <c r="G22" s="2128">
        <v>9.3520000000000003</v>
      </c>
      <c r="H22" s="2123">
        <v>1700528.294</v>
      </c>
      <c r="I22" s="2128">
        <v>9.1519999999999992</v>
      </c>
      <c r="J22" s="2123">
        <v>83235.858999999997</v>
      </c>
      <c r="K22" s="2128">
        <v>19.100000000000001</v>
      </c>
      <c r="L22" s="2123">
        <v>17692.074000000001</v>
      </c>
      <c r="M22" s="2128">
        <v>2.73</v>
      </c>
      <c r="N22" s="2123">
        <v>2155953.4160000002</v>
      </c>
      <c r="O22" s="2128">
        <v>7.9770000000000003</v>
      </c>
      <c r="P22" s="2123">
        <v>2256881.3489999999</v>
      </c>
      <c r="Q22" s="2131">
        <v>8.3070000000000004</v>
      </c>
      <c r="R22" s="2125">
        <v>4613879.1540000001</v>
      </c>
      <c r="S22" s="2129">
        <v>9.1951999999999998</v>
      </c>
      <c r="T22" s="2133"/>
      <c r="AD22" s="2134"/>
      <c r="AE22" s="2134"/>
    </row>
    <row r="23" spans="1:31" s="1960" customFormat="1" ht="24.95" customHeight="1">
      <c r="A23" s="296">
        <v>2022.04</v>
      </c>
      <c r="B23" s="2130">
        <v>687241.49</v>
      </c>
      <c r="C23" s="2128">
        <v>12.07</v>
      </c>
      <c r="D23" s="2123">
        <v>213199.07800000001</v>
      </c>
      <c r="E23" s="2128">
        <v>10.77</v>
      </c>
      <c r="F23" s="2123">
        <v>1335715.7139999999</v>
      </c>
      <c r="G23" s="2128">
        <v>12.037000000000001</v>
      </c>
      <c r="H23" s="2123">
        <v>1548914.7919999999</v>
      </c>
      <c r="I23" s="2128">
        <v>11.861000000000001</v>
      </c>
      <c r="J23" s="2123">
        <v>78499.271999999997</v>
      </c>
      <c r="K23" s="2128">
        <v>21.5</v>
      </c>
      <c r="L23" s="2123">
        <v>18158.387999999999</v>
      </c>
      <c r="M23" s="2128">
        <v>3.84</v>
      </c>
      <c r="N23" s="2123">
        <v>2205075.1230000001</v>
      </c>
      <c r="O23" s="2128">
        <v>13.205</v>
      </c>
      <c r="P23" s="2123">
        <v>2301732.7829999998</v>
      </c>
      <c r="Q23" s="2131">
        <v>13.388</v>
      </c>
      <c r="R23" s="2125">
        <v>4537889.0650000004</v>
      </c>
      <c r="S23" s="2129">
        <v>12.6631</v>
      </c>
      <c r="T23" s="2133"/>
      <c r="AD23" s="2134"/>
      <c r="AE23" s="2134"/>
    </row>
    <row r="24" spans="1:31" s="1960" customFormat="1" ht="24.95" customHeight="1">
      <c r="A24" s="296">
        <v>2022.05</v>
      </c>
      <c r="B24" s="2130">
        <v>627349.47699999996</v>
      </c>
      <c r="C24" s="2128">
        <v>12.08</v>
      </c>
      <c r="D24" s="2123">
        <v>199305.93400000001</v>
      </c>
      <c r="E24" s="2128">
        <v>11.6</v>
      </c>
      <c r="F24" s="2123">
        <v>1324199.3500000001</v>
      </c>
      <c r="G24" s="2128">
        <v>15.468</v>
      </c>
      <c r="H24" s="2123">
        <v>1523505.2849999999</v>
      </c>
      <c r="I24" s="2128">
        <v>14.946999999999999</v>
      </c>
      <c r="J24" s="2123">
        <v>74730.641000000003</v>
      </c>
      <c r="K24" s="2128">
        <v>28.06</v>
      </c>
      <c r="L24" s="2123">
        <v>17699.183000000001</v>
      </c>
      <c r="M24" s="2128">
        <v>6.2</v>
      </c>
      <c r="N24" s="2123">
        <v>2210980.9279999998</v>
      </c>
      <c r="O24" s="2128">
        <v>15.526999999999999</v>
      </c>
      <c r="P24" s="2123">
        <v>2303410.753</v>
      </c>
      <c r="Q24" s="2131">
        <v>15.817</v>
      </c>
      <c r="R24" s="2125">
        <v>4454265.5149999997</v>
      </c>
      <c r="S24" s="2129">
        <v>14.9786</v>
      </c>
      <c r="T24" s="2133"/>
      <c r="AD24" s="2134"/>
      <c r="AE24" s="2134"/>
    </row>
    <row r="25" spans="1:31" s="1960" customFormat="1" ht="24.95" customHeight="1">
      <c r="A25" s="296">
        <v>2022.06</v>
      </c>
      <c r="B25" s="2130">
        <v>667255.75600000005</v>
      </c>
      <c r="C25" s="2128">
        <v>11.12</v>
      </c>
      <c r="D25" s="2123">
        <v>250245.13200000001</v>
      </c>
      <c r="E25" s="2128">
        <v>6.57</v>
      </c>
      <c r="F25" s="2123">
        <v>1602962.341</v>
      </c>
      <c r="G25" s="2128">
        <v>11.798</v>
      </c>
      <c r="H25" s="2123">
        <v>1853207.473</v>
      </c>
      <c r="I25" s="2128">
        <v>11.063000000000001</v>
      </c>
      <c r="J25" s="2123">
        <v>79190.164000000004</v>
      </c>
      <c r="K25" s="2128">
        <v>33.24</v>
      </c>
      <c r="L25" s="2123">
        <v>20735.748</v>
      </c>
      <c r="M25" s="2128">
        <v>-1.61</v>
      </c>
      <c r="N25" s="2123">
        <v>2628993.0159999998</v>
      </c>
      <c r="O25" s="2128">
        <v>7.117</v>
      </c>
      <c r="P25" s="2123">
        <v>2728918.9279999998</v>
      </c>
      <c r="Q25" s="2131">
        <v>7.657</v>
      </c>
      <c r="R25" s="2125">
        <v>5249382.1569999997</v>
      </c>
      <c r="S25" s="2129">
        <v>9.2727000000000004</v>
      </c>
      <c r="T25" s="2133"/>
      <c r="AD25" s="2134"/>
      <c r="AE25" s="2134"/>
    </row>
    <row r="26" spans="1:31" s="1960" customFormat="1" ht="24.95" customHeight="1">
      <c r="A26" s="296">
        <v>2022.07</v>
      </c>
      <c r="B26" s="2130">
        <v>931392.02099999995</v>
      </c>
      <c r="C26" s="2128">
        <v>27.95</v>
      </c>
      <c r="D26" s="2123">
        <v>315396.14500000002</v>
      </c>
      <c r="E26" s="2128">
        <v>15.96</v>
      </c>
      <c r="F26" s="2123">
        <v>2038025.2890000001</v>
      </c>
      <c r="G26" s="2128">
        <v>18.93</v>
      </c>
      <c r="H26" s="2123">
        <v>2353421.4339999999</v>
      </c>
      <c r="I26" s="2128">
        <v>18.523</v>
      </c>
      <c r="J26" s="2123">
        <v>90332.84</v>
      </c>
      <c r="K26" s="2128">
        <v>41.94</v>
      </c>
      <c r="L26" s="2123">
        <v>22760.46</v>
      </c>
      <c r="M26" s="2128">
        <v>4.6100000000000003</v>
      </c>
      <c r="N26" s="2123">
        <v>3039507.7480000001</v>
      </c>
      <c r="O26" s="2128">
        <v>14.737</v>
      </c>
      <c r="P26" s="2123">
        <v>3152601.0469999998</v>
      </c>
      <c r="Q26" s="2131">
        <v>15.289</v>
      </c>
      <c r="R26" s="2125">
        <v>6437414.5020000003</v>
      </c>
      <c r="S26" s="2129">
        <v>18.159600000000001</v>
      </c>
      <c r="T26" s="2133"/>
      <c r="AD26" s="2134"/>
      <c r="AE26" s="2134"/>
    </row>
    <row r="27" spans="1:31" s="1960" customFormat="1" ht="24.95" customHeight="1">
      <c r="A27" s="296">
        <v>2022.08</v>
      </c>
      <c r="B27" s="2130">
        <v>1128299.6510000001</v>
      </c>
      <c r="C27" s="2128">
        <v>3.2</v>
      </c>
      <c r="D27" s="2123">
        <v>318657.99099999998</v>
      </c>
      <c r="E27" s="2128">
        <v>16.73</v>
      </c>
      <c r="F27" s="2123">
        <v>2152407.3939999999</v>
      </c>
      <c r="G27" s="2128">
        <v>17.143000000000001</v>
      </c>
      <c r="H27" s="2123">
        <v>2471065.3840000001</v>
      </c>
      <c r="I27" s="2128">
        <v>17.088999999999999</v>
      </c>
      <c r="J27" s="2123">
        <v>104850.95</v>
      </c>
      <c r="K27" s="2128">
        <v>31.07</v>
      </c>
      <c r="L27" s="2123">
        <v>22016.485000000001</v>
      </c>
      <c r="M27" s="2128">
        <v>9.5</v>
      </c>
      <c r="N27" s="2123">
        <v>2937846.9440000001</v>
      </c>
      <c r="O27" s="2128">
        <v>17.863</v>
      </c>
      <c r="P27" s="2123">
        <v>3064714.3790000002</v>
      </c>
      <c r="Q27" s="2131">
        <v>18.206</v>
      </c>
      <c r="R27" s="2125">
        <v>6664079.415</v>
      </c>
      <c r="S27" s="2129">
        <v>14.969900000000001</v>
      </c>
      <c r="T27" s="2133"/>
      <c r="AD27" s="2134"/>
      <c r="AE27" s="2134"/>
    </row>
    <row r="28" spans="1:31" s="1960" customFormat="1" ht="24.95" customHeight="1">
      <c r="A28" s="296">
        <v>2022.09</v>
      </c>
      <c r="B28" s="2130">
        <v>876593.59100000001</v>
      </c>
      <c r="C28" s="2128">
        <v>19.920000000000002</v>
      </c>
      <c r="D28" s="2123">
        <v>258514.459</v>
      </c>
      <c r="E28" s="2128">
        <v>16.940000000000001</v>
      </c>
      <c r="F28" s="2123">
        <v>1714013.16</v>
      </c>
      <c r="G28" s="2128">
        <v>19.77</v>
      </c>
      <c r="H28" s="2123">
        <v>1972527.6189999999</v>
      </c>
      <c r="I28" s="2128">
        <v>19.391999999999999</v>
      </c>
      <c r="J28" s="2123">
        <v>97851.592999999993</v>
      </c>
      <c r="K28" s="2128">
        <v>30.99</v>
      </c>
      <c r="L28" s="2123">
        <v>18487.449000000001</v>
      </c>
      <c r="M28" s="2128">
        <v>10.32</v>
      </c>
      <c r="N28" s="2123">
        <v>2315805.5099999998</v>
      </c>
      <c r="O28" s="2128">
        <v>14.127000000000001</v>
      </c>
      <c r="P28" s="2123">
        <v>2432144.5520000001</v>
      </c>
      <c r="Q28" s="2131">
        <v>14.691000000000001</v>
      </c>
      <c r="R28" s="2125">
        <v>5281265.7620000001</v>
      </c>
      <c r="S28" s="2129">
        <v>17.264800000000001</v>
      </c>
      <c r="T28" s="2133"/>
      <c r="AD28" s="2134"/>
      <c r="AE28" s="2134"/>
    </row>
    <row r="29" spans="1:31" s="1960" customFormat="1" ht="24.95" customHeight="1">
      <c r="A29" s="296">
        <v>2022.1</v>
      </c>
      <c r="B29" s="2130">
        <v>720038.29500000004</v>
      </c>
      <c r="C29" s="2128">
        <v>13.79</v>
      </c>
      <c r="D29" s="2123">
        <v>231563.701</v>
      </c>
      <c r="E29" s="2128">
        <v>20.69</v>
      </c>
      <c r="F29" s="2123">
        <v>1484469.1710000001</v>
      </c>
      <c r="G29" s="2128">
        <v>22.059000000000001</v>
      </c>
      <c r="H29" s="2123">
        <v>1716032.871</v>
      </c>
      <c r="I29" s="2128">
        <v>21.872</v>
      </c>
      <c r="J29" s="2123">
        <v>86807.557000000001</v>
      </c>
      <c r="K29" s="2128">
        <v>29.37</v>
      </c>
      <c r="L29" s="2123">
        <v>19595.940999999999</v>
      </c>
      <c r="M29" s="2128">
        <v>19.670000000000002</v>
      </c>
      <c r="N29" s="2123">
        <v>2535661.9759999998</v>
      </c>
      <c r="O29" s="2128">
        <v>28.329000000000001</v>
      </c>
      <c r="P29" s="2123">
        <v>2642065.4739999999</v>
      </c>
      <c r="Q29" s="2131">
        <v>28.294</v>
      </c>
      <c r="R29" s="2125">
        <v>5078136.6399999997</v>
      </c>
      <c r="S29" s="2129">
        <v>23.85</v>
      </c>
      <c r="T29" s="2133"/>
      <c r="AD29" s="2134"/>
      <c r="AE29" s="2134"/>
    </row>
    <row r="30" spans="1:31" s="1960" customFormat="1" ht="24.95" customHeight="1">
      <c r="A30" s="296">
        <v>2022.11</v>
      </c>
      <c r="B30" s="2130">
        <v>762552.93500000006</v>
      </c>
      <c r="C30" s="2128">
        <v>16.97</v>
      </c>
      <c r="D30" s="2123">
        <v>279171.47600000002</v>
      </c>
      <c r="E30" s="2128">
        <v>19.39</v>
      </c>
      <c r="F30" s="2123">
        <v>1709675.5379999999</v>
      </c>
      <c r="G30" s="2128">
        <v>20.103000000000002</v>
      </c>
      <c r="H30" s="2123">
        <v>1988847.014</v>
      </c>
      <c r="I30" s="2128">
        <v>20.001999999999999</v>
      </c>
      <c r="J30" s="2123">
        <v>115069.694</v>
      </c>
      <c r="K30" s="2128">
        <v>45.48</v>
      </c>
      <c r="L30" s="2123">
        <v>24630.815999999999</v>
      </c>
      <c r="M30" s="2128">
        <v>14.39</v>
      </c>
      <c r="N30" s="2123">
        <v>3040604.6230000001</v>
      </c>
      <c r="O30" s="2128">
        <v>22.966999999999999</v>
      </c>
      <c r="P30" s="2123">
        <v>3180305.1329999999</v>
      </c>
      <c r="Q30" s="2131">
        <v>23.587</v>
      </c>
      <c r="R30" s="2125">
        <v>5931705.0820000004</v>
      </c>
      <c r="S30" s="2129">
        <v>21.487400000000001</v>
      </c>
      <c r="T30" s="2133"/>
      <c r="AD30" s="2134"/>
      <c r="AE30" s="2134"/>
    </row>
    <row r="31" spans="1:31" s="1960" customFormat="1" ht="24.95" customHeight="1">
      <c r="A31" s="298">
        <v>2022.12</v>
      </c>
      <c r="B31" s="2191">
        <v>828217.52300000004</v>
      </c>
      <c r="C31" s="2149">
        <v>19.61</v>
      </c>
      <c r="D31" s="2150">
        <v>353660.28899999999</v>
      </c>
      <c r="E31" s="2149">
        <v>25.78</v>
      </c>
      <c r="F31" s="2150">
        <v>2060095.669</v>
      </c>
      <c r="G31" s="2149">
        <v>18.751999999999999</v>
      </c>
      <c r="H31" s="2150">
        <v>2413755.9580000001</v>
      </c>
      <c r="I31" s="2149">
        <v>19.733000000000001</v>
      </c>
      <c r="J31" s="2150">
        <v>112754.389</v>
      </c>
      <c r="K31" s="2149">
        <v>39.9</v>
      </c>
      <c r="L31" s="2150">
        <v>25006.452000000001</v>
      </c>
      <c r="M31" s="2149">
        <v>11.27</v>
      </c>
      <c r="N31" s="2150">
        <v>3207547.165</v>
      </c>
      <c r="O31" s="2149">
        <v>20.678000000000001</v>
      </c>
      <c r="P31" s="2150">
        <v>3345308.0060000001</v>
      </c>
      <c r="Q31" s="2151">
        <v>21.163</v>
      </c>
      <c r="R31" s="2192">
        <v>6587281.4869999997</v>
      </c>
      <c r="S31" s="2193">
        <v>20.438600000000001</v>
      </c>
      <c r="T31" s="2133"/>
      <c r="AD31" s="2134"/>
      <c r="AE31" s="2134"/>
    </row>
    <row r="32" spans="1:31" s="1960" customFormat="1" ht="3" customHeight="1">
      <c r="A32" s="2054"/>
      <c r="B32" s="2120"/>
      <c r="C32" s="2194"/>
      <c r="D32" s="2120"/>
      <c r="E32" s="2194"/>
      <c r="F32" s="2120"/>
      <c r="G32" s="2194"/>
      <c r="H32" s="2120"/>
      <c r="I32" s="2194"/>
      <c r="J32" s="2120"/>
      <c r="K32" s="2194"/>
      <c r="L32" s="2120"/>
      <c r="M32" s="2194"/>
      <c r="N32" s="2120"/>
      <c r="O32" s="2194"/>
      <c r="P32" s="2120"/>
      <c r="Q32" s="2194"/>
      <c r="R32" s="2120"/>
      <c r="S32" s="2194"/>
      <c r="T32" s="2133"/>
      <c r="AD32" s="2134"/>
      <c r="AE32" s="2134"/>
    </row>
    <row r="33" spans="1:19" ht="14.25" customHeight="1">
      <c r="A33" s="1949" t="s">
        <v>1166</v>
      </c>
      <c r="J33" s="1949" t="s">
        <v>1167</v>
      </c>
    </row>
    <row r="34" spans="1:19" ht="8.1" customHeight="1">
      <c r="A34" s="2031"/>
    </row>
    <row r="35" spans="1:19" s="309" customFormat="1" ht="11.25" customHeight="1">
      <c r="A35" s="634"/>
      <c r="B35" s="1280"/>
      <c r="C35" s="1280"/>
      <c r="D35" s="1280"/>
      <c r="E35" s="1280"/>
      <c r="F35" s="1280"/>
      <c r="G35" s="1280"/>
      <c r="H35" s="1280"/>
      <c r="I35" s="1280"/>
      <c r="J35" s="1280"/>
      <c r="K35" s="1280"/>
      <c r="L35" s="1280"/>
      <c r="M35" s="1280"/>
      <c r="P35" s="1280"/>
      <c r="Q35" s="1280"/>
      <c r="R35" s="2036"/>
      <c r="S35" s="636"/>
    </row>
    <row r="36" spans="1:19" s="309" customFormat="1" ht="13.5" customHeight="1">
      <c r="B36" s="1280"/>
      <c r="C36" s="1280"/>
      <c r="D36" s="1280"/>
      <c r="E36" s="1280"/>
      <c r="F36" s="1280"/>
      <c r="G36" s="1280"/>
      <c r="H36" s="1280"/>
      <c r="I36" s="1280"/>
      <c r="J36" s="1280"/>
      <c r="K36" s="1280"/>
      <c r="L36" s="1280"/>
      <c r="M36" s="1280"/>
      <c r="P36" s="1280"/>
      <c r="Q36" s="1280"/>
      <c r="R36" s="2036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60" orientation="portrait" useFirstPageNumber="1" r:id="rId1"/>
  <headerFooter differentOddEven="1" scaleWithDoc="0" alignWithMargins="0"/>
  <colBreaks count="1" manualBreakCount="1">
    <brk id="9" max="36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5"/>
  <sheetViews>
    <sheetView showGridLines="0" view="pageBreakPreview" zoomScale="70" zoomScaleNormal="100" zoomScaleSheetLayoutView="7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0.5" style="1280" customWidth="1"/>
    <col min="2" max="19" width="9.25" style="1280" customWidth="1"/>
    <col min="20" max="20" width="10.5" style="1280" customWidth="1"/>
    <col min="21" max="16384" width="7.875" style="1280"/>
  </cols>
  <sheetData>
    <row r="1" spans="1:22" ht="20.25" customHeight="1">
      <c r="A1" s="1946" t="s">
        <v>1173</v>
      </c>
      <c r="B1" s="2195"/>
      <c r="C1" s="2195"/>
    </row>
    <row r="2" spans="1:22" s="1947" customFormat="1" ht="17.25" customHeight="1">
      <c r="A2" s="1947" t="s">
        <v>1174</v>
      </c>
      <c r="B2" s="2195"/>
      <c r="C2" s="2195"/>
      <c r="N2" s="959"/>
    </row>
    <row r="3" spans="1:22" ht="13.5" customHeight="1">
      <c r="A3" s="2195"/>
      <c r="B3" s="2195"/>
      <c r="C3" s="2195"/>
      <c r="D3" s="631"/>
      <c r="E3" s="631"/>
      <c r="F3" s="631"/>
      <c r="G3" s="631"/>
      <c r="H3" s="631"/>
      <c r="I3" s="631"/>
      <c r="J3" s="631"/>
      <c r="K3" s="631"/>
      <c r="L3" s="631"/>
      <c r="M3" s="631"/>
      <c r="N3" s="631"/>
      <c r="O3" s="631"/>
      <c r="P3" s="1949"/>
      <c r="Q3" s="631"/>
      <c r="R3" s="1949"/>
      <c r="S3" s="631"/>
      <c r="T3" s="2084" t="s">
        <v>1175</v>
      </c>
    </row>
    <row r="4" spans="1:22" s="307" customFormat="1" ht="39.950000000000003" customHeight="1">
      <c r="A4" s="1996" t="s">
        <v>809</v>
      </c>
      <c r="B4" s="1997" t="s">
        <v>1176</v>
      </c>
      <c r="C4" s="2085" t="s">
        <v>1177</v>
      </c>
      <c r="D4" s="2085" t="s">
        <v>1178</v>
      </c>
      <c r="E4" s="2085" t="s">
        <v>1179</v>
      </c>
      <c r="F4" s="2085" t="s">
        <v>1180</v>
      </c>
      <c r="G4" s="2085" t="s">
        <v>1181</v>
      </c>
      <c r="H4" s="2085" t="s">
        <v>1182</v>
      </c>
      <c r="I4" s="2085" t="s">
        <v>1183</v>
      </c>
      <c r="J4" s="2085" t="s">
        <v>1184</v>
      </c>
      <c r="K4" s="2085" t="s">
        <v>1185</v>
      </c>
      <c r="L4" s="2085" t="s">
        <v>1186</v>
      </c>
      <c r="M4" s="2085" t="s">
        <v>1187</v>
      </c>
      <c r="N4" s="2085" t="s">
        <v>1188</v>
      </c>
      <c r="O4" s="2085" t="s">
        <v>1189</v>
      </c>
      <c r="P4" s="2085" t="s">
        <v>1190</v>
      </c>
      <c r="Q4" s="1644" t="s">
        <v>1191</v>
      </c>
      <c r="R4" s="2085" t="s">
        <v>1192</v>
      </c>
      <c r="S4" s="2085" t="s">
        <v>1193</v>
      </c>
      <c r="T4" s="2196" t="s">
        <v>1194</v>
      </c>
    </row>
    <row r="5" spans="1:22" ht="24.75" customHeight="1">
      <c r="A5" s="275">
        <v>2011</v>
      </c>
      <c r="B5" s="2197">
        <v>46902990.020000003</v>
      </c>
      <c r="C5" s="2156">
        <v>20561980.265999999</v>
      </c>
      <c r="D5" s="2156">
        <v>14821947.652000001</v>
      </c>
      <c r="E5" s="2156">
        <v>22241135.416000001</v>
      </c>
      <c r="F5" s="2156">
        <v>8047388.1160000004</v>
      </c>
      <c r="G5" s="2156">
        <v>9059776.5869999994</v>
      </c>
      <c r="H5" s="2156">
        <v>28198242.227000002</v>
      </c>
      <c r="I5" s="2156" t="s">
        <v>171</v>
      </c>
      <c r="J5" s="2156">
        <v>96844503.782000005</v>
      </c>
      <c r="K5" s="2156">
        <v>15876040.637</v>
      </c>
      <c r="L5" s="2156">
        <v>20453357.394000001</v>
      </c>
      <c r="M5" s="2156">
        <v>42650112.910999998</v>
      </c>
      <c r="N5" s="2156">
        <v>21168359.337000001</v>
      </c>
      <c r="O5" s="2156">
        <v>27136864.241</v>
      </c>
      <c r="P5" s="2156">
        <v>44167300.903999999</v>
      </c>
      <c r="Q5" s="2198">
        <v>33071206.423999999</v>
      </c>
      <c r="R5" s="2156">
        <v>3710079.9619999998</v>
      </c>
      <c r="S5" s="2156">
        <v>158974.62400000001</v>
      </c>
      <c r="T5" s="2199">
        <v>455070260.5</v>
      </c>
    </row>
    <row r="6" spans="1:22" ht="24.75" customHeight="1">
      <c r="A6" s="275">
        <v>2012</v>
      </c>
      <c r="B6" s="2197">
        <v>47234102.280000001</v>
      </c>
      <c r="C6" s="2156">
        <v>20664842.324000001</v>
      </c>
      <c r="D6" s="2156">
        <v>14954957.987</v>
      </c>
      <c r="E6" s="2156">
        <v>22651946.252999999</v>
      </c>
      <c r="F6" s="2156">
        <v>8130493.2690000003</v>
      </c>
      <c r="G6" s="2156">
        <v>9160107.0850000009</v>
      </c>
      <c r="H6" s="2156">
        <v>29362724.219999999</v>
      </c>
      <c r="I6" s="2156">
        <v>578610.11800000002</v>
      </c>
      <c r="J6" s="2156">
        <v>100291952.45900001</v>
      </c>
      <c r="K6" s="2156">
        <v>15904382.141000001</v>
      </c>
      <c r="L6" s="2156">
        <v>21361911.465</v>
      </c>
      <c r="M6" s="2156">
        <v>44492412.325000003</v>
      </c>
      <c r="N6" s="2156">
        <v>21462325.155999999</v>
      </c>
      <c r="O6" s="2156">
        <v>28484718.704</v>
      </c>
      <c r="P6" s="2156">
        <v>44799524.858999997</v>
      </c>
      <c r="Q6" s="2198">
        <v>33014947.412999999</v>
      </c>
      <c r="R6" s="2156">
        <v>3864639.1320000002</v>
      </c>
      <c r="S6" s="2156">
        <v>178351.49799999999</v>
      </c>
      <c r="T6" s="2199">
        <v>466592948.68800002</v>
      </c>
    </row>
    <row r="7" spans="1:22" ht="24.75" customHeight="1">
      <c r="A7" s="275">
        <v>2013</v>
      </c>
      <c r="B7" s="2197">
        <v>46555105.214000002</v>
      </c>
      <c r="C7" s="2197">
        <v>20364705.164000001</v>
      </c>
      <c r="D7" s="2197">
        <v>15080051.881999999</v>
      </c>
      <c r="E7" s="2197">
        <v>22673441.488000002</v>
      </c>
      <c r="F7" s="2197">
        <v>8274074.4869999997</v>
      </c>
      <c r="G7" s="2197">
        <v>9225139.9810000006</v>
      </c>
      <c r="H7" s="2197">
        <v>29992968.864999998</v>
      </c>
      <c r="I7" s="2156">
        <v>2345526.7769999998</v>
      </c>
      <c r="J7" s="2156">
        <v>102227067.384</v>
      </c>
      <c r="K7" s="2156">
        <v>15794740.568</v>
      </c>
      <c r="L7" s="2197">
        <v>21665043.111000001</v>
      </c>
      <c r="M7" s="2197">
        <v>45466812.228</v>
      </c>
      <c r="N7" s="2197">
        <v>21708654.697999999</v>
      </c>
      <c r="O7" s="2197">
        <v>30302067.986000001</v>
      </c>
      <c r="P7" s="2197">
        <v>45444246.688000001</v>
      </c>
      <c r="Q7" s="632">
        <v>33530618.952</v>
      </c>
      <c r="R7" s="2156">
        <v>4094899.7089999998</v>
      </c>
      <c r="S7" s="2156">
        <v>103414.928</v>
      </c>
      <c r="T7" s="2199">
        <v>474848580.11000001</v>
      </c>
    </row>
    <row r="8" spans="1:22" ht="24.75" customHeight="1">
      <c r="A8" s="275">
        <v>2014</v>
      </c>
      <c r="B8" s="2197">
        <v>45018862.200999998</v>
      </c>
      <c r="C8" s="2197">
        <v>19980897.752999999</v>
      </c>
      <c r="D8" s="2197">
        <v>14858786.389</v>
      </c>
      <c r="E8" s="2197">
        <v>22578048.462000001</v>
      </c>
      <c r="F8" s="2197">
        <v>8197276.2790000001</v>
      </c>
      <c r="G8" s="2197">
        <v>9102524.0460000001</v>
      </c>
      <c r="H8" s="2197">
        <v>30115123.763999999</v>
      </c>
      <c r="I8" s="2156">
        <v>2437031.9249999998</v>
      </c>
      <c r="J8" s="2156">
        <v>102180707.464</v>
      </c>
      <c r="K8" s="2156">
        <v>15778144.575999999</v>
      </c>
      <c r="L8" s="2197">
        <v>22179261.304000001</v>
      </c>
      <c r="M8" s="2197">
        <v>47294961.314000003</v>
      </c>
      <c r="N8" s="2197">
        <v>22297412.984999999</v>
      </c>
      <c r="O8" s="2197">
        <v>31722943.502999999</v>
      </c>
      <c r="P8" s="2197">
        <v>46016363.987000003</v>
      </c>
      <c r="Q8" s="632">
        <v>33435156.769000001</v>
      </c>
      <c r="R8" s="2156">
        <v>4220090.1509999996</v>
      </c>
      <c r="S8" s="2156">
        <v>178108.15100000001</v>
      </c>
      <c r="T8" s="2199">
        <v>477591701.023</v>
      </c>
    </row>
    <row r="9" spans="1:22" ht="24.75" customHeight="1">
      <c r="A9" s="275">
        <v>2015</v>
      </c>
      <c r="B9" s="2197">
        <v>45381483.836000003</v>
      </c>
      <c r="C9" s="2197">
        <v>20002306.756999999</v>
      </c>
      <c r="D9" s="2197">
        <v>14947708.243000001</v>
      </c>
      <c r="E9" s="2197">
        <v>23211766.079999998</v>
      </c>
      <c r="F9" s="2197">
        <v>8333872.5109999999</v>
      </c>
      <c r="G9" s="2197">
        <v>9182737.2210000008</v>
      </c>
      <c r="H9" s="2197">
        <v>30286139.754999999</v>
      </c>
      <c r="I9" s="2156">
        <v>2641139.3840000001</v>
      </c>
      <c r="J9" s="2156">
        <v>105048003.086</v>
      </c>
      <c r="K9" s="2156">
        <v>16206617.922</v>
      </c>
      <c r="L9" s="2197">
        <v>22949032</v>
      </c>
      <c r="M9" s="2197">
        <v>47286061.579000004</v>
      </c>
      <c r="N9" s="2197">
        <v>22086859.798</v>
      </c>
      <c r="O9" s="2197">
        <v>32637829.25</v>
      </c>
      <c r="P9" s="2197">
        <v>44956836.138999999</v>
      </c>
      <c r="Q9" s="632">
        <v>33876325.144000001</v>
      </c>
      <c r="R9" s="2156">
        <v>4429553.2180000003</v>
      </c>
      <c r="S9" s="2156">
        <v>190543.76500000001</v>
      </c>
      <c r="T9" s="2199">
        <v>483654815.68800002</v>
      </c>
    </row>
    <row r="10" spans="1:22" ht="24.75" customHeight="1">
      <c r="A10" s="275">
        <v>2016</v>
      </c>
      <c r="B10" s="2176">
        <v>46493233.513999999</v>
      </c>
      <c r="C10" s="2156">
        <v>20467093.004999999</v>
      </c>
      <c r="D10" s="2156">
        <v>15268113.945</v>
      </c>
      <c r="E10" s="2156">
        <v>23875856.840999998</v>
      </c>
      <c r="F10" s="2156">
        <v>8558369.0960000008</v>
      </c>
      <c r="G10" s="2156">
        <v>9379632.8460000008</v>
      </c>
      <c r="H10" s="2156">
        <v>32095216.598000001</v>
      </c>
      <c r="I10" s="2156">
        <v>2801868.69</v>
      </c>
      <c r="J10" s="2156">
        <v>109403901.147</v>
      </c>
      <c r="K10" s="2156">
        <v>16498768.267999999</v>
      </c>
      <c r="L10" s="2156">
        <v>24008862.796999998</v>
      </c>
      <c r="M10" s="2156">
        <v>48453931.354999997</v>
      </c>
      <c r="N10" s="2156">
        <v>22733494.577</v>
      </c>
      <c r="O10" s="2156">
        <v>33096901.635000002</v>
      </c>
      <c r="P10" s="2156">
        <v>44647502.968999997</v>
      </c>
      <c r="Q10" s="2156">
        <v>34497476.623000003</v>
      </c>
      <c r="R10" s="2156">
        <v>4738201.4539999999</v>
      </c>
      <c r="S10" s="2156">
        <v>20478.571</v>
      </c>
      <c r="T10" s="2200">
        <v>497038903.93099999</v>
      </c>
    </row>
    <row r="11" spans="1:22" ht="24.75" customHeight="1">
      <c r="A11" s="275">
        <v>2017</v>
      </c>
      <c r="B11" s="2197">
        <v>46298157.924000002</v>
      </c>
      <c r="C11" s="2197">
        <v>21007357.905999999</v>
      </c>
      <c r="D11" s="2197">
        <v>15386371.626</v>
      </c>
      <c r="E11" s="2197">
        <v>24515313.318</v>
      </c>
      <c r="F11" s="2197">
        <v>8683648.5240000002</v>
      </c>
      <c r="G11" s="2197">
        <v>9423804.0580000002</v>
      </c>
      <c r="H11" s="2197">
        <v>31609849.693</v>
      </c>
      <c r="I11" s="2156">
        <v>2918758.1889999998</v>
      </c>
      <c r="J11" s="2156">
        <v>114847859.17299999</v>
      </c>
      <c r="K11" s="2156">
        <v>16552771.005000001</v>
      </c>
      <c r="L11" s="2197">
        <v>24843379.727000002</v>
      </c>
      <c r="M11" s="2197">
        <v>50180209.075999998</v>
      </c>
      <c r="N11" s="2197">
        <v>22799646.831</v>
      </c>
      <c r="O11" s="2197">
        <v>33562076.115000002</v>
      </c>
      <c r="P11" s="2197">
        <v>45455610.607000001</v>
      </c>
      <c r="Q11" s="632">
        <v>34647863.920999996</v>
      </c>
      <c r="R11" s="2156">
        <v>5013544.6909999996</v>
      </c>
      <c r="S11" s="2156" t="s">
        <v>171</v>
      </c>
      <c r="T11" s="2199">
        <v>507746386.111</v>
      </c>
    </row>
    <row r="12" spans="1:22" ht="24.75" customHeight="1">
      <c r="A12" s="275">
        <v>2018</v>
      </c>
      <c r="B12" s="2197">
        <v>47810210.174999997</v>
      </c>
      <c r="C12" s="2197">
        <v>21216605.078000002</v>
      </c>
      <c r="D12" s="2197">
        <v>15675749.426999999</v>
      </c>
      <c r="E12" s="2197">
        <v>24921925.852000002</v>
      </c>
      <c r="F12" s="2197">
        <v>8773811.2339999992</v>
      </c>
      <c r="G12" s="2197">
        <v>9648827.4839999992</v>
      </c>
      <c r="H12" s="2197">
        <v>33748169.232000001</v>
      </c>
      <c r="I12" s="2156">
        <v>3087692.6030000001</v>
      </c>
      <c r="J12" s="2156">
        <v>122695954.153</v>
      </c>
      <c r="K12" s="2156">
        <v>16845685.758000001</v>
      </c>
      <c r="L12" s="2197">
        <v>26239849.899999999</v>
      </c>
      <c r="M12" s="2197">
        <v>52012704.696999997</v>
      </c>
      <c r="N12" s="2197">
        <v>22961959.142999999</v>
      </c>
      <c r="O12" s="2197">
        <v>34118387.814000003</v>
      </c>
      <c r="P12" s="2197">
        <v>45958813.085000001</v>
      </c>
      <c r="Q12" s="632">
        <v>35158610.100000001</v>
      </c>
      <c r="R12" s="2156">
        <v>5272603.9050000003</v>
      </c>
      <c r="S12" s="2156">
        <v>1405.481</v>
      </c>
      <c r="T12" s="2199">
        <v>526149161.727</v>
      </c>
    </row>
    <row r="13" spans="1:22" ht="24.75" customHeight="1">
      <c r="A13" s="275">
        <v>2019</v>
      </c>
      <c r="B13" s="2197">
        <v>47167206.321999997</v>
      </c>
      <c r="C13" s="2197">
        <v>20802409.776999999</v>
      </c>
      <c r="D13" s="2197">
        <v>15265584.668</v>
      </c>
      <c r="E13" s="2197">
        <v>24280689.532000002</v>
      </c>
      <c r="F13" s="2197">
        <v>8603296.9969999995</v>
      </c>
      <c r="G13" s="2197">
        <v>9415699.3589999992</v>
      </c>
      <c r="H13" s="2197">
        <v>34138998.538000003</v>
      </c>
      <c r="I13" s="2156">
        <v>3226179.08</v>
      </c>
      <c r="J13" s="2156">
        <v>123022307.212</v>
      </c>
      <c r="K13" s="2156">
        <v>16368274.578</v>
      </c>
      <c r="L13" s="2197">
        <v>26732302.723000001</v>
      </c>
      <c r="M13" s="2197">
        <v>52644853.553999998</v>
      </c>
      <c r="N13" s="2197">
        <v>22280692.537999999</v>
      </c>
      <c r="O13" s="2197">
        <v>32385387.875</v>
      </c>
      <c r="P13" s="2197">
        <v>44314767.43</v>
      </c>
      <c r="Q13" s="632">
        <v>34472017.387999997</v>
      </c>
      <c r="R13" s="2156">
        <v>5374284.6210000003</v>
      </c>
      <c r="S13" s="2156">
        <v>3785.5340000000001</v>
      </c>
      <c r="T13" s="2199">
        <v>520498737.72600001</v>
      </c>
    </row>
    <row r="14" spans="1:22" ht="24.75" customHeight="1">
      <c r="A14" s="275">
        <v>2020</v>
      </c>
      <c r="B14" s="2197">
        <v>45787926.023000002</v>
      </c>
      <c r="C14" s="2197">
        <v>20503969.144000001</v>
      </c>
      <c r="D14" s="2197">
        <v>14758568.460000001</v>
      </c>
      <c r="E14" s="2197">
        <v>23638582.596999999</v>
      </c>
      <c r="F14" s="2197">
        <v>8531108.2559999991</v>
      </c>
      <c r="G14" s="2197">
        <v>9405220.7489999998</v>
      </c>
      <c r="H14" s="2197">
        <v>33157834.460000001</v>
      </c>
      <c r="I14" s="2156">
        <v>3393222.554</v>
      </c>
      <c r="J14" s="2156">
        <v>124688963.67900001</v>
      </c>
      <c r="K14" s="2156">
        <v>16120066.841</v>
      </c>
      <c r="L14" s="2197">
        <v>26901894.48</v>
      </c>
      <c r="M14" s="2197">
        <v>50422732.359999999</v>
      </c>
      <c r="N14" s="2197">
        <v>20538911.574000001</v>
      </c>
      <c r="O14" s="2197">
        <v>30973974.635000002</v>
      </c>
      <c r="P14" s="2197">
        <v>41001626.604000002</v>
      </c>
      <c r="Q14" s="632">
        <v>34069974.245999999</v>
      </c>
      <c r="R14" s="2156">
        <v>5373287.6349999998</v>
      </c>
      <c r="S14" s="2201">
        <v>1850.9</v>
      </c>
      <c r="T14" s="2199">
        <v>509269715.19700003</v>
      </c>
    </row>
    <row r="15" spans="1:22" s="1960" customFormat="1" ht="24.75" customHeight="1">
      <c r="A15" s="2187">
        <v>2021</v>
      </c>
      <c r="B15" s="2202">
        <v>47295805.140000001</v>
      </c>
      <c r="C15" s="2164">
        <v>21067833.25</v>
      </c>
      <c r="D15" s="2164">
        <v>15443948.851</v>
      </c>
      <c r="E15" s="2164">
        <v>24901194.390000001</v>
      </c>
      <c r="F15" s="2164">
        <v>8973446.523</v>
      </c>
      <c r="G15" s="2164">
        <v>9748620.6779999994</v>
      </c>
      <c r="H15" s="2164">
        <v>33593122.987000003</v>
      </c>
      <c r="I15" s="2164">
        <v>4295362.6849999996</v>
      </c>
      <c r="J15" s="2164">
        <v>133445948.11499999</v>
      </c>
      <c r="K15" s="2164">
        <v>16808005.646000002</v>
      </c>
      <c r="L15" s="2164">
        <v>28402062.631000001</v>
      </c>
      <c r="M15" s="2164">
        <v>48801625.850000001</v>
      </c>
      <c r="N15" s="2164">
        <v>21486860.693</v>
      </c>
      <c r="O15" s="2164">
        <v>33486886.16</v>
      </c>
      <c r="P15" s="2164">
        <v>44258296.597000003</v>
      </c>
      <c r="Q15" s="2164">
        <v>35734059.494000003</v>
      </c>
      <c r="R15" s="2164">
        <v>5687729.6210000003</v>
      </c>
      <c r="S15" s="2203">
        <v>0</v>
      </c>
      <c r="T15" s="2204">
        <v>533430810.85799998</v>
      </c>
      <c r="V15" s="2205"/>
    </row>
    <row r="16" spans="1:22" s="1960" customFormat="1" ht="24.75" customHeight="1">
      <c r="A16" s="1782" t="s">
        <v>795</v>
      </c>
      <c r="B16" s="2206">
        <v>47295805.140000001</v>
      </c>
      <c r="C16" s="2207">
        <v>21067833.25</v>
      </c>
      <c r="D16" s="2207">
        <v>15443948.851</v>
      </c>
      <c r="E16" s="2207">
        <v>24901194.390000001</v>
      </c>
      <c r="F16" s="2207">
        <v>8973446.523</v>
      </c>
      <c r="G16" s="2207">
        <v>9748620.6779999994</v>
      </c>
      <c r="H16" s="2207">
        <v>33593122.987000003</v>
      </c>
      <c r="I16" s="2207">
        <v>4295362.6849999996</v>
      </c>
      <c r="J16" s="2207">
        <v>133445948.11499999</v>
      </c>
      <c r="K16" s="2207">
        <v>16808005.646000002</v>
      </c>
      <c r="L16" s="2207">
        <v>28402062.631000001</v>
      </c>
      <c r="M16" s="2207">
        <v>48801625.850000001</v>
      </c>
      <c r="N16" s="2207">
        <v>21486860.693</v>
      </c>
      <c r="O16" s="2207">
        <v>33486886.16</v>
      </c>
      <c r="P16" s="2207">
        <v>44258296.597000003</v>
      </c>
      <c r="Q16" s="2207">
        <v>35734059.494000003</v>
      </c>
      <c r="R16" s="2207">
        <v>5687729.6210000003</v>
      </c>
      <c r="S16" s="2208">
        <v>0</v>
      </c>
      <c r="T16" s="2209">
        <v>533430810.85799998</v>
      </c>
      <c r="V16" s="2205"/>
    </row>
    <row r="17" spans="1:22" s="1960" customFormat="1" ht="24.75" customHeight="1">
      <c r="A17" s="296">
        <v>2021.12</v>
      </c>
      <c r="B17" s="2210">
        <v>3963699.5380000002</v>
      </c>
      <c r="C17" s="2211">
        <v>1787220.3130000001</v>
      </c>
      <c r="D17" s="2211">
        <v>1334811.679</v>
      </c>
      <c r="E17" s="2211">
        <v>2159324.3939999999</v>
      </c>
      <c r="F17" s="2211">
        <v>761414.43200000003</v>
      </c>
      <c r="G17" s="2211">
        <v>814479.72</v>
      </c>
      <c r="H17" s="2211">
        <v>2906501.8539999998</v>
      </c>
      <c r="I17" s="2211">
        <v>957934.33</v>
      </c>
      <c r="J17" s="2211">
        <v>11803945.935000001</v>
      </c>
      <c r="K17" s="2211">
        <v>1573555.0060000001</v>
      </c>
      <c r="L17" s="2211">
        <v>2506864.2349999999</v>
      </c>
      <c r="M17" s="2211">
        <v>4388778.13</v>
      </c>
      <c r="N17" s="2211">
        <v>1864342.395</v>
      </c>
      <c r="O17" s="2211">
        <v>2966245.6129999999</v>
      </c>
      <c r="P17" s="2211">
        <v>3854200.5649999999</v>
      </c>
      <c r="Q17" s="2211">
        <v>3134009.5279999999</v>
      </c>
      <c r="R17" s="2211">
        <v>473291.44799999997</v>
      </c>
      <c r="S17" s="2212">
        <v>0</v>
      </c>
      <c r="T17" s="2213">
        <v>47250619.115000002</v>
      </c>
      <c r="V17" s="2205"/>
    </row>
    <row r="18" spans="1:22" s="1960" customFormat="1" ht="24.75" customHeight="1">
      <c r="A18" s="289" t="s">
        <v>796</v>
      </c>
      <c r="B18" s="2206">
        <v>48788677.386</v>
      </c>
      <c r="C18" s="2207">
        <v>21493647.967999998</v>
      </c>
      <c r="D18" s="2207">
        <v>16039260.228</v>
      </c>
      <c r="E18" s="2207">
        <v>25506863.978</v>
      </c>
      <c r="F18" s="2207">
        <v>9116870.7219999991</v>
      </c>
      <c r="G18" s="2207">
        <v>10016877.129000001</v>
      </c>
      <c r="H18" s="2207">
        <v>32919180.715999998</v>
      </c>
      <c r="I18" s="2207">
        <v>3182079.2880000002</v>
      </c>
      <c r="J18" s="2207">
        <v>140531011.87</v>
      </c>
      <c r="K18" s="2207">
        <v>17325520.416000001</v>
      </c>
      <c r="L18" s="2207">
        <v>29412226.655000001</v>
      </c>
      <c r="M18" s="2207">
        <v>50259638.115999997</v>
      </c>
      <c r="N18" s="2207">
        <v>21838473.954</v>
      </c>
      <c r="O18" s="2207">
        <v>34665104.612000003</v>
      </c>
      <c r="P18" s="2207">
        <v>44601033.372000001</v>
      </c>
      <c r="Q18" s="2207">
        <v>36190919.774999999</v>
      </c>
      <c r="R18" s="2207">
        <v>6045356.0279999999</v>
      </c>
      <c r="S18" s="2208">
        <v>0</v>
      </c>
      <c r="T18" s="2209">
        <v>547932742.21300006</v>
      </c>
      <c r="V18" s="2205"/>
    </row>
    <row r="19" spans="1:22" s="1960" customFormat="1" ht="24.75" customHeight="1">
      <c r="A19" s="296">
        <v>2022.01</v>
      </c>
      <c r="B19" s="2210">
        <v>4518017.4670000002</v>
      </c>
      <c r="C19" s="2211">
        <v>1920919.1029999999</v>
      </c>
      <c r="D19" s="2211">
        <v>1449516.6939999999</v>
      </c>
      <c r="E19" s="2211">
        <v>2380609.6579999998</v>
      </c>
      <c r="F19" s="2211">
        <v>825882.84600000002</v>
      </c>
      <c r="G19" s="2211">
        <v>913223.39300000004</v>
      </c>
      <c r="H19" s="2211">
        <v>2907926.1</v>
      </c>
      <c r="I19" s="2211">
        <v>-298712.777</v>
      </c>
      <c r="J19" s="2211">
        <v>12963965.404999999</v>
      </c>
      <c r="K19" s="2211">
        <v>1699181.4650000001</v>
      </c>
      <c r="L19" s="2211">
        <v>2668390.2200000002</v>
      </c>
      <c r="M19" s="2211">
        <v>4607150.68</v>
      </c>
      <c r="N19" s="2211">
        <v>2009312.443</v>
      </c>
      <c r="O19" s="2211">
        <v>3088276.36</v>
      </c>
      <c r="P19" s="2211">
        <v>4165006.3659999999</v>
      </c>
      <c r="Q19" s="2211">
        <v>3430199.53</v>
      </c>
      <c r="R19" s="2211">
        <v>553353.73400000005</v>
      </c>
      <c r="S19" s="2212">
        <v>0</v>
      </c>
      <c r="T19" s="2213">
        <v>49802218.686999999</v>
      </c>
      <c r="V19" s="2205"/>
    </row>
    <row r="20" spans="1:22" s="1960" customFormat="1" ht="24.75" customHeight="1">
      <c r="A20" s="296">
        <v>2022.02</v>
      </c>
      <c r="B20" s="2210">
        <v>4327374.0029999996</v>
      </c>
      <c r="C20" s="2211">
        <v>1816648.004</v>
      </c>
      <c r="D20" s="2211">
        <v>1388625.3419999999</v>
      </c>
      <c r="E20" s="2211">
        <v>2181509.304</v>
      </c>
      <c r="F20" s="2211">
        <v>788536.59100000001</v>
      </c>
      <c r="G20" s="2211">
        <v>872519.64800000004</v>
      </c>
      <c r="H20" s="2211">
        <v>2674659.5690000001</v>
      </c>
      <c r="I20" s="2211">
        <v>320317.37199999997</v>
      </c>
      <c r="J20" s="2211">
        <v>12214539.387</v>
      </c>
      <c r="K20" s="2211">
        <v>1620579.94</v>
      </c>
      <c r="L20" s="2211">
        <v>2491824.5950000002</v>
      </c>
      <c r="M20" s="2211">
        <v>4433278.8619999997</v>
      </c>
      <c r="N20" s="2211">
        <v>1904901.716</v>
      </c>
      <c r="O20" s="2211">
        <v>2887032.3930000002</v>
      </c>
      <c r="P20" s="2211">
        <v>3848835.9580000001</v>
      </c>
      <c r="Q20" s="2211">
        <v>3209428.253</v>
      </c>
      <c r="R20" s="2211">
        <v>560860.33100000001</v>
      </c>
      <c r="S20" s="2212">
        <v>0</v>
      </c>
      <c r="T20" s="2213">
        <v>47541471.267999999</v>
      </c>
      <c r="V20" s="2205"/>
    </row>
    <row r="21" spans="1:22" s="1960" customFormat="1" ht="24.75" customHeight="1">
      <c r="A21" s="296">
        <v>2022.03</v>
      </c>
      <c r="B21" s="2210">
        <v>3813002.8509999998</v>
      </c>
      <c r="C21" s="2211">
        <v>1744599.9539999999</v>
      </c>
      <c r="D21" s="2211">
        <v>1286343.9979999999</v>
      </c>
      <c r="E21" s="2211">
        <v>2138918.8459999999</v>
      </c>
      <c r="F21" s="2211">
        <v>735401.19499999995</v>
      </c>
      <c r="G21" s="2211">
        <v>810429.08499999996</v>
      </c>
      <c r="H21" s="2211">
        <v>2863856.8990000002</v>
      </c>
      <c r="I21" s="2211">
        <v>313436.94799999997</v>
      </c>
      <c r="J21" s="2211">
        <v>11633279.75</v>
      </c>
      <c r="K21" s="2211">
        <v>1483639.338</v>
      </c>
      <c r="L21" s="2211">
        <v>2477308.5290000001</v>
      </c>
      <c r="M21" s="2211">
        <v>4176399.2719999999</v>
      </c>
      <c r="N21" s="2211">
        <v>1853135.702</v>
      </c>
      <c r="O21" s="2211">
        <v>3005319.986</v>
      </c>
      <c r="P21" s="2211">
        <v>3903246.142</v>
      </c>
      <c r="Q21" s="2211">
        <v>3096418.6549999998</v>
      </c>
      <c r="R21" s="2211">
        <v>502069.34899999999</v>
      </c>
      <c r="S21" s="2212">
        <v>0</v>
      </c>
      <c r="T21" s="2213">
        <v>45836806.498999998</v>
      </c>
      <c r="V21" s="2205"/>
    </row>
    <row r="22" spans="1:22" s="1960" customFormat="1" ht="24.75" customHeight="1">
      <c r="A22" s="296">
        <v>2022.04</v>
      </c>
      <c r="B22" s="2210">
        <v>3586978.5359999998</v>
      </c>
      <c r="C22" s="2211">
        <v>1694381.253</v>
      </c>
      <c r="D22" s="2211">
        <v>1248002.4450000001</v>
      </c>
      <c r="E22" s="2211">
        <v>2021334.98</v>
      </c>
      <c r="F22" s="2211">
        <v>712892.00699999998</v>
      </c>
      <c r="G22" s="2211">
        <v>779501.48699999996</v>
      </c>
      <c r="H22" s="2211">
        <v>2710055.0350000001</v>
      </c>
      <c r="I22" s="2211">
        <v>303255.3</v>
      </c>
      <c r="J22" s="2211">
        <v>11060778.097999999</v>
      </c>
      <c r="K22" s="2211">
        <v>1410088.419</v>
      </c>
      <c r="L22" s="2211">
        <v>2367716.889</v>
      </c>
      <c r="M22" s="2211">
        <v>4088230.0359999998</v>
      </c>
      <c r="N22" s="2211">
        <v>1756143.4469999999</v>
      </c>
      <c r="O22" s="2211">
        <v>2851410.673</v>
      </c>
      <c r="P22" s="2211">
        <v>3727709.378</v>
      </c>
      <c r="Q22" s="2211">
        <v>2944720.4240000001</v>
      </c>
      <c r="R22" s="2211">
        <v>495082.04300000001</v>
      </c>
      <c r="S22" s="2212" t="s">
        <v>171</v>
      </c>
      <c r="T22" s="2213">
        <v>43758280.450000003</v>
      </c>
      <c r="V22" s="2205"/>
    </row>
    <row r="23" spans="1:22" s="1960" customFormat="1" ht="24.75" customHeight="1">
      <c r="A23" s="296">
        <v>2022.05</v>
      </c>
      <c r="B23" s="2210">
        <v>3484283.1529999999</v>
      </c>
      <c r="C23" s="2211">
        <v>1631834.541</v>
      </c>
      <c r="D23" s="2211">
        <v>1192385.5049999999</v>
      </c>
      <c r="E23" s="2211">
        <v>1940036.2069999999</v>
      </c>
      <c r="F23" s="2211">
        <v>672419.47900000005</v>
      </c>
      <c r="G23" s="2211">
        <v>742407.348</v>
      </c>
      <c r="H23" s="2211">
        <v>2746786.5260000001</v>
      </c>
      <c r="I23" s="2211">
        <v>290989.45500000002</v>
      </c>
      <c r="J23" s="2211">
        <v>10632673.187000001</v>
      </c>
      <c r="K23" s="2211">
        <v>1325001.932</v>
      </c>
      <c r="L23" s="2211">
        <v>2276641.2820000001</v>
      </c>
      <c r="M23" s="2211">
        <v>3959165.0550000002</v>
      </c>
      <c r="N23" s="2211">
        <v>1670157.9129999999</v>
      </c>
      <c r="O23" s="2211">
        <v>2780059.0430000001</v>
      </c>
      <c r="P23" s="2211">
        <v>3650934.6320000002</v>
      </c>
      <c r="Q23" s="2211">
        <v>2757040.3420000002</v>
      </c>
      <c r="R23" s="2211">
        <v>452178.40600000002</v>
      </c>
      <c r="S23" s="2212">
        <v>0</v>
      </c>
      <c r="T23" s="2213">
        <v>42204994.005999997</v>
      </c>
      <c r="V23" s="2205"/>
    </row>
    <row r="24" spans="1:22" s="1960" customFormat="1" ht="24.75" customHeight="1">
      <c r="A24" s="296">
        <v>2022.06</v>
      </c>
      <c r="B24" s="2210">
        <v>3807869.835</v>
      </c>
      <c r="C24" s="2211">
        <v>1723002.7649999999</v>
      </c>
      <c r="D24" s="2211">
        <v>1287762.3049999999</v>
      </c>
      <c r="E24" s="2211">
        <v>1970250.933</v>
      </c>
      <c r="F24" s="2211">
        <v>717565.01699999999</v>
      </c>
      <c r="G24" s="2211">
        <v>793085.50199999998</v>
      </c>
      <c r="H24" s="2211">
        <v>2610376.17</v>
      </c>
      <c r="I24" s="2211">
        <v>301368.68800000002</v>
      </c>
      <c r="J24" s="2211">
        <v>10859100.375</v>
      </c>
      <c r="K24" s="2211">
        <v>1300383.091</v>
      </c>
      <c r="L24" s="2211">
        <v>2315749.4909999999</v>
      </c>
      <c r="M24" s="2211">
        <v>4005576.1370000001</v>
      </c>
      <c r="N24" s="2211">
        <v>1721951.1259999999</v>
      </c>
      <c r="O24" s="2211">
        <v>2747877.1230000001</v>
      </c>
      <c r="P24" s="2211">
        <v>3572478.8650000002</v>
      </c>
      <c r="Q24" s="2211">
        <v>2822364.1329999999</v>
      </c>
      <c r="R24" s="2211">
        <v>458299.14500000002</v>
      </c>
      <c r="S24" s="2212" t="s">
        <v>171</v>
      </c>
      <c r="T24" s="2213">
        <v>43015060.700999998</v>
      </c>
      <c r="V24" s="2205"/>
    </row>
    <row r="25" spans="1:22" s="1960" customFormat="1" ht="24.75" customHeight="1">
      <c r="A25" s="296">
        <v>2022.07</v>
      </c>
      <c r="B25" s="2210">
        <v>4632091.7680000002</v>
      </c>
      <c r="C25" s="2211">
        <v>1944982.081</v>
      </c>
      <c r="D25" s="2211">
        <v>1495413.149</v>
      </c>
      <c r="E25" s="2211">
        <v>2272916.7880000002</v>
      </c>
      <c r="F25" s="2211">
        <v>838798.57799999998</v>
      </c>
      <c r="G25" s="2211">
        <v>930420.52</v>
      </c>
      <c r="H25" s="2211">
        <v>2902197.84</v>
      </c>
      <c r="I25" s="2211">
        <v>333617.467</v>
      </c>
      <c r="J25" s="2211">
        <v>12551819.732000001</v>
      </c>
      <c r="K25" s="2211">
        <v>1391654.027</v>
      </c>
      <c r="L25" s="2211">
        <v>2558553.977</v>
      </c>
      <c r="M25" s="2211">
        <v>4292725.4570000004</v>
      </c>
      <c r="N25" s="2211">
        <v>1884898.1410000001</v>
      </c>
      <c r="O25" s="2211">
        <v>2986882.247</v>
      </c>
      <c r="P25" s="2211">
        <v>3889812.5290000001</v>
      </c>
      <c r="Q25" s="2211">
        <v>3094783.0690000001</v>
      </c>
      <c r="R25" s="2211">
        <v>531559.07799999998</v>
      </c>
      <c r="S25" s="2212" t="s">
        <v>171</v>
      </c>
      <c r="T25" s="2213">
        <v>48533126.447999999</v>
      </c>
      <c r="V25" s="2205"/>
    </row>
    <row r="26" spans="1:22" s="1960" customFormat="1" ht="24.75" customHeight="1">
      <c r="A26" s="296">
        <v>2022.08</v>
      </c>
      <c r="B26" s="2210">
        <v>5073596.2410000004</v>
      </c>
      <c r="C26" s="2211">
        <v>2088800.274</v>
      </c>
      <c r="D26" s="2211">
        <v>1532738.2450000001</v>
      </c>
      <c r="E26" s="2211">
        <v>2361564.4300000002</v>
      </c>
      <c r="F26" s="2211">
        <v>892014.83499999996</v>
      </c>
      <c r="G26" s="2211">
        <v>972990.31099999999</v>
      </c>
      <c r="H26" s="2211">
        <v>2902133.3059999999</v>
      </c>
      <c r="I26" s="2211">
        <v>351081.46100000001</v>
      </c>
      <c r="J26" s="2211">
        <v>12926651.407</v>
      </c>
      <c r="K26" s="2211">
        <v>1459125.534</v>
      </c>
      <c r="L26" s="2211">
        <v>2576597.5490000001</v>
      </c>
      <c r="M26" s="2211">
        <v>4357564.4709999999</v>
      </c>
      <c r="N26" s="2211">
        <v>1929402.9040000001</v>
      </c>
      <c r="O26" s="2211">
        <v>3092641.2749999999</v>
      </c>
      <c r="P26" s="2211">
        <v>3885688.7289999998</v>
      </c>
      <c r="Q26" s="2211">
        <v>3162769.5780000002</v>
      </c>
      <c r="R26" s="2211">
        <v>596705.72</v>
      </c>
      <c r="S26" s="2212" t="s">
        <v>171</v>
      </c>
      <c r="T26" s="2213">
        <v>50162066.270000003</v>
      </c>
      <c r="V26" s="2205"/>
    </row>
    <row r="27" spans="1:22" s="1960" customFormat="1" ht="24.75" customHeight="1">
      <c r="A27" s="296">
        <v>2022.09</v>
      </c>
      <c r="B27" s="2210">
        <v>4293187.1270000003</v>
      </c>
      <c r="C27" s="2211">
        <v>1855336.3230000001</v>
      </c>
      <c r="D27" s="2211">
        <v>1358445.325</v>
      </c>
      <c r="E27" s="2211">
        <v>2120437.1179999998</v>
      </c>
      <c r="F27" s="2211">
        <v>806887.74300000002</v>
      </c>
      <c r="G27" s="2211">
        <v>858251.80500000005</v>
      </c>
      <c r="H27" s="2211">
        <v>2740043.0750000002</v>
      </c>
      <c r="I27" s="2211">
        <v>329434.5</v>
      </c>
      <c r="J27" s="2211">
        <v>11635457.503</v>
      </c>
      <c r="K27" s="2211">
        <v>1349427.263</v>
      </c>
      <c r="L27" s="2211">
        <v>2391035.9419999998</v>
      </c>
      <c r="M27" s="2211">
        <v>4059528.503</v>
      </c>
      <c r="N27" s="2211">
        <v>1789967.791</v>
      </c>
      <c r="O27" s="2211">
        <v>2887696.3969999999</v>
      </c>
      <c r="P27" s="2211">
        <v>3397186.2560000001</v>
      </c>
      <c r="Q27" s="2211">
        <v>2921696.355</v>
      </c>
      <c r="R27" s="2211">
        <v>522776.44500000001</v>
      </c>
      <c r="S27" s="2212" t="s">
        <v>171</v>
      </c>
      <c r="T27" s="2213">
        <v>45316795.471000001</v>
      </c>
      <c r="V27" s="2205"/>
    </row>
    <row r="28" spans="1:22" s="1960" customFormat="1" ht="24.75" customHeight="1">
      <c r="A28" s="296">
        <v>2022.1</v>
      </c>
      <c r="B28" s="2210">
        <v>3608325.2420000001</v>
      </c>
      <c r="C28" s="2211">
        <v>1664744.456</v>
      </c>
      <c r="D28" s="2211">
        <v>1210989.5900000001</v>
      </c>
      <c r="E28" s="2211">
        <v>1910936.1510000001</v>
      </c>
      <c r="F28" s="2211">
        <v>691579.48300000001</v>
      </c>
      <c r="G28" s="2211">
        <v>755582.74100000004</v>
      </c>
      <c r="H28" s="2211">
        <v>2593109.3849999998</v>
      </c>
      <c r="I28" s="2211">
        <v>298635.30599999998</v>
      </c>
      <c r="J28" s="2211">
        <v>10786312.74</v>
      </c>
      <c r="K28" s="2211">
        <v>1308281.9450000001</v>
      </c>
      <c r="L28" s="2211">
        <v>2314524.855</v>
      </c>
      <c r="M28" s="2211">
        <v>3906995.6519999998</v>
      </c>
      <c r="N28" s="2211">
        <v>1701575.568</v>
      </c>
      <c r="O28" s="2211">
        <v>3035968.8689999999</v>
      </c>
      <c r="P28" s="2211">
        <v>3356852.1340000001</v>
      </c>
      <c r="Q28" s="2211">
        <v>2753506.307</v>
      </c>
      <c r="R28" s="2211">
        <v>445004.38099999999</v>
      </c>
      <c r="S28" s="2212" t="s">
        <v>171</v>
      </c>
      <c r="T28" s="2213">
        <v>42342924.805</v>
      </c>
      <c r="V28" s="2205"/>
    </row>
    <row r="29" spans="1:22" s="1960" customFormat="1" ht="24.75" customHeight="1">
      <c r="A29" s="296">
        <v>2022.11</v>
      </c>
      <c r="B29" s="2210">
        <v>3537100.2689999999</v>
      </c>
      <c r="C29" s="2211">
        <v>1636616.8829999999</v>
      </c>
      <c r="D29" s="2211">
        <v>1235296.8999999999</v>
      </c>
      <c r="E29" s="2211">
        <v>1992901.6440000001</v>
      </c>
      <c r="F29" s="2211">
        <v>690524.52500000002</v>
      </c>
      <c r="G29" s="2211">
        <v>749906.59499999997</v>
      </c>
      <c r="H29" s="2211">
        <v>2513059.9819999998</v>
      </c>
      <c r="I29" s="2009">
        <v>307210.78399999999</v>
      </c>
      <c r="J29" s="2211">
        <v>11065335.614</v>
      </c>
      <c r="K29" s="2211">
        <v>1409049.15</v>
      </c>
      <c r="L29" s="2211">
        <v>2389367.8339999998</v>
      </c>
      <c r="M29" s="2211">
        <v>4052555.6409999998</v>
      </c>
      <c r="N29" s="2211">
        <v>1736006.943</v>
      </c>
      <c r="O29" s="2211">
        <v>2332360.5550000002</v>
      </c>
      <c r="P29" s="2211">
        <v>3539507.7629999998</v>
      </c>
      <c r="Q29" s="2211">
        <v>2863042.4169999999</v>
      </c>
      <c r="R29" s="2211">
        <v>441244.68900000001</v>
      </c>
      <c r="S29" s="2212" t="s">
        <v>171</v>
      </c>
      <c r="T29" s="2213">
        <v>42491088.188000001</v>
      </c>
      <c r="V29" s="2205"/>
    </row>
    <row r="30" spans="1:22" s="1960" customFormat="1" ht="24.75" customHeight="1">
      <c r="A30" s="298">
        <v>2022.12</v>
      </c>
      <c r="B30" s="2214">
        <v>4106850.8939999999</v>
      </c>
      <c r="C30" s="2215">
        <v>1771782.331</v>
      </c>
      <c r="D30" s="2215">
        <v>1353740.73</v>
      </c>
      <c r="E30" s="2215">
        <v>2215447.9190000002</v>
      </c>
      <c r="F30" s="2215">
        <v>744368.42299999995</v>
      </c>
      <c r="G30" s="2215">
        <v>838558.69400000002</v>
      </c>
      <c r="H30" s="2215">
        <v>2754976.8289999999</v>
      </c>
      <c r="I30" s="2021">
        <v>331444.78399999999</v>
      </c>
      <c r="J30" s="2215">
        <v>12201098.672</v>
      </c>
      <c r="K30" s="2215">
        <v>1569108.3119999999</v>
      </c>
      <c r="L30" s="2215">
        <v>2584515.4920000001</v>
      </c>
      <c r="M30" s="2215">
        <v>4320468.3499999996</v>
      </c>
      <c r="N30" s="2215">
        <v>1881020.26</v>
      </c>
      <c r="O30" s="2215">
        <v>2969579.6910000001</v>
      </c>
      <c r="P30" s="2215">
        <v>3663774.62</v>
      </c>
      <c r="Q30" s="2215">
        <v>3134950.7119999998</v>
      </c>
      <c r="R30" s="2215">
        <v>486222.70699999999</v>
      </c>
      <c r="S30" s="2216" t="s">
        <v>171</v>
      </c>
      <c r="T30" s="2217">
        <v>46927909.420000002</v>
      </c>
      <c r="V30" s="2205"/>
    </row>
    <row r="31" spans="1:22" s="1960" customFormat="1" ht="5.0999999999999996" customHeight="1">
      <c r="A31" s="2218"/>
      <c r="B31" s="2219"/>
      <c r="C31" s="2219"/>
      <c r="D31" s="2219"/>
      <c r="E31" s="2219"/>
      <c r="F31" s="2219"/>
      <c r="G31" s="2219"/>
      <c r="H31" s="2219"/>
      <c r="I31" s="2219"/>
      <c r="J31" s="2219"/>
      <c r="K31" s="2219"/>
      <c r="L31" s="2219"/>
      <c r="M31" s="2219"/>
      <c r="N31" s="2219"/>
      <c r="O31" s="2219"/>
      <c r="P31" s="2219"/>
      <c r="Q31" s="2219"/>
      <c r="R31" s="2219"/>
      <c r="S31" s="2219"/>
      <c r="T31" s="2219"/>
    </row>
    <row r="32" spans="1:22" ht="13.5" customHeight="1">
      <c r="A32" s="631" t="s">
        <v>1195</v>
      </c>
      <c r="B32" s="631"/>
      <c r="C32" s="631"/>
      <c r="D32" s="631"/>
      <c r="E32" s="631"/>
      <c r="F32" s="631"/>
      <c r="G32" s="631"/>
      <c r="H32" s="631"/>
      <c r="I32" s="631"/>
      <c r="J32" s="631"/>
      <c r="K32" s="631"/>
      <c r="L32" s="631"/>
      <c r="M32" s="631"/>
      <c r="N32" s="631"/>
      <c r="O32" s="631"/>
      <c r="P32" s="631"/>
      <c r="Q32" s="631"/>
      <c r="R32" s="631"/>
      <c r="S32" s="631"/>
      <c r="T32" s="631"/>
    </row>
    <row r="33" spans="1:20" ht="9.9499999999999993" customHeight="1">
      <c r="A33" s="631"/>
      <c r="B33" s="631"/>
      <c r="C33" s="631"/>
      <c r="D33" s="631"/>
      <c r="E33" s="631"/>
      <c r="F33" s="631"/>
      <c r="G33" s="631"/>
      <c r="H33" s="631"/>
      <c r="I33" s="631"/>
      <c r="J33" s="631"/>
      <c r="K33" s="631"/>
      <c r="L33" s="631"/>
      <c r="M33" s="631"/>
      <c r="N33" s="631"/>
      <c r="O33" s="631"/>
      <c r="P33" s="631"/>
      <c r="Q33" s="631"/>
      <c r="R33" s="631"/>
      <c r="S33" s="631"/>
      <c r="T33" s="631"/>
    </row>
    <row r="34" spans="1:20" ht="6.75" customHeight="1">
      <c r="A34" s="631"/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</row>
    <row r="35" spans="1:20" ht="15.75" customHeight="1">
      <c r="A35" s="634"/>
      <c r="B35" s="631"/>
      <c r="C35" s="631"/>
      <c r="D35" s="631"/>
      <c r="E35" s="631"/>
      <c r="F35" s="631"/>
      <c r="G35" s="631"/>
      <c r="H35" s="631"/>
      <c r="I35" s="631"/>
      <c r="J35" s="631"/>
      <c r="K35" s="631"/>
      <c r="L35" s="631"/>
      <c r="M35" s="631"/>
      <c r="N35" s="631"/>
      <c r="O35" s="631"/>
      <c r="P35" s="631"/>
      <c r="Q35" s="631"/>
      <c r="R35" s="631"/>
      <c r="S35" s="631"/>
      <c r="T35" s="636"/>
    </row>
  </sheetData>
  <phoneticPr fontId="3" type="noConversion"/>
  <printOptions horizontalCentered="1"/>
  <pageMargins left="0.94488188976377963" right="0.94488188976377963" top="1.1811023622047245" bottom="1.1811023622047245" header="0" footer="0"/>
  <pageSetup paperSize="9" scale="79" firstPageNumber="62" orientation="portrait" useFirstPageNumber="1" r:id="rId1"/>
  <headerFooter differentOddEven="1" scaleWithDoc="0" alignWithMargins="0"/>
  <colBreaks count="1" manualBreakCount="1">
    <brk id="10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3"/>
  <sheetViews>
    <sheetView showGridLines="0" view="pageBreakPreview" zoomScale="70" zoomScaleNormal="100" zoomScaleSheetLayoutView="7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0.5" style="1280" customWidth="1"/>
    <col min="2" max="17" width="9.25" style="1280" customWidth="1"/>
    <col min="18" max="19" width="9" style="1280" customWidth="1"/>
    <col min="20" max="20" width="10.875" style="1280" customWidth="1"/>
    <col min="21" max="21" width="12.75" style="1280" bestFit="1" customWidth="1"/>
    <col min="22" max="22" width="12.75" style="1280" customWidth="1"/>
    <col min="23" max="16384" width="7.875" style="1280"/>
  </cols>
  <sheetData>
    <row r="1" spans="1:23" ht="20.25">
      <c r="A1" s="1946" t="s">
        <v>1196</v>
      </c>
    </row>
    <row r="2" spans="1:23" s="1947" customFormat="1" ht="17.25">
      <c r="A2" s="1947" t="s">
        <v>1197</v>
      </c>
      <c r="N2" s="959"/>
    </row>
    <row r="3" spans="1:23" ht="15" customHeight="1">
      <c r="A3" s="631"/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  <c r="M3" s="631"/>
      <c r="N3" s="631"/>
      <c r="O3" s="631"/>
      <c r="P3" s="1949"/>
      <c r="Q3" s="631"/>
      <c r="R3" s="1949"/>
      <c r="S3" s="631"/>
      <c r="T3" s="2084" t="s">
        <v>1198</v>
      </c>
    </row>
    <row r="4" spans="1:23" s="307" customFormat="1" ht="39.950000000000003" customHeight="1">
      <c r="A4" s="1996" t="s">
        <v>809</v>
      </c>
      <c r="B4" s="1997" t="s">
        <v>1176</v>
      </c>
      <c r="C4" s="2085" t="s">
        <v>1177</v>
      </c>
      <c r="D4" s="2085" t="s">
        <v>1178</v>
      </c>
      <c r="E4" s="2085" t="s">
        <v>1179</v>
      </c>
      <c r="F4" s="2085" t="s">
        <v>1180</v>
      </c>
      <c r="G4" s="2085" t="s">
        <v>1181</v>
      </c>
      <c r="H4" s="2085" t="s">
        <v>1182</v>
      </c>
      <c r="I4" s="2085" t="s">
        <v>1183</v>
      </c>
      <c r="J4" s="2085" t="s">
        <v>1184</v>
      </c>
      <c r="K4" s="2085" t="s">
        <v>1185</v>
      </c>
      <c r="L4" s="2085" t="s">
        <v>1186</v>
      </c>
      <c r="M4" s="2085" t="s">
        <v>1187</v>
      </c>
      <c r="N4" s="2085" t="s">
        <v>1188</v>
      </c>
      <c r="O4" s="2085" t="s">
        <v>1189</v>
      </c>
      <c r="P4" s="2085" t="s">
        <v>1190</v>
      </c>
      <c r="Q4" s="1644" t="s">
        <v>1191</v>
      </c>
      <c r="R4" s="2085" t="s">
        <v>1192</v>
      </c>
      <c r="S4" s="2085" t="s">
        <v>1199</v>
      </c>
      <c r="T4" s="2196" t="s">
        <v>1194</v>
      </c>
      <c r="U4" s="1280"/>
    </row>
    <row r="5" spans="1:23" ht="27" customHeight="1">
      <c r="A5" s="275">
        <v>2011</v>
      </c>
      <c r="B5" s="2210">
        <v>3213280</v>
      </c>
      <c r="C5" s="2211">
        <v>1192817</v>
      </c>
      <c r="D5" s="2211">
        <v>820940</v>
      </c>
      <c r="E5" s="2211">
        <v>884924</v>
      </c>
      <c r="F5" s="2211">
        <v>471124</v>
      </c>
      <c r="G5" s="2211">
        <v>483447</v>
      </c>
      <c r="H5" s="2211">
        <v>385869</v>
      </c>
      <c r="I5" s="2211">
        <v>0</v>
      </c>
      <c r="J5" s="2211">
        <v>3666846</v>
      </c>
      <c r="K5" s="2211">
        <v>886990</v>
      </c>
      <c r="L5" s="2211">
        <v>890383</v>
      </c>
      <c r="M5" s="2211">
        <v>1184303</v>
      </c>
      <c r="N5" s="2211">
        <v>973340</v>
      </c>
      <c r="O5" s="2211">
        <v>1201817</v>
      </c>
      <c r="P5" s="2211">
        <v>1662139</v>
      </c>
      <c r="Q5" s="2211">
        <v>1599848</v>
      </c>
      <c r="R5" s="2220">
        <v>296567</v>
      </c>
      <c r="S5" s="2211">
        <v>232</v>
      </c>
      <c r="T5" s="2199">
        <v>19814866</v>
      </c>
      <c r="U5" s="2152"/>
    </row>
    <row r="6" spans="1:23" ht="27" customHeight="1">
      <c r="A6" s="275">
        <v>2012</v>
      </c>
      <c r="B6" s="2210">
        <v>3297656</v>
      </c>
      <c r="C6" s="2211">
        <v>1217929</v>
      </c>
      <c r="D6" s="2211">
        <v>839322</v>
      </c>
      <c r="E6" s="2211">
        <v>905425</v>
      </c>
      <c r="F6" s="2211">
        <v>484454</v>
      </c>
      <c r="G6" s="2211">
        <v>504791</v>
      </c>
      <c r="H6" s="2211">
        <v>401743</v>
      </c>
      <c r="I6" s="2211">
        <v>68018</v>
      </c>
      <c r="J6" s="2211">
        <v>3784921</v>
      </c>
      <c r="K6" s="2211">
        <v>908906</v>
      </c>
      <c r="L6" s="2211">
        <v>916759</v>
      </c>
      <c r="M6" s="2211">
        <v>1171169</v>
      </c>
      <c r="N6" s="2211">
        <v>1022299</v>
      </c>
      <c r="O6" s="2211">
        <v>1251282</v>
      </c>
      <c r="P6" s="2211">
        <v>1729293</v>
      </c>
      <c r="Q6" s="2211">
        <v>1660652</v>
      </c>
      <c r="R6" s="2220">
        <v>311032</v>
      </c>
      <c r="S6" s="2211">
        <v>248</v>
      </c>
      <c r="T6" s="2213">
        <v>20475899</v>
      </c>
      <c r="U6" s="2133"/>
    </row>
    <row r="7" spans="1:23" ht="27" customHeight="1">
      <c r="A7" s="275">
        <v>2013</v>
      </c>
      <c r="B7" s="2210">
        <v>3396721</v>
      </c>
      <c r="C7" s="2211">
        <v>1238164</v>
      </c>
      <c r="D7" s="2211">
        <v>851861</v>
      </c>
      <c r="E7" s="2211">
        <v>916535</v>
      </c>
      <c r="F7" s="2211">
        <v>504496</v>
      </c>
      <c r="G7" s="2211">
        <v>513418</v>
      </c>
      <c r="H7" s="2211">
        <v>414659</v>
      </c>
      <c r="I7" s="2211">
        <v>74187</v>
      </c>
      <c r="J7" s="2211">
        <v>3889183</v>
      </c>
      <c r="K7" s="2211">
        <v>930463</v>
      </c>
      <c r="L7" s="2211">
        <v>940692</v>
      </c>
      <c r="M7" s="2211">
        <v>1208741</v>
      </c>
      <c r="N7" s="2211">
        <v>1046867</v>
      </c>
      <c r="O7" s="2211">
        <v>1284336</v>
      </c>
      <c r="P7" s="2211">
        <v>1777464</v>
      </c>
      <c r="Q7" s="2211">
        <v>1705087</v>
      </c>
      <c r="R7" s="2220">
        <v>324574</v>
      </c>
      <c r="S7" s="2211">
        <v>245</v>
      </c>
      <c r="T7" s="2199">
        <v>21017693</v>
      </c>
      <c r="U7" s="2152"/>
    </row>
    <row r="8" spans="1:23" ht="27" customHeight="1">
      <c r="A8" s="275">
        <v>2014</v>
      </c>
      <c r="B8" s="2210">
        <v>3441223</v>
      </c>
      <c r="C8" s="2211">
        <v>1252737</v>
      </c>
      <c r="D8" s="2211">
        <v>870345</v>
      </c>
      <c r="E8" s="2211">
        <v>936198</v>
      </c>
      <c r="F8" s="2211">
        <v>516639</v>
      </c>
      <c r="G8" s="2211">
        <v>522331</v>
      </c>
      <c r="H8" s="2211">
        <v>427835</v>
      </c>
      <c r="I8" s="2211">
        <v>80165</v>
      </c>
      <c r="J8" s="2211">
        <v>3998459</v>
      </c>
      <c r="K8" s="2211">
        <v>950946</v>
      </c>
      <c r="L8" s="2211">
        <v>964440</v>
      </c>
      <c r="M8" s="2211">
        <v>1243023</v>
      </c>
      <c r="N8" s="2211">
        <v>1109077</v>
      </c>
      <c r="O8" s="2211">
        <v>1308664</v>
      </c>
      <c r="P8" s="2211">
        <v>1826845</v>
      </c>
      <c r="Q8" s="2211">
        <v>1744017</v>
      </c>
      <c r="R8" s="2220">
        <v>339072</v>
      </c>
      <c r="S8" s="2211">
        <v>253</v>
      </c>
      <c r="T8" s="2199">
        <v>21532269</v>
      </c>
      <c r="U8" s="2152"/>
    </row>
    <row r="9" spans="1:23" ht="27" customHeight="1">
      <c r="A9" s="275">
        <v>2015</v>
      </c>
      <c r="B9" s="2210">
        <v>3467528</v>
      </c>
      <c r="C9" s="2211">
        <v>1263051</v>
      </c>
      <c r="D9" s="2211">
        <v>891935</v>
      </c>
      <c r="E9" s="2211">
        <v>955702</v>
      </c>
      <c r="F9" s="2211">
        <v>526471</v>
      </c>
      <c r="G9" s="2211">
        <v>538213</v>
      </c>
      <c r="H9" s="2211">
        <v>440557</v>
      </c>
      <c r="I9" s="2211">
        <v>83028</v>
      </c>
      <c r="J9" s="2211">
        <v>4117575</v>
      </c>
      <c r="K9" s="2211">
        <v>975262</v>
      </c>
      <c r="L9" s="2211">
        <v>991176</v>
      </c>
      <c r="M9" s="2211">
        <v>1281942</v>
      </c>
      <c r="N9" s="2211">
        <v>1133398</v>
      </c>
      <c r="O9" s="2211">
        <v>1335482</v>
      </c>
      <c r="P9" s="2211">
        <v>1884765</v>
      </c>
      <c r="Q9" s="2211">
        <v>1785232</v>
      </c>
      <c r="R9" s="2211">
        <v>358644</v>
      </c>
      <c r="S9" s="2211">
        <v>254</v>
      </c>
      <c r="T9" s="2199">
        <v>22030215</v>
      </c>
      <c r="U9" s="2133"/>
    </row>
    <row r="10" spans="1:23" ht="27" customHeight="1">
      <c r="A10" s="275">
        <v>2016</v>
      </c>
      <c r="B10" s="2210">
        <v>3506464</v>
      </c>
      <c r="C10" s="2211">
        <v>1270512</v>
      </c>
      <c r="D10" s="2211">
        <v>918572</v>
      </c>
      <c r="E10" s="2211">
        <v>978238</v>
      </c>
      <c r="F10" s="2211">
        <v>531637</v>
      </c>
      <c r="G10" s="2211">
        <v>556529</v>
      </c>
      <c r="H10" s="2211">
        <v>450632</v>
      </c>
      <c r="I10" s="2211">
        <v>85756</v>
      </c>
      <c r="J10" s="2211">
        <v>4248808</v>
      </c>
      <c r="K10" s="2211">
        <v>1000910</v>
      </c>
      <c r="L10" s="2211">
        <v>1016059</v>
      </c>
      <c r="M10" s="2211">
        <v>1317480</v>
      </c>
      <c r="N10" s="2211">
        <v>1155045</v>
      </c>
      <c r="O10" s="2211">
        <v>1364679</v>
      </c>
      <c r="P10" s="2211">
        <v>1937384</v>
      </c>
      <c r="Q10" s="2211">
        <v>1828814</v>
      </c>
      <c r="R10" s="2211">
        <v>385200</v>
      </c>
      <c r="S10" s="2211">
        <v>0</v>
      </c>
      <c r="T10" s="2199">
        <v>22552719</v>
      </c>
      <c r="U10" s="2152"/>
    </row>
    <row r="11" spans="1:23" s="1960" customFormat="1" ht="27" customHeight="1">
      <c r="A11" s="275">
        <v>2017</v>
      </c>
      <c r="B11" s="2210">
        <v>3563803</v>
      </c>
      <c r="C11" s="2211">
        <v>1279193</v>
      </c>
      <c r="D11" s="2211">
        <v>929637</v>
      </c>
      <c r="E11" s="2211">
        <v>1005645</v>
      </c>
      <c r="F11" s="2211">
        <v>543151</v>
      </c>
      <c r="G11" s="2211">
        <v>576795</v>
      </c>
      <c r="H11" s="2211">
        <v>459420</v>
      </c>
      <c r="I11" s="2211">
        <v>89514</v>
      </c>
      <c r="J11" s="2211">
        <v>4369707</v>
      </c>
      <c r="K11" s="2211">
        <v>1026182</v>
      </c>
      <c r="L11" s="2211">
        <v>1041172</v>
      </c>
      <c r="M11" s="2211">
        <v>1357245</v>
      </c>
      <c r="N11" s="2211">
        <v>1178675</v>
      </c>
      <c r="O11" s="2211">
        <v>1393273</v>
      </c>
      <c r="P11" s="2211">
        <v>1980254</v>
      </c>
      <c r="Q11" s="2211">
        <v>1865308</v>
      </c>
      <c r="R11" s="2211">
        <v>418037</v>
      </c>
      <c r="S11" s="2211">
        <v>0</v>
      </c>
      <c r="T11" s="2199">
        <v>23077023</v>
      </c>
      <c r="U11" s="1280"/>
      <c r="V11" s="2134"/>
    </row>
    <row r="12" spans="1:23" s="1960" customFormat="1" ht="27" customHeight="1">
      <c r="A12" s="275">
        <v>2018</v>
      </c>
      <c r="B12" s="2210">
        <v>3605300</v>
      </c>
      <c r="C12" s="2211">
        <v>1282195</v>
      </c>
      <c r="D12" s="2211">
        <v>941398</v>
      </c>
      <c r="E12" s="2211">
        <v>1020655</v>
      </c>
      <c r="F12" s="2211">
        <v>545480</v>
      </c>
      <c r="G12" s="2211">
        <v>584853</v>
      </c>
      <c r="H12" s="2211">
        <v>465067</v>
      </c>
      <c r="I12" s="2211">
        <v>92326</v>
      </c>
      <c r="J12" s="2211">
        <v>4482784</v>
      </c>
      <c r="K12" s="2211">
        <v>1062001</v>
      </c>
      <c r="L12" s="2211">
        <v>1065629</v>
      </c>
      <c r="M12" s="2211">
        <v>1390063</v>
      </c>
      <c r="N12" s="2211">
        <v>1193339</v>
      </c>
      <c r="O12" s="2211">
        <v>1423206</v>
      </c>
      <c r="P12" s="2211">
        <v>2015725</v>
      </c>
      <c r="Q12" s="2211">
        <v>1889174</v>
      </c>
      <c r="R12" s="2211">
        <v>442334</v>
      </c>
      <c r="S12" s="2211">
        <v>14</v>
      </c>
      <c r="T12" s="2199">
        <v>23501543</v>
      </c>
      <c r="U12" s="1280"/>
      <c r="V12" s="2134"/>
    </row>
    <row r="13" spans="1:23" s="1960" customFormat="1" ht="27" customHeight="1">
      <c r="A13" s="275">
        <v>2019</v>
      </c>
      <c r="B13" s="2210">
        <v>3647702</v>
      </c>
      <c r="C13" s="2211">
        <v>1286717</v>
      </c>
      <c r="D13" s="2211">
        <v>932965</v>
      </c>
      <c r="E13" s="2211">
        <v>1026667</v>
      </c>
      <c r="F13" s="2211">
        <v>550818</v>
      </c>
      <c r="G13" s="2211">
        <v>588843</v>
      </c>
      <c r="H13" s="2211">
        <v>468077</v>
      </c>
      <c r="I13" s="2211">
        <v>98581</v>
      </c>
      <c r="J13" s="2211">
        <v>4563003</v>
      </c>
      <c r="K13" s="2211">
        <v>1089261</v>
      </c>
      <c r="L13" s="2211">
        <v>1089307</v>
      </c>
      <c r="M13" s="2211">
        <v>1423311</v>
      </c>
      <c r="N13" s="2211">
        <v>1217739</v>
      </c>
      <c r="O13" s="2211">
        <v>1454637</v>
      </c>
      <c r="P13" s="2211">
        <v>2047790</v>
      </c>
      <c r="Q13" s="2211">
        <v>1912803</v>
      </c>
      <c r="R13" s="2211">
        <v>461797</v>
      </c>
      <c r="S13" s="2221">
        <v>14</v>
      </c>
      <c r="T13" s="2199">
        <v>23860032</v>
      </c>
      <c r="U13" s="1280"/>
      <c r="V13" s="2134"/>
    </row>
    <row r="14" spans="1:23" ht="27" customHeight="1">
      <c r="A14" s="275">
        <v>2020</v>
      </c>
      <c r="B14" s="2210">
        <v>3692337</v>
      </c>
      <c r="C14" s="2211">
        <v>1287766</v>
      </c>
      <c r="D14" s="2211">
        <v>933257</v>
      </c>
      <c r="E14" s="2211">
        <v>1032731</v>
      </c>
      <c r="F14" s="2211">
        <v>553028</v>
      </c>
      <c r="G14" s="2211">
        <v>591180</v>
      </c>
      <c r="H14" s="2211">
        <v>470696</v>
      </c>
      <c r="I14" s="2211">
        <v>100758</v>
      </c>
      <c r="J14" s="2211">
        <v>4615521</v>
      </c>
      <c r="K14" s="2211">
        <v>1112938</v>
      </c>
      <c r="L14" s="2211">
        <v>1108181</v>
      </c>
      <c r="M14" s="2211">
        <v>1451902</v>
      </c>
      <c r="N14" s="2211">
        <v>1243394</v>
      </c>
      <c r="O14" s="2211">
        <v>1497359</v>
      </c>
      <c r="P14" s="2211">
        <v>2086877</v>
      </c>
      <c r="Q14" s="2211">
        <v>1935540</v>
      </c>
      <c r="R14" s="2211">
        <v>484825</v>
      </c>
      <c r="S14" s="2221">
        <v>14</v>
      </c>
      <c r="T14" s="2199">
        <v>24198304</v>
      </c>
      <c r="V14" s="2126"/>
    </row>
    <row r="15" spans="1:23" ht="27" customHeight="1">
      <c r="A15" s="2056">
        <v>2021</v>
      </c>
      <c r="B15" s="2222">
        <v>3713891</v>
      </c>
      <c r="C15" s="2223">
        <v>1290387</v>
      </c>
      <c r="D15" s="2223">
        <v>928295</v>
      </c>
      <c r="E15" s="2223">
        <v>1042093</v>
      </c>
      <c r="F15" s="2223">
        <v>558106</v>
      </c>
      <c r="G15" s="2223">
        <v>594286</v>
      </c>
      <c r="H15" s="2223">
        <v>471793</v>
      </c>
      <c r="I15" s="2223">
        <v>103381</v>
      </c>
      <c r="J15" s="2223">
        <v>4687268</v>
      </c>
      <c r="K15" s="2223">
        <v>1137935</v>
      </c>
      <c r="L15" s="2223">
        <v>1129889</v>
      </c>
      <c r="M15" s="2223">
        <v>1482070</v>
      </c>
      <c r="N15" s="2223">
        <v>1272614</v>
      </c>
      <c r="O15" s="2223">
        <v>1527926</v>
      </c>
      <c r="P15" s="2223">
        <v>2122187</v>
      </c>
      <c r="Q15" s="2223">
        <v>1958431</v>
      </c>
      <c r="R15" s="2223">
        <v>502738</v>
      </c>
      <c r="S15" s="2223">
        <v>14</v>
      </c>
      <c r="T15" s="2224">
        <v>24523304</v>
      </c>
      <c r="U15" s="2225"/>
      <c r="V15" s="2205"/>
    </row>
    <row r="16" spans="1:23" ht="27" customHeight="1">
      <c r="A16" s="1751">
        <v>2021.12</v>
      </c>
      <c r="B16" s="2206">
        <v>3713891</v>
      </c>
      <c r="C16" s="2207">
        <v>1290387</v>
      </c>
      <c r="D16" s="2207">
        <v>928295</v>
      </c>
      <c r="E16" s="2207">
        <v>1042093</v>
      </c>
      <c r="F16" s="2207">
        <v>558106</v>
      </c>
      <c r="G16" s="2207">
        <v>594286</v>
      </c>
      <c r="H16" s="2207">
        <v>471793</v>
      </c>
      <c r="I16" s="2207">
        <v>103381</v>
      </c>
      <c r="J16" s="2207">
        <v>4687268</v>
      </c>
      <c r="K16" s="2207">
        <v>1137935</v>
      </c>
      <c r="L16" s="2207">
        <v>1129889</v>
      </c>
      <c r="M16" s="2207">
        <v>1482070</v>
      </c>
      <c r="N16" s="2207">
        <v>1272614</v>
      </c>
      <c r="O16" s="2207">
        <v>1527926</v>
      </c>
      <c r="P16" s="2207">
        <v>2122187</v>
      </c>
      <c r="Q16" s="2207">
        <v>1958431</v>
      </c>
      <c r="R16" s="2207">
        <v>502738</v>
      </c>
      <c r="S16" s="2207">
        <v>14</v>
      </c>
      <c r="T16" s="2226">
        <v>24523304</v>
      </c>
      <c r="U16" s="2225"/>
      <c r="V16" s="2205"/>
      <c r="W16" s="2225"/>
    </row>
    <row r="17" spans="1:23" ht="27" customHeight="1">
      <c r="A17" s="1507">
        <v>2022.01</v>
      </c>
      <c r="B17" s="2210">
        <v>3716605</v>
      </c>
      <c r="C17" s="2211">
        <v>1291230</v>
      </c>
      <c r="D17" s="2211">
        <v>928198</v>
      </c>
      <c r="E17" s="2211">
        <v>1038728</v>
      </c>
      <c r="F17" s="2211">
        <v>558709</v>
      </c>
      <c r="G17" s="2211">
        <v>595089</v>
      </c>
      <c r="H17" s="2211">
        <v>472199</v>
      </c>
      <c r="I17" s="2211">
        <v>103567</v>
      </c>
      <c r="J17" s="2211">
        <v>4687566</v>
      </c>
      <c r="K17" s="2211">
        <v>1140021</v>
      </c>
      <c r="L17" s="2211">
        <v>1131466</v>
      </c>
      <c r="M17" s="2211">
        <v>1485469</v>
      </c>
      <c r="N17" s="2211">
        <v>1236726</v>
      </c>
      <c r="O17" s="2211">
        <v>1506120</v>
      </c>
      <c r="P17" s="2211">
        <v>2124060</v>
      </c>
      <c r="Q17" s="2211">
        <v>1960125</v>
      </c>
      <c r="R17" s="2211">
        <v>504555</v>
      </c>
      <c r="S17" s="2211">
        <v>14</v>
      </c>
      <c r="T17" s="2199">
        <v>24480447</v>
      </c>
      <c r="U17" s="2225"/>
      <c r="V17" s="2205"/>
      <c r="W17" s="2225"/>
    </row>
    <row r="18" spans="1:23" ht="27" customHeight="1">
      <c r="A18" s="1507">
        <v>2022.02</v>
      </c>
      <c r="B18" s="2210">
        <v>3718282</v>
      </c>
      <c r="C18" s="2211">
        <v>1291341</v>
      </c>
      <c r="D18" s="2211">
        <v>927712</v>
      </c>
      <c r="E18" s="2211">
        <v>1038438</v>
      </c>
      <c r="F18" s="2211">
        <v>559062</v>
      </c>
      <c r="G18" s="2211">
        <v>595205</v>
      </c>
      <c r="H18" s="2211">
        <v>471870</v>
      </c>
      <c r="I18" s="2211">
        <v>103534</v>
      </c>
      <c r="J18" s="2211">
        <v>4689592</v>
      </c>
      <c r="K18" s="2211">
        <v>1140899</v>
      </c>
      <c r="L18" s="2211">
        <v>1132220</v>
      </c>
      <c r="M18" s="2211">
        <v>1486858</v>
      </c>
      <c r="N18" s="2211">
        <v>1237466</v>
      </c>
      <c r="O18" s="2211">
        <v>1507900</v>
      </c>
      <c r="P18" s="2211">
        <v>2126149</v>
      </c>
      <c r="Q18" s="2211">
        <v>1960116</v>
      </c>
      <c r="R18" s="2211">
        <v>505598</v>
      </c>
      <c r="S18" s="2211">
        <v>14</v>
      </c>
      <c r="T18" s="2199">
        <v>24492256</v>
      </c>
      <c r="U18" s="2225"/>
      <c r="V18" s="2205"/>
      <c r="W18" s="2225"/>
    </row>
    <row r="19" spans="1:23" ht="27" customHeight="1">
      <c r="A19" s="1507">
        <v>2022.03</v>
      </c>
      <c r="B19" s="2210">
        <v>3720626</v>
      </c>
      <c r="C19" s="2211">
        <v>1291438</v>
      </c>
      <c r="D19" s="2211">
        <v>927879</v>
      </c>
      <c r="E19" s="2211">
        <v>1046399</v>
      </c>
      <c r="F19" s="2211">
        <v>563898</v>
      </c>
      <c r="G19" s="2211">
        <v>596664</v>
      </c>
      <c r="H19" s="2211">
        <v>472738</v>
      </c>
      <c r="I19" s="2211">
        <v>108475</v>
      </c>
      <c r="J19" s="2211">
        <v>4765339</v>
      </c>
      <c r="K19" s="2211">
        <v>1163574</v>
      </c>
      <c r="L19" s="2211">
        <v>1167365</v>
      </c>
      <c r="M19" s="2211">
        <v>1601138</v>
      </c>
      <c r="N19" s="2211">
        <v>1304704</v>
      </c>
      <c r="O19" s="2211">
        <v>1633127</v>
      </c>
      <c r="P19" s="2211">
        <v>2201828</v>
      </c>
      <c r="Q19" s="2211">
        <v>1986050</v>
      </c>
      <c r="R19" s="2211">
        <v>506552</v>
      </c>
      <c r="S19" s="2211">
        <v>14</v>
      </c>
      <c r="T19" s="2199">
        <v>25057808</v>
      </c>
      <c r="U19" s="2225"/>
      <c r="V19" s="2205"/>
      <c r="W19" s="2225"/>
    </row>
    <row r="20" spans="1:23" ht="27" customHeight="1">
      <c r="A20" s="296">
        <v>2022.04</v>
      </c>
      <c r="B20" s="2210">
        <v>3733475</v>
      </c>
      <c r="C20" s="2211">
        <v>1291658</v>
      </c>
      <c r="D20" s="2211">
        <v>927406</v>
      </c>
      <c r="E20" s="2211">
        <v>1043550</v>
      </c>
      <c r="F20" s="2211">
        <v>560298</v>
      </c>
      <c r="G20" s="2211">
        <v>595510</v>
      </c>
      <c r="H20" s="2211">
        <v>472048</v>
      </c>
      <c r="I20" s="2211">
        <v>103827</v>
      </c>
      <c r="J20" s="2211">
        <v>4709526</v>
      </c>
      <c r="K20" s="2211">
        <v>1144127</v>
      </c>
      <c r="L20" s="2211">
        <v>1135263</v>
      </c>
      <c r="M20" s="2211">
        <v>1492000</v>
      </c>
      <c r="N20" s="2211">
        <v>1286260</v>
      </c>
      <c r="O20" s="2211">
        <v>1537528</v>
      </c>
      <c r="P20" s="2211">
        <v>2138756</v>
      </c>
      <c r="Q20" s="2211">
        <v>1964209</v>
      </c>
      <c r="R20" s="2211">
        <v>507869</v>
      </c>
      <c r="S20" s="2211">
        <v>0</v>
      </c>
      <c r="T20" s="2199">
        <v>24643310</v>
      </c>
      <c r="U20" s="2225"/>
      <c r="V20" s="2205"/>
      <c r="W20" s="2225"/>
    </row>
    <row r="21" spans="1:23" ht="27" customHeight="1">
      <c r="A21" s="296">
        <v>2022.05</v>
      </c>
      <c r="B21" s="2210">
        <v>3733248</v>
      </c>
      <c r="C21" s="2211">
        <v>1292324</v>
      </c>
      <c r="D21" s="2211">
        <v>927229</v>
      </c>
      <c r="E21" s="2211">
        <v>1038952</v>
      </c>
      <c r="F21" s="2211">
        <v>560729</v>
      </c>
      <c r="G21" s="2211">
        <v>595388</v>
      </c>
      <c r="H21" s="2211">
        <v>471969</v>
      </c>
      <c r="I21" s="2211">
        <v>104060</v>
      </c>
      <c r="J21" s="2211">
        <v>4707833</v>
      </c>
      <c r="K21" s="2211">
        <v>1146232</v>
      </c>
      <c r="L21" s="2211">
        <v>1137204</v>
      </c>
      <c r="M21" s="2211">
        <v>1494322</v>
      </c>
      <c r="N21" s="2211">
        <v>1243188</v>
      </c>
      <c r="O21" s="2211">
        <v>1515786</v>
      </c>
      <c r="P21" s="2211">
        <v>2141755</v>
      </c>
      <c r="Q21" s="2211">
        <v>1972566</v>
      </c>
      <c r="R21" s="2211">
        <v>508674</v>
      </c>
      <c r="S21" s="2211">
        <v>1</v>
      </c>
      <c r="T21" s="2199">
        <v>24591460</v>
      </c>
      <c r="U21" s="2225"/>
      <c r="V21" s="2205"/>
      <c r="W21" s="2225"/>
    </row>
    <row r="22" spans="1:23" ht="27" customHeight="1">
      <c r="A22" s="296">
        <v>2022.06</v>
      </c>
      <c r="B22" s="2210">
        <v>3734788</v>
      </c>
      <c r="C22" s="2211">
        <v>1292178</v>
      </c>
      <c r="D22" s="2211">
        <v>926939</v>
      </c>
      <c r="E22" s="2211">
        <v>1039551</v>
      </c>
      <c r="F22" s="2211">
        <v>561143</v>
      </c>
      <c r="G22" s="2211">
        <v>595589</v>
      </c>
      <c r="H22" s="2211">
        <v>472311</v>
      </c>
      <c r="I22" s="2211">
        <v>104249</v>
      </c>
      <c r="J22" s="2211">
        <v>4715244</v>
      </c>
      <c r="K22" s="2211">
        <v>1148984</v>
      </c>
      <c r="L22" s="2211">
        <v>1139699</v>
      </c>
      <c r="M22" s="2211">
        <v>1497047</v>
      </c>
      <c r="N22" s="2211">
        <v>1245141</v>
      </c>
      <c r="O22" s="2211">
        <v>1518133</v>
      </c>
      <c r="P22" s="2211">
        <v>2149043</v>
      </c>
      <c r="Q22" s="2211">
        <v>1981124</v>
      </c>
      <c r="R22" s="2211">
        <v>511094</v>
      </c>
      <c r="S22" s="2211">
        <v>0</v>
      </c>
      <c r="T22" s="2199">
        <v>24632257</v>
      </c>
      <c r="U22" s="2225"/>
      <c r="V22" s="2205"/>
      <c r="W22" s="2225"/>
    </row>
    <row r="23" spans="1:23" ht="27" customHeight="1">
      <c r="A23" s="296">
        <v>2022.07</v>
      </c>
      <c r="B23" s="2210">
        <v>3737640</v>
      </c>
      <c r="C23" s="2211">
        <v>1292119</v>
      </c>
      <c r="D23" s="2211">
        <v>926985</v>
      </c>
      <c r="E23" s="2211">
        <v>1040260</v>
      </c>
      <c r="F23" s="2211">
        <v>561729</v>
      </c>
      <c r="G23" s="2211">
        <v>595696</v>
      </c>
      <c r="H23" s="2211">
        <v>472522</v>
      </c>
      <c r="I23" s="2211">
        <v>104577</v>
      </c>
      <c r="J23" s="2211">
        <v>4721894</v>
      </c>
      <c r="K23" s="2211">
        <v>1151278</v>
      </c>
      <c r="L23" s="2211">
        <v>1142931</v>
      </c>
      <c r="M23" s="2211">
        <v>1500228</v>
      </c>
      <c r="N23" s="2211">
        <v>1247679</v>
      </c>
      <c r="O23" s="2211">
        <v>1520701</v>
      </c>
      <c r="P23" s="2211">
        <v>2150985</v>
      </c>
      <c r="Q23" s="2211">
        <v>1970232</v>
      </c>
      <c r="R23" s="2211">
        <v>511143</v>
      </c>
      <c r="S23" s="2211">
        <v>0</v>
      </c>
      <c r="T23" s="2199">
        <v>24648599</v>
      </c>
      <c r="U23" s="2225"/>
      <c r="V23" s="2205"/>
      <c r="W23" s="2225"/>
    </row>
    <row r="24" spans="1:23" ht="27" customHeight="1">
      <c r="A24" s="296">
        <v>2022.08</v>
      </c>
      <c r="B24" s="2210">
        <v>3739795</v>
      </c>
      <c r="C24" s="2211">
        <v>1291944</v>
      </c>
      <c r="D24" s="2211">
        <v>927063</v>
      </c>
      <c r="E24" s="2211">
        <v>1040513</v>
      </c>
      <c r="F24" s="2211">
        <v>562109</v>
      </c>
      <c r="G24" s="2211">
        <v>595902</v>
      </c>
      <c r="H24" s="2211">
        <v>472750</v>
      </c>
      <c r="I24" s="2211">
        <v>104792</v>
      </c>
      <c r="J24" s="2211">
        <v>4727694</v>
      </c>
      <c r="K24" s="2211">
        <v>1153601</v>
      </c>
      <c r="L24" s="2211">
        <v>1145462</v>
      </c>
      <c r="M24" s="2211">
        <v>1503187</v>
      </c>
      <c r="N24" s="2211">
        <v>1249770</v>
      </c>
      <c r="O24" s="2211">
        <v>1522949</v>
      </c>
      <c r="P24" s="2211">
        <v>2154274</v>
      </c>
      <c r="Q24" s="2211">
        <v>1971864</v>
      </c>
      <c r="R24" s="2211">
        <v>513421</v>
      </c>
      <c r="S24" s="2211">
        <v>0</v>
      </c>
      <c r="T24" s="2199">
        <v>24677090</v>
      </c>
      <c r="U24" s="2225"/>
      <c r="V24" s="2205"/>
      <c r="W24" s="2225"/>
    </row>
    <row r="25" spans="1:23" ht="27" customHeight="1">
      <c r="A25" s="296">
        <v>2022.09</v>
      </c>
      <c r="B25" s="2210">
        <v>3741166</v>
      </c>
      <c r="C25" s="2211">
        <v>1292115</v>
      </c>
      <c r="D25" s="2211">
        <v>927451</v>
      </c>
      <c r="E25" s="2211">
        <v>1041044</v>
      </c>
      <c r="F25" s="2211">
        <v>562725</v>
      </c>
      <c r="G25" s="2211">
        <v>596223</v>
      </c>
      <c r="H25" s="2211">
        <v>473236</v>
      </c>
      <c r="I25" s="2211">
        <v>104943</v>
      </c>
      <c r="J25" s="2211">
        <v>4734238</v>
      </c>
      <c r="K25" s="2211">
        <v>1155538</v>
      </c>
      <c r="L25" s="2211">
        <v>1147242</v>
      </c>
      <c r="M25" s="2211">
        <v>1505200</v>
      </c>
      <c r="N25" s="2211">
        <v>1251732</v>
      </c>
      <c r="O25" s="2211">
        <v>1533639</v>
      </c>
      <c r="P25" s="2211">
        <v>2158349</v>
      </c>
      <c r="Q25" s="2211">
        <v>1972631</v>
      </c>
      <c r="R25" s="2211">
        <v>514243</v>
      </c>
      <c r="S25" s="2211">
        <v>0</v>
      </c>
      <c r="T25" s="2199">
        <v>24711715</v>
      </c>
      <c r="U25" s="2225"/>
      <c r="V25" s="2205"/>
      <c r="W25" s="2225"/>
    </row>
    <row r="26" spans="1:23" ht="27" customHeight="1">
      <c r="A26" s="296">
        <v>2022.1</v>
      </c>
      <c r="B26" s="2210">
        <v>3742852</v>
      </c>
      <c r="C26" s="2211">
        <v>1292491</v>
      </c>
      <c r="D26" s="2211">
        <v>927992</v>
      </c>
      <c r="E26" s="2211">
        <v>1041272</v>
      </c>
      <c r="F26" s="2211">
        <v>563454</v>
      </c>
      <c r="G26" s="2211">
        <v>596562</v>
      </c>
      <c r="H26" s="2211">
        <v>473536</v>
      </c>
      <c r="I26" s="2211">
        <v>105138</v>
      </c>
      <c r="J26" s="2211">
        <v>4739838</v>
      </c>
      <c r="K26" s="2211">
        <v>1157162</v>
      </c>
      <c r="L26" s="2211">
        <v>1148782</v>
      </c>
      <c r="M26" s="2211">
        <v>1507368</v>
      </c>
      <c r="N26" s="2211">
        <v>1253229</v>
      </c>
      <c r="O26" s="2211">
        <v>1528719</v>
      </c>
      <c r="P26" s="2211">
        <v>2160792</v>
      </c>
      <c r="Q26" s="2211">
        <v>1974562</v>
      </c>
      <c r="R26" s="2211">
        <v>515130</v>
      </c>
      <c r="S26" s="2211">
        <v>0</v>
      </c>
      <c r="T26" s="2199">
        <v>24728879</v>
      </c>
      <c r="U26" s="2225"/>
      <c r="V26" s="2205"/>
      <c r="W26" s="2225"/>
    </row>
    <row r="27" spans="1:23" ht="27" customHeight="1">
      <c r="A27" s="296">
        <v>2022.11</v>
      </c>
      <c r="B27" s="2210">
        <v>3750601</v>
      </c>
      <c r="C27" s="2211">
        <v>1293014</v>
      </c>
      <c r="D27" s="2211">
        <v>928969</v>
      </c>
      <c r="E27" s="2211">
        <v>1049256</v>
      </c>
      <c r="F27" s="2211">
        <v>568369</v>
      </c>
      <c r="G27" s="2211">
        <v>598751</v>
      </c>
      <c r="H27" s="2211">
        <v>474836</v>
      </c>
      <c r="I27" s="2211">
        <v>110227</v>
      </c>
      <c r="J27" s="2211">
        <v>4819269</v>
      </c>
      <c r="K27" s="2211">
        <v>1181015</v>
      </c>
      <c r="L27" s="2211">
        <v>1184691</v>
      </c>
      <c r="M27" s="2211">
        <v>1623374</v>
      </c>
      <c r="N27" s="2211">
        <v>1320823</v>
      </c>
      <c r="O27" s="2211">
        <v>1655400</v>
      </c>
      <c r="P27" s="2211">
        <v>2235715</v>
      </c>
      <c r="Q27" s="2211">
        <v>2002675</v>
      </c>
      <c r="R27" s="2211">
        <v>518913</v>
      </c>
      <c r="S27" s="2211">
        <v>0</v>
      </c>
      <c r="T27" s="2199">
        <v>25315898</v>
      </c>
      <c r="U27" s="2225"/>
      <c r="V27" s="2205"/>
      <c r="W27" s="2225"/>
    </row>
    <row r="28" spans="1:23" ht="27" customHeight="1">
      <c r="A28" s="298">
        <v>2022.12</v>
      </c>
      <c r="B28" s="2214">
        <v>3750590</v>
      </c>
      <c r="C28" s="2215">
        <v>1293428</v>
      </c>
      <c r="D28" s="2215">
        <v>929132</v>
      </c>
      <c r="E28" s="2215">
        <v>1046654</v>
      </c>
      <c r="F28" s="2215">
        <v>564128</v>
      </c>
      <c r="G28" s="2215">
        <v>598108</v>
      </c>
      <c r="H28" s="2215">
        <v>473960</v>
      </c>
      <c r="I28" s="2215">
        <v>105607</v>
      </c>
      <c r="J28" s="2215">
        <v>4760852</v>
      </c>
      <c r="K28" s="2215">
        <v>1161285</v>
      </c>
      <c r="L28" s="2215">
        <v>1152014</v>
      </c>
      <c r="M28" s="2215">
        <v>1511149</v>
      </c>
      <c r="N28" s="2215">
        <v>1300586</v>
      </c>
      <c r="O28" s="2215">
        <v>1557714</v>
      </c>
      <c r="P28" s="2215">
        <v>2162676</v>
      </c>
      <c r="Q28" s="2215">
        <v>1979070</v>
      </c>
      <c r="R28" s="2215">
        <v>519422</v>
      </c>
      <c r="S28" s="2215">
        <v>0</v>
      </c>
      <c r="T28" s="2227">
        <v>24866375</v>
      </c>
      <c r="U28" s="2225"/>
      <c r="V28" s="2205"/>
      <c r="W28" s="2225"/>
    </row>
    <row r="29" spans="1:23" ht="3" customHeight="1">
      <c r="A29" s="619"/>
      <c r="B29" s="2228"/>
      <c r="C29" s="2228"/>
      <c r="D29" s="2228"/>
      <c r="E29" s="2228"/>
      <c r="F29" s="2228"/>
      <c r="G29" s="2228"/>
      <c r="H29" s="2228"/>
      <c r="I29" s="2228"/>
      <c r="J29" s="2228"/>
      <c r="K29" s="2228"/>
      <c r="L29" s="2228"/>
      <c r="M29" s="2228"/>
      <c r="N29" s="2228"/>
      <c r="O29" s="2228"/>
      <c r="P29" s="2228"/>
      <c r="Q29" s="2228"/>
      <c r="R29" s="2228"/>
      <c r="S29" s="2228"/>
      <c r="T29" s="632"/>
      <c r="V29" s="2205"/>
    </row>
    <row r="30" spans="1:23" ht="14.25" customHeight="1">
      <c r="A30" s="631" t="s">
        <v>1195</v>
      </c>
      <c r="B30" s="631"/>
      <c r="C30" s="631"/>
      <c r="D30" s="631"/>
      <c r="E30" s="631"/>
      <c r="F30" s="631"/>
      <c r="G30" s="631"/>
      <c r="H30" s="631"/>
      <c r="I30" s="631"/>
      <c r="J30" s="631"/>
      <c r="K30" s="631"/>
      <c r="L30" s="631"/>
      <c r="M30" s="631"/>
      <c r="N30" s="631"/>
      <c r="O30" s="631"/>
      <c r="P30" s="631"/>
      <c r="Q30" s="631"/>
      <c r="R30" s="631"/>
      <c r="S30" s="631"/>
      <c r="T30" s="631"/>
    </row>
    <row r="31" spans="1:23" ht="12.95" customHeight="1">
      <c r="A31" s="631"/>
      <c r="B31" s="631"/>
      <c r="C31" s="631"/>
      <c r="D31" s="631"/>
      <c r="E31" s="631"/>
      <c r="F31" s="631"/>
      <c r="G31" s="631"/>
      <c r="H31" s="631"/>
      <c r="I31" s="631"/>
      <c r="J31" s="631"/>
      <c r="K31" s="631"/>
      <c r="L31" s="631"/>
      <c r="M31" s="631"/>
      <c r="N31" s="631"/>
      <c r="O31" s="631"/>
      <c r="P31" s="631"/>
      <c r="Q31" s="631"/>
      <c r="R31" s="631"/>
      <c r="S31" s="631"/>
      <c r="T31" s="631"/>
    </row>
    <row r="32" spans="1:23" ht="6.75" customHeight="1">
      <c r="A32" s="631"/>
      <c r="B32" s="631"/>
      <c r="C32" s="631"/>
      <c r="D32" s="631"/>
      <c r="E32" s="631"/>
      <c r="F32" s="631"/>
      <c r="G32" s="631"/>
      <c r="H32" s="631"/>
      <c r="I32" s="631"/>
      <c r="J32" s="631"/>
      <c r="K32" s="631"/>
      <c r="L32" s="631"/>
      <c r="M32" s="631"/>
      <c r="N32" s="631"/>
      <c r="O32" s="631"/>
      <c r="P32" s="631"/>
      <c r="Q32" s="631"/>
      <c r="R32" s="631"/>
      <c r="S32" s="631"/>
      <c r="T32" s="631"/>
    </row>
    <row r="33" spans="1:20" ht="15.75" customHeight="1">
      <c r="A33" s="634"/>
      <c r="B33" s="631"/>
      <c r="C33" s="631"/>
      <c r="D33" s="631"/>
      <c r="E33" s="631"/>
      <c r="F33" s="631"/>
      <c r="G33" s="631"/>
      <c r="H33" s="631"/>
      <c r="I33" s="631"/>
      <c r="J33" s="631"/>
      <c r="K33" s="631"/>
      <c r="L33" s="631"/>
      <c r="M33" s="631"/>
      <c r="N33" s="631"/>
      <c r="O33" s="631"/>
      <c r="P33" s="631"/>
      <c r="Q33" s="631"/>
      <c r="R33" s="631"/>
      <c r="S33" s="631"/>
      <c r="T33" s="636"/>
    </row>
  </sheetData>
  <phoneticPr fontId="3" type="noConversion"/>
  <printOptions horizontalCentered="1"/>
  <pageMargins left="0.94488188976377963" right="0.94488188976377963" top="1.1811023622047245" bottom="0.78740157480314965" header="1.1811023622047245" footer="0"/>
  <pageSetup paperSize="9" scale="79" firstPageNumber="64" orientation="portrait" useFirstPageNumber="1" r:id="rId1"/>
  <headerFooter differentOddEven="1" scaleWithDoc="0" alignWithMargins="0"/>
  <colBreaks count="1" manualBreakCount="1">
    <brk id="10" max="33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6"/>
  <sheetViews>
    <sheetView showGridLines="0" view="pageBreakPreview" zoomScale="70" zoomScaleNormal="100" zoomScaleSheetLayoutView="70" workbookViewId="0"/>
  </sheetViews>
  <sheetFormatPr defaultColWidth="7.875" defaultRowHeight="16.5"/>
  <cols>
    <col min="1" max="1" width="10.5" style="1280" customWidth="1"/>
    <col min="2" max="17" width="9.25" style="1280" customWidth="1"/>
    <col min="18" max="19" width="9" style="1280" customWidth="1"/>
    <col min="20" max="20" width="10.75" style="1280" customWidth="1"/>
    <col min="21" max="21" width="6" style="1280" customWidth="1"/>
    <col min="22" max="22" width="12.25" style="1280" customWidth="1"/>
    <col min="23" max="23" width="21.625" style="1280" customWidth="1"/>
    <col min="24" max="16384" width="7.875" style="1280"/>
  </cols>
  <sheetData>
    <row r="1" spans="1:23" ht="20.25">
      <c r="A1" s="1946" t="s">
        <v>1200</v>
      </c>
    </row>
    <row r="2" spans="1:23" s="1947" customFormat="1" ht="17.25">
      <c r="A2" s="1947" t="s">
        <v>1201</v>
      </c>
    </row>
    <row r="3" spans="1:23" ht="15" customHeight="1">
      <c r="A3" s="307"/>
      <c r="P3" s="1995"/>
      <c r="R3" s="1995"/>
      <c r="T3" s="2084" t="s">
        <v>1202</v>
      </c>
    </row>
    <row r="4" spans="1:23" s="307" customFormat="1" ht="39.950000000000003" customHeight="1">
      <c r="A4" s="1996" t="s">
        <v>65</v>
      </c>
      <c r="B4" s="1997" t="s">
        <v>1176</v>
      </c>
      <c r="C4" s="2085" t="s">
        <v>1177</v>
      </c>
      <c r="D4" s="2085" t="s">
        <v>1178</v>
      </c>
      <c r="E4" s="2085" t="s">
        <v>1179</v>
      </c>
      <c r="F4" s="2085" t="s">
        <v>1180</v>
      </c>
      <c r="G4" s="2085" t="s">
        <v>1181</v>
      </c>
      <c r="H4" s="2085" t="s">
        <v>1182</v>
      </c>
      <c r="I4" s="2085" t="s">
        <v>1183</v>
      </c>
      <c r="J4" s="2085" t="s">
        <v>1184</v>
      </c>
      <c r="K4" s="2085" t="s">
        <v>1185</v>
      </c>
      <c r="L4" s="2085" t="s">
        <v>1186</v>
      </c>
      <c r="M4" s="2085" t="s">
        <v>1187</v>
      </c>
      <c r="N4" s="2085" t="s">
        <v>1188</v>
      </c>
      <c r="O4" s="2085" t="s">
        <v>1189</v>
      </c>
      <c r="P4" s="2085" t="s">
        <v>1190</v>
      </c>
      <c r="Q4" s="1644" t="s">
        <v>1191</v>
      </c>
      <c r="R4" s="2085" t="s">
        <v>1192</v>
      </c>
      <c r="S4" s="2085" t="s">
        <v>1193</v>
      </c>
      <c r="T4" s="2196" t="s">
        <v>1194</v>
      </c>
      <c r="U4" s="1992"/>
      <c r="V4" s="1992"/>
      <c r="W4" s="1992"/>
    </row>
    <row r="5" spans="1:23" ht="24.95" customHeight="1">
      <c r="A5" s="275">
        <v>2011</v>
      </c>
      <c r="B5" s="632">
        <v>4906136.79</v>
      </c>
      <c r="C5" s="2156">
        <v>2016505.2649999999</v>
      </c>
      <c r="D5" s="2156">
        <v>1418665.5049999999</v>
      </c>
      <c r="E5" s="2156">
        <v>2082268.7420000001</v>
      </c>
      <c r="F5" s="2156">
        <v>773587.85900000005</v>
      </c>
      <c r="G5" s="2156">
        <v>852719.63699999999</v>
      </c>
      <c r="H5" s="2156">
        <v>2269662.713</v>
      </c>
      <c r="I5" s="2156" t="s">
        <v>171</v>
      </c>
      <c r="J5" s="2156">
        <v>8887119.5350000001</v>
      </c>
      <c r="K5" s="2156">
        <v>1343670.6340000001</v>
      </c>
      <c r="L5" s="2156">
        <v>1743519.014</v>
      </c>
      <c r="M5" s="2156">
        <v>3462635.3339999998</v>
      </c>
      <c r="N5" s="2156">
        <v>1779957.4380000001</v>
      </c>
      <c r="O5" s="2156">
        <v>2166865.7820000001</v>
      </c>
      <c r="P5" s="2156">
        <v>3629242.3149999999</v>
      </c>
      <c r="Q5" s="2198">
        <v>2981296.9180000001</v>
      </c>
      <c r="R5" s="2156">
        <v>318036.435</v>
      </c>
      <c r="S5" s="2156">
        <v>15161.505999999999</v>
      </c>
      <c r="T5" s="2199">
        <v>40647051.420999996</v>
      </c>
    </row>
    <row r="6" spans="1:23" ht="24.95" customHeight="1">
      <c r="A6" s="275">
        <v>2012</v>
      </c>
      <c r="B6" s="632">
        <v>5383568.8530000001</v>
      </c>
      <c r="C6" s="2156">
        <v>2248092.84</v>
      </c>
      <c r="D6" s="2156">
        <v>1585661.382</v>
      </c>
      <c r="E6" s="2156">
        <v>2319375.5159999998</v>
      </c>
      <c r="F6" s="2156">
        <v>863254.92799999996</v>
      </c>
      <c r="G6" s="2156">
        <v>949373.35800000001</v>
      </c>
      <c r="H6" s="2156">
        <v>2654265.5040000002</v>
      </c>
      <c r="I6" s="2156">
        <v>57216.703999999998</v>
      </c>
      <c r="J6" s="2156">
        <v>10240834.245999999</v>
      </c>
      <c r="K6" s="2156">
        <v>1493253.3389999999</v>
      </c>
      <c r="L6" s="2156">
        <v>2035730.5789999999</v>
      </c>
      <c r="M6" s="2156">
        <v>4023488.3909999998</v>
      </c>
      <c r="N6" s="2156">
        <v>2006064.4439999999</v>
      </c>
      <c r="O6" s="2156">
        <v>2516016.3730000001</v>
      </c>
      <c r="P6" s="2156">
        <v>4124256.0649999999</v>
      </c>
      <c r="Q6" s="2198">
        <v>3361508.2379999999</v>
      </c>
      <c r="R6" s="2156">
        <v>355901.277</v>
      </c>
      <c r="S6" s="2156">
        <v>19957.929</v>
      </c>
      <c r="T6" s="2199">
        <v>46237819.965000004</v>
      </c>
    </row>
    <row r="7" spans="1:23" ht="24.95" customHeight="1">
      <c r="A7" s="275">
        <v>2013</v>
      </c>
      <c r="B7" s="632">
        <v>5659889.1799999997</v>
      </c>
      <c r="C7" s="2156">
        <v>2381260.0189999999</v>
      </c>
      <c r="D7" s="2197">
        <v>1713744.858</v>
      </c>
      <c r="E7" s="2197">
        <v>2521309.9010000001</v>
      </c>
      <c r="F7" s="2197">
        <v>944074.62</v>
      </c>
      <c r="G7" s="2197">
        <v>1025921.751</v>
      </c>
      <c r="H7" s="2197">
        <v>2939789.3640000001</v>
      </c>
      <c r="I7" s="2156">
        <v>240212.75399999999</v>
      </c>
      <c r="J7" s="2156">
        <v>11175426.115</v>
      </c>
      <c r="K7" s="2156">
        <v>1595388.6310000001</v>
      </c>
      <c r="L7" s="2197">
        <v>2228087.5869999998</v>
      </c>
      <c r="M7" s="2197">
        <v>4427404.13</v>
      </c>
      <c r="N7" s="2197">
        <v>2189246.2510000002</v>
      </c>
      <c r="O7" s="2197">
        <v>2849155.55</v>
      </c>
      <c r="P7" s="2197">
        <v>4536712.5319999997</v>
      </c>
      <c r="Q7" s="2198">
        <v>3648078.6320000002</v>
      </c>
      <c r="R7" s="2156">
        <v>399808.95899999997</v>
      </c>
      <c r="S7" s="2197">
        <v>12862.253000000001</v>
      </c>
      <c r="T7" s="2199">
        <v>50488373.086000003</v>
      </c>
    </row>
    <row r="8" spans="1:23" ht="24.95" customHeight="1">
      <c r="A8" s="275">
        <v>2014</v>
      </c>
      <c r="B8" s="632">
        <v>5680547.9670000002</v>
      </c>
      <c r="C8" s="2156">
        <v>2427186.0610000002</v>
      </c>
      <c r="D8" s="2197">
        <v>1758556.591</v>
      </c>
      <c r="E8" s="2197">
        <v>2641306.2379999999</v>
      </c>
      <c r="F8" s="2197">
        <v>976283.18799999997</v>
      </c>
      <c r="G8" s="2197">
        <v>1055864.469</v>
      </c>
      <c r="H8" s="2197">
        <v>3101611.074</v>
      </c>
      <c r="I8" s="2156">
        <v>267927.255</v>
      </c>
      <c r="J8" s="2156">
        <v>11717220.004000001</v>
      </c>
      <c r="K8" s="2156">
        <v>1681740.7409999999</v>
      </c>
      <c r="L8" s="2197">
        <v>2404225.9330000002</v>
      </c>
      <c r="M8" s="2197">
        <v>4845984.7419999996</v>
      </c>
      <c r="N8" s="2197">
        <v>2348936.2579999999</v>
      </c>
      <c r="O8" s="2197">
        <v>3142490.7689999999</v>
      </c>
      <c r="P8" s="2197">
        <v>4832442.375</v>
      </c>
      <c r="Q8" s="2198">
        <v>3815578.9040000001</v>
      </c>
      <c r="R8" s="2156">
        <v>423569.47</v>
      </c>
      <c r="S8" s="2197">
        <v>22599.35</v>
      </c>
      <c r="T8" s="2199">
        <v>53144071.390000001</v>
      </c>
    </row>
    <row r="9" spans="1:23" ht="24.95" customHeight="1">
      <c r="A9" s="275">
        <v>2015</v>
      </c>
      <c r="B9" s="632">
        <v>5739198.8700000001</v>
      </c>
      <c r="C9" s="2156">
        <v>2436213.1910000001</v>
      </c>
      <c r="D9" s="2197">
        <v>1777454.0959999999</v>
      </c>
      <c r="E9" s="2197">
        <v>2701675.28</v>
      </c>
      <c r="F9" s="2197">
        <v>994381.30700000003</v>
      </c>
      <c r="G9" s="2197">
        <v>1070138.112</v>
      </c>
      <c r="H9" s="2197">
        <v>3123562.5010000002</v>
      </c>
      <c r="I9" s="2156">
        <v>293518.52299999999</v>
      </c>
      <c r="J9" s="2156">
        <v>12059548.964</v>
      </c>
      <c r="K9" s="2156">
        <v>1733453.655</v>
      </c>
      <c r="L9" s="2197">
        <v>2492080.3149999999</v>
      </c>
      <c r="M9" s="2197">
        <v>4887133.9230000004</v>
      </c>
      <c r="N9" s="2197">
        <v>2354870.5099999998</v>
      </c>
      <c r="O9" s="2197">
        <v>3234407.0269999998</v>
      </c>
      <c r="P9" s="2197">
        <v>4729547.9000000004</v>
      </c>
      <c r="Q9" s="2198">
        <v>3863687.5240000002</v>
      </c>
      <c r="R9" s="2156">
        <v>448730.26699999999</v>
      </c>
      <c r="S9" s="2197">
        <v>24084.101999999999</v>
      </c>
      <c r="T9" s="2199">
        <v>53963686.067000002</v>
      </c>
    </row>
    <row r="10" spans="1:23" ht="24.95" customHeight="1">
      <c r="A10" s="275">
        <v>2016</v>
      </c>
      <c r="B10" s="2176">
        <v>5868162.0460000001</v>
      </c>
      <c r="C10" s="2156">
        <v>2488513.5819999999</v>
      </c>
      <c r="D10" s="2156">
        <v>1807332.825</v>
      </c>
      <c r="E10" s="2156">
        <v>2777111.409</v>
      </c>
      <c r="F10" s="2156">
        <v>1016102.088</v>
      </c>
      <c r="G10" s="2156">
        <v>1090995.827</v>
      </c>
      <c r="H10" s="2156">
        <v>3280840.3420000002</v>
      </c>
      <c r="I10" s="2156">
        <v>312832.12199999997</v>
      </c>
      <c r="J10" s="2156">
        <v>12509491.215</v>
      </c>
      <c r="K10" s="2156">
        <v>1761663.6810000001</v>
      </c>
      <c r="L10" s="2156">
        <v>2595575.1809999999</v>
      </c>
      <c r="M10" s="2156">
        <v>5013098.148</v>
      </c>
      <c r="N10" s="2156">
        <v>2393194.392</v>
      </c>
      <c r="O10" s="2156">
        <v>3279748.7280000001</v>
      </c>
      <c r="P10" s="2156">
        <v>4685943.7039999999</v>
      </c>
      <c r="Q10" s="2156">
        <v>3919434.9240000001</v>
      </c>
      <c r="R10" s="2156">
        <v>484466.24099999998</v>
      </c>
      <c r="S10" s="2156">
        <v>3016.6060000000002</v>
      </c>
      <c r="T10" s="2200">
        <v>55287523.060000002</v>
      </c>
    </row>
    <row r="11" spans="1:23" s="1960" customFormat="1" ht="24.95" customHeight="1">
      <c r="A11" s="275">
        <v>2017</v>
      </c>
      <c r="B11" s="632">
        <v>5623776.1540000001</v>
      </c>
      <c r="C11" s="2156">
        <v>2483562.3650000002</v>
      </c>
      <c r="D11" s="2197">
        <v>1784504.31</v>
      </c>
      <c r="E11" s="2197">
        <v>2800714.46</v>
      </c>
      <c r="F11" s="2197">
        <v>1006438.855</v>
      </c>
      <c r="G11" s="2197">
        <v>1072650.8700000001</v>
      </c>
      <c r="H11" s="2197">
        <v>3223352.148</v>
      </c>
      <c r="I11" s="2156">
        <v>325897.97200000001</v>
      </c>
      <c r="J11" s="2156">
        <v>12897850.379000001</v>
      </c>
      <c r="K11" s="2156">
        <v>1769184.6850000001</v>
      </c>
      <c r="L11" s="2197">
        <v>2668982.4449999998</v>
      </c>
      <c r="M11" s="2197">
        <v>5168386.6270000003</v>
      </c>
      <c r="N11" s="2197">
        <v>2373201.5210000002</v>
      </c>
      <c r="O11" s="2197">
        <v>3282887.57</v>
      </c>
      <c r="P11" s="2197">
        <v>4735971.4289999995</v>
      </c>
      <c r="Q11" s="2198">
        <v>3891082.7059999998</v>
      </c>
      <c r="R11" s="2156">
        <v>505631.29399999999</v>
      </c>
      <c r="S11" s="1498">
        <v>0</v>
      </c>
      <c r="T11" s="2199">
        <v>55614010.810000002</v>
      </c>
    </row>
    <row r="12" spans="1:23" s="1960" customFormat="1" ht="24.95" customHeight="1">
      <c r="A12" s="275">
        <v>2018</v>
      </c>
      <c r="B12" s="632">
        <v>5790317.4620000003</v>
      </c>
      <c r="C12" s="2156">
        <v>2494699.7829999998</v>
      </c>
      <c r="D12" s="2197">
        <v>1808030.5619999999</v>
      </c>
      <c r="E12" s="2197">
        <v>2845142.1030000001</v>
      </c>
      <c r="F12" s="2197">
        <v>1016379.942</v>
      </c>
      <c r="G12" s="2197">
        <v>1092200.544</v>
      </c>
      <c r="H12" s="2197">
        <v>3335639.61</v>
      </c>
      <c r="I12" s="2156">
        <v>339740.73499999999</v>
      </c>
      <c r="J12" s="2156">
        <v>13705493.685000001</v>
      </c>
      <c r="K12" s="2156">
        <v>1793963.8259999999</v>
      </c>
      <c r="L12" s="2197">
        <v>2800434.1069999998</v>
      </c>
      <c r="M12" s="2197">
        <v>5334112.7039999999</v>
      </c>
      <c r="N12" s="2197">
        <v>2365022.4070000001</v>
      </c>
      <c r="O12" s="2197">
        <v>3306758.2149999999</v>
      </c>
      <c r="P12" s="2197">
        <v>4744096.75</v>
      </c>
      <c r="Q12" s="2198">
        <v>3916327.233</v>
      </c>
      <c r="R12" s="2156">
        <v>528908.80700000003</v>
      </c>
      <c r="S12" s="2197">
        <v>217.26599999999999</v>
      </c>
      <c r="T12" s="2199">
        <v>57217586.406000003</v>
      </c>
    </row>
    <row r="13" spans="1:23" s="1960" customFormat="1" ht="24.95" customHeight="1">
      <c r="A13" s="275">
        <v>2019</v>
      </c>
      <c r="B13" s="632">
        <v>5678362.8169999998</v>
      </c>
      <c r="C13" s="2156">
        <v>2439263.94</v>
      </c>
      <c r="D13" s="2197">
        <v>1760124.4180000001</v>
      </c>
      <c r="E13" s="2197">
        <v>2747900.307</v>
      </c>
      <c r="F13" s="2197">
        <v>995175.84</v>
      </c>
      <c r="G13" s="2197">
        <v>1065214.3359999999</v>
      </c>
      <c r="H13" s="2197">
        <v>3371729.1209999998</v>
      </c>
      <c r="I13" s="2156">
        <v>351183.41600000003</v>
      </c>
      <c r="J13" s="2156">
        <v>13753668.659</v>
      </c>
      <c r="K13" s="2156">
        <v>1739106.9580000001</v>
      </c>
      <c r="L13" s="2197">
        <v>2839677.7</v>
      </c>
      <c r="M13" s="2197">
        <v>5400885.7379999999</v>
      </c>
      <c r="N13" s="2197">
        <v>2284905.8590000002</v>
      </c>
      <c r="O13" s="2197">
        <v>3169300.2319999998</v>
      </c>
      <c r="P13" s="2197">
        <v>4580604.6770000001</v>
      </c>
      <c r="Q13" s="2198">
        <v>3838724.6120000002</v>
      </c>
      <c r="R13" s="2156">
        <v>540075.23300000001</v>
      </c>
      <c r="S13" s="2197">
        <v>596.43200000000002</v>
      </c>
      <c r="T13" s="2199">
        <v>56556500.292000003</v>
      </c>
    </row>
    <row r="14" spans="1:23" ht="24.95" customHeight="1">
      <c r="A14" s="275">
        <v>2020</v>
      </c>
      <c r="B14" s="632">
        <v>5586008.5099999998</v>
      </c>
      <c r="C14" s="2156">
        <v>2435355.8859999999</v>
      </c>
      <c r="D14" s="2197">
        <v>1728567.6140000001</v>
      </c>
      <c r="E14" s="2197">
        <v>2706029.7370000002</v>
      </c>
      <c r="F14" s="2197">
        <v>996546.73100000003</v>
      </c>
      <c r="G14" s="2197">
        <v>1069185.9210000001</v>
      </c>
      <c r="H14" s="2197">
        <v>3289748.1839999999</v>
      </c>
      <c r="I14" s="2156">
        <v>374082.26299999998</v>
      </c>
      <c r="J14" s="2156">
        <v>14018192.450999999</v>
      </c>
      <c r="K14" s="2156">
        <v>1706747.8049999999</v>
      </c>
      <c r="L14" s="2197">
        <v>2863510.378</v>
      </c>
      <c r="M14" s="2197">
        <v>5222688.7</v>
      </c>
      <c r="N14" s="2197">
        <v>2147091.0610000002</v>
      </c>
      <c r="O14" s="2197">
        <v>3088746.4240000001</v>
      </c>
      <c r="P14" s="2197">
        <v>4306743.5</v>
      </c>
      <c r="Q14" s="2198">
        <v>3824395.1690000002</v>
      </c>
      <c r="R14" s="2156">
        <v>554660.72499999998</v>
      </c>
      <c r="S14" s="2197">
        <v>277.15100000000001</v>
      </c>
      <c r="T14" s="2199">
        <v>55918578.344999999</v>
      </c>
    </row>
    <row r="15" spans="1:23" s="1960" customFormat="1" ht="24.95" customHeight="1">
      <c r="A15" s="2187">
        <v>2021</v>
      </c>
      <c r="B15" s="2229">
        <v>5706953.5369999995</v>
      </c>
      <c r="C15" s="2164">
        <v>2466439.3679999998</v>
      </c>
      <c r="D15" s="2230">
        <v>1768297.817</v>
      </c>
      <c r="E15" s="2230">
        <v>2823563.1230000001</v>
      </c>
      <c r="F15" s="2230">
        <v>1027303.532</v>
      </c>
      <c r="G15" s="2230">
        <v>1095294.696</v>
      </c>
      <c r="H15" s="2230">
        <v>3316604.0789999999</v>
      </c>
      <c r="I15" s="2164">
        <v>443778.95199999999</v>
      </c>
      <c r="J15" s="2164">
        <v>14750078.441</v>
      </c>
      <c r="K15" s="2164">
        <v>1768134.2690000001</v>
      </c>
      <c r="L15" s="2230">
        <v>2991689.5440000002</v>
      </c>
      <c r="M15" s="2230">
        <v>4999147.1979999999</v>
      </c>
      <c r="N15" s="2230">
        <v>2213108.7560000001</v>
      </c>
      <c r="O15" s="2230">
        <v>3248676.2149999999</v>
      </c>
      <c r="P15" s="2230">
        <v>4532973.466</v>
      </c>
      <c r="Q15" s="2231">
        <v>3940928.622</v>
      </c>
      <c r="R15" s="2164">
        <v>578515.48</v>
      </c>
      <c r="S15" s="2232">
        <v>0.214</v>
      </c>
      <c r="T15" s="2224">
        <v>57671487.527999997</v>
      </c>
      <c r="V15" s="2205"/>
      <c r="W15" s="2233"/>
    </row>
    <row r="16" spans="1:23" s="1960" customFormat="1" ht="24.95" customHeight="1">
      <c r="A16" s="1782" t="s">
        <v>795</v>
      </c>
      <c r="B16" s="2234">
        <v>5706953.5369999995</v>
      </c>
      <c r="C16" s="2235">
        <v>2466439.3679999998</v>
      </c>
      <c r="D16" s="2235">
        <v>1768297.817</v>
      </c>
      <c r="E16" s="2235">
        <v>2823563.1230000001</v>
      </c>
      <c r="F16" s="2235">
        <v>1027303.532</v>
      </c>
      <c r="G16" s="2235">
        <v>1095294.696</v>
      </c>
      <c r="H16" s="2235">
        <v>3316604.0789999999</v>
      </c>
      <c r="I16" s="2235">
        <v>443778.95199999999</v>
      </c>
      <c r="J16" s="2235">
        <v>14750078.441</v>
      </c>
      <c r="K16" s="2235">
        <v>1768134.2690000001</v>
      </c>
      <c r="L16" s="2235">
        <v>2991689.5440000002</v>
      </c>
      <c r="M16" s="2235">
        <v>4999147.1979999999</v>
      </c>
      <c r="N16" s="2235">
        <v>2213108.7560000001</v>
      </c>
      <c r="O16" s="2235">
        <v>3248676.2149999999</v>
      </c>
      <c r="P16" s="2235">
        <v>4532973.466</v>
      </c>
      <c r="Q16" s="2236">
        <v>3940928.622</v>
      </c>
      <c r="R16" s="2164">
        <v>578515.48</v>
      </c>
      <c r="S16" s="2237">
        <v>0.214</v>
      </c>
      <c r="T16" s="2164">
        <v>57671487.527999997</v>
      </c>
      <c r="V16" s="2205"/>
      <c r="W16" s="2233"/>
    </row>
    <row r="17" spans="1:23" s="1960" customFormat="1" ht="24.95" customHeight="1">
      <c r="A17" s="605">
        <v>2021.12</v>
      </c>
      <c r="B17" s="2238">
        <v>504235.34499999997</v>
      </c>
      <c r="C17" s="2239">
        <v>222658.179</v>
      </c>
      <c r="D17" s="2239">
        <v>162867.00399999999</v>
      </c>
      <c r="E17" s="2239">
        <v>262523.54100000003</v>
      </c>
      <c r="F17" s="2239">
        <v>93033.913</v>
      </c>
      <c r="G17" s="2239">
        <v>98370.27</v>
      </c>
      <c r="H17" s="2239">
        <v>317012.55900000001</v>
      </c>
      <c r="I17" s="2239">
        <v>81441.213000000003</v>
      </c>
      <c r="J17" s="2239">
        <v>1399319.084</v>
      </c>
      <c r="K17" s="2239">
        <v>177034.639</v>
      </c>
      <c r="L17" s="2239">
        <v>286968.522</v>
      </c>
      <c r="M17" s="2239">
        <v>491175.93900000001</v>
      </c>
      <c r="N17" s="2239">
        <v>206824.66800000001</v>
      </c>
      <c r="O17" s="2239">
        <v>314208.886</v>
      </c>
      <c r="P17" s="2239">
        <v>432726.1</v>
      </c>
      <c r="Q17" s="2240">
        <v>367450.565</v>
      </c>
      <c r="R17" s="2156">
        <v>51559.16</v>
      </c>
      <c r="S17" s="1498">
        <v>0</v>
      </c>
      <c r="T17" s="2241">
        <v>5469409.5899999999</v>
      </c>
      <c r="V17" s="2205"/>
      <c r="W17" s="2233"/>
    </row>
    <row r="18" spans="1:23" s="1960" customFormat="1" ht="24.95" customHeight="1">
      <c r="A18" s="593" t="s">
        <v>796</v>
      </c>
      <c r="B18" s="2234">
        <v>6402315.2309999997</v>
      </c>
      <c r="C18" s="2235">
        <v>2761330.2960000001</v>
      </c>
      <c r="D18" s="2235">
        <v>2024811.257</v>
      </c>
      <c r="E18" s="2235">
        <v>3201251.6680000001</v>
      </c>
      <c r="F18" s="2235">
        <v>1153272.324</v>
      </c>
      <c r="G18" s="2235">
        <v>1241915.2660000001</v>
      </c>
      <c r="H18" s="2235">
        <v>3699712.6269999999</v>
      </c>
      <c r="I18" s="2235">
        <v>421343.93</v>
      </c>
      <c r="J18" s="2235">
        <v>17191472.668000001</v>
      </c>
      <c r="K18" s="2235">
        <v>2040969.645</v>
      </c>
      <c r="L18" s="2235">
        <v>3475415.9109999998</v>
      </c>
      <c r="M18" s="2235">
        <v>5775990.6220000004</v>
      </c>
      <c r="N18" s="2235">
        <v>2520979.4</v>
      </c>
      <c r="O18" s="2235">
        <v>3832733.4819999998</v>
      </c>
      <c r="P18" s="2235">
        <v>5167763.4060000004</v>
      </c>
      <c r="Q18" s="2236">
        <v>4432103.4579999996</v>
      </c>
      <c r="R18" s="2171">
        <v>686703.09499999997</v>
      </c>
      <c r="S18" s="1492">
        <v>0</v>
      </c>
      <c r="T18" s="2242">
        <v>66030084.284999996</v>
      </c>
      <c r="V18" s="2205"/>
      <c r="W18" s="2233"/>
    </row>
    <row r="19" spans="1:23" s="1960" customFormat="1" ht="24.95" customHeight="1">
      <c r="A19" s="605">
        <v>2022.01</v>
      </c>
      <c r="B19" s="2238">
        <v>564453.98699999996</v>
      </c>
      <c r="C19" s="2239">
        <v>237267.71100000001</v>
      </c>
      <c r="D19" s="2239">
        <v>174843.90400000001</v>
      </c>
      <c r="E19" s="2239">
        <v>283943.39</v>
      </c>
      <c r="F19" s="2239">
        <v>99993.187999999995</v>
      </c>
      <c r="G19" s="2239">
        <v>108159.78</v>
      </c>
      <c r="H19" s="2239">
        <v>312585.5</v>
      </c>
      <c r="I19" s="2239">
        <v>-4582.3329999999996</v>
      </c>
      <c r="J19" s="2239">
        <v>1503338.483</v>
      </c>
      <c r="K19" s="2239">
        <v>187933.30499999999</v>
      </c>
      <c r="L19" s="2239">
        <v>298405.73700000002</v>
      </c>
      <c r="M19" s="2239">
        <v>501238.641</v>
      </c>
      <c r="N19" s="2239">
        <v>218941.48699999999</v>
      </c>
      <c r="O19" s="2239">
        <v>324436.87599999999</v>
      </c>
      <c r="P19" s="2239">
        <v>456490.91700000002</v>
      </c>
      <c r="Q19" s="2240">
        <v>390926.99599999998</v>
      </c>
      <c r="R19" s="2156">
        <v>58015.764999999999</v>
      </c>
      <c r="S19" s="1498">
        <v>0</v>
      </c>
      <c r="T19" s="2200">
        <v>5716393.3329999996</v>
      </c>
      <c r="V19" s="2205"/>
      <c r="W19" s="2233"/>
    </row>
    <row r="20" spans="1:23" s="1960" customFormat="1" ht="24.95" customHeight="1">
      <c r="A20" s="605">
        <v>2022.02</v>
      </c>
      <c r="B20" s="2238">
        <v>543693.59699999995</v>
      </c>
      <c r="C20" s="2239">
        <v>228804.84599999999</v>
      </c>
      <c r="D20" s="2239">
        <v>169123.27299999999</v>
      </c>
      <c r="E20" s="2239">
        <v>266226.20400000003</v>
      </c>
      <c r="F20" s="2239">
        <v>96379.144</v>
      </c>
      <c r="G20" s="2239">
        <v>104159.98699999999</v>
      </c>
      <c r="H20" s="2239">
        <v>290211.10200000001</v>
      </c>
      <c r="I20" s="2239">
        <v>37649.947999999997</v>
      </c>
      <c r="J20" s="2239">
        <v>1430143.186</v>
      </c>
      <c r="K20" s="2239">
        <v>180006.78700000001</v>
      </c>
      <c r="L20" s="2239">
        <v>281894.12099999998</v>
      </c>
      <c r="M20" s="2239">
        <v>480656.06400000001</v>
      </c>
      <c r="N20" s="2239">
        <v>210312.39199999999</v>
      </c>
      <c r="O20" s="2239">
        <v>299542.29399999999</v>
      </c>
      <c r="P20" s="2239">
        <v>431848.967</v>
      </c>
      <c r="Q20" s="2240">
        <v>369740.538</v>
      </c>
      <c r="R20" s="2156">
        <v>57999.722999999998</v>
      </c>
      <c r="S20" s="1498">
        <v>0</v>
      </c>
      <c r="T20" s="2200">
        <v>5478392.1730000004</v>
      </c>
      <c r="V20" s="2205"/>
      <c r="W20" s="2233"/>
    </row>
    <row r="21" spans="1:23" s="1960" customFormat="1" ht="24.95" customHeight="1">
      <c r="A21" s="605">
        <v>2022.03</v>
      </c>
      <c r="B21" s="2238">
        <v>440053.62900000002</v>
      </c>
      <c r="C21" s="2239">
        <v>192336.47899999999</v>
      </c>
      <c r="D21" s="2239">
        <v>140803.845</v>
      </c>
      <c r="E21" s="2239">
        <v>223958.81200000001</v>
      </c>
      <c r="F21" s="2239">
        <v>81278.824999999997</v>
      </c>
      <c r="G21" s="2239">
        <v>86392.612999999998</v>
      </c>
      <c r="H21" s="2239">
        <v>253291.492</v>
      </c>
      <c r="I21" s="2239">
        <v>31867.1</v>
      </c>
      <c r="J21" s="2239">
        <v>1195273.8940000001</v>
      </c>
      <c r="K21" s="2239">
        <v>148190.674</v>
      </c>
      <c r="L21" s="2239">
        <v>240252.93100000001</v>
      </c>
      <c r="M21" s="2239">
        <v>391395.83600000001</v>
      </c>
      <c r="N21" s="2239">
        <v>178774.416</v>
      </c>
      <c r="O21" s="2239">
        <v>270799.56300000002</v>
      </c>
      <c r="P21" s="2239">
        <v>372532.72200000001</v>
      </c>
      <c r="Q21" s="2240">
        <v>318369.772</v>
      </c>
      <c r="R21" s="2156">
        <v>48306.550999999999</v>
      </c>
      <c r="S21" s="1498">
        <v>0</v>
      </c>
      <c r="T21" s="2200">
        <v>4613879.1540000001</v>
      </c>
      <c r="U21" s="2205"/>
      <c r="V21" s="2205"/>
      <c r="W21" s="2233"/>
    </row>
    <row r="22" spans="1:23" s="1960" customFormat="1" ht="24.95" customHeight="1">
      <c r="A22" s="605">
        <v>2022.04</v>
      </c>
      <c r="B22" s="2238">
        <v>413369.72399999999</v>
      </c>
      <c r="C22" s="2239">
        <v>189943.323</v>
      </c>
      <c r="D22" s="2239">
        <v>136878.44</v>
      </c>
      <c r="E22" s="2239">
        <v>219211.008</v>
      </c>
      <c r="F22" s="2239">
        <v>78284.853000000003</v>
      </c>
      <c r="G22" s="2239">
        <v>83796.267000000007</v>
      </c>
      <c r="H22" s="2239">
        <v>259517.89199999999</v>
      </c>
      <c r="I22" s="2239">
        <v>31843.471000000001</v>
      </c>
      <c r="J22" s="2239">
        <v>1164457.3259999999</v>
      </c>
      <c r="K22" s="2239">
        <v>142663.63500000001</v>
      </c>
      <c r="L22" s="2239">
        <v>239101.09</v>
      </c>
      <c r="M22" s="2239">
        <v>402000.32900000003</v>
      </c>
      <c r="N22" s="2239">
        <v>175572.084</v>
      </c>
      <c r="O22" s="2239">
        <v>271718.89299999998</v>
      </c>
      <c r="P22" s="2239">
        <v>371399.15299999999</v>
      </c>
      <c r="Q22" s="2240">
        <v>310979.59399999998</v>
      </c>
      <c r="R22" s="2156">
        <v>47151.983</v>
      </c>
      <c r="S22" s="1498">
        <v>0</v>
      </c>
      <c r="T22" s="2200">
        <v>4537889.0650000004</v>
      </c>
      <c r="V22" s="2205"/>
      <c r="W22" s="2233"/>
    </row>
    <row r="23" spans="1:23" s="1960" customFormat="1" ht="24.95" customHeight="1">
      <c r="A23" s="605">
        <v>2022.05</v>
      </c>
      <c r="B23" s="2238">
        <v>408861.26400000002</v>
      </c>
      <c r="C23" s="2239">
        <v>185779.052</v>
      </c>
      <c r="D23" s="2239">
        <v>133843.432</v>
      </c>
      <c r="E23" s="2239">
        <v>213096.75700000001</v>
      </c>
      <c r="F23" s="2239">
        <v>75662.982999999993</v>
      </c>
      <c r="G23" s="2239">
        <v>81386.104999999996</v>
      </c>
      <c r="H23" s="2239">
        <v>260756.98</v>
      </c>
      <c r="I23" s="2239">
        <v>30986.495999999999</v>
      </c>
      <c r="J23" s="2239">
        <v>1140187.203</v>
      </c>
      <c r="K23" s="2239">
        <v>138745.20000000001</v>
      </c>
      <c r="L23" s="2239">
        <v>234127.601</v>
      </c>
      <c r="M23" s="2239">
        <v>394013.54499999998</v>
      </c>
      <c r="N23" s="2239">
        <v>171090.00200000001</v>
      </c>
      <c r="O23" s="2239">
        <v>269479.217</v>
      </c>
      <c r="P23" s="2239">
        <v>368882.57299999997</v>
      </c>
      <c r="Q23" s="2240">
        <v>301974.19799999997</v>
      </c>
      <c r="R23" s="2156">
        <v>45392.906999999999</v>
      </c>
      <c r="S23" s="1498">
        <v>0</v>
      </c>
      <c r="T23" s="2200">
        <v>4454265.5149999997</v>
      </c>
      <c r="V23" s="2205"/>
      <c r="W23" s="2233"/>
    </row>
    <row r="24" spans="1:23" s="1960" customFormat="1" ht="24.95" customHeight="1">
      <c r="A24" s="605">
        <v>2022.06</v>
      </c>
      <c r="B24" s="2238">
        <v>496140.38900000002</v>
      </c>
      <c r="C24" s="2239">
        <v>220541.443</v>
      </c>
      <c r="D24" s="2239">
        <v>161924.435</v>
      </c>
      <c r="E24" s="2239">
        <v>250860.378</v>
      </c>
      <c r="F24" s="2239">
        <v>90087.945999999996</v>
      </c>
      <c r="G24" s="2239">
        <v>98362.764999999999</v>
      </c>
      <c r="H24" s="2239">
        <v>303244.891</v>
      </c>
      <c r="I24" s="2239">
        <v>37104.205000000002</v>
      </c>
      <c r="J24" s="2239">
        <v>1349331.7679999999</v>
      </c>
      <c r="K24" s="2239">
        <v>156172.35399999999</v>
      </c>
      <c r="L24" s="2239">
        <v>281369.01400000002</v>
      </c>
      <c r="M24" s="2239">
        <v>473568.26299999998</v>
      </c>
      <c r="N24" s="2239">
        <v>202726.31099999999</v>
      </c>
      <c r="O24" s="2239">
        <v>305853.26500000001</v>
      </c>
      <c r="P24" s="2239">
        <v>417772.68199999997</v>
      </c>
      <c r="Q24" s="2240">
        <v>352858.57299999997</v>
      </c>
      <c r="R24" s="2156">
        <v>51463.476000000002</v>
      </c>
      <c r="S24" s="1498">
        <v>0</v>
      </c>
      <c r="T24" s="2200">
        <v>5249382.1569999997</v>
      </c>
      <c r="V24" s="2205"/>
      <c r="W24" s="2233"/>
    </row>
    <row r="25" spans="1:23" s="1960" customFormat="1" ht="24.95" customHeight="1">
      <c r="A25" s="605">
        <v>2022.07</v>
      </c>
      <c r="B25" s="2238">
        <v>664645.82299999997</v>
      </c>
      <c r="C25" s="2239">
        <v>272194.88299999997</v>
      </c>
      <c r="D25" s="2239">
        <v>207934.745</v>
      </c>
      <c r="E25" s="2239">
        <v>312481.21899999998</v>
      </c>
      <c r="F25" s="2239">
        <v>116441.54399999999</v>
      </c>
      <c r="G25" s="2239">
        <v>126491.11</v>
      </c>
      <c r="H25" s="2239">
        <v>357958.435</v>
      </c>
      <c r="I25" s="2239">
        <v>44935.241999999998</v>
      </c>
      <c r="J25" s="2239">
        <v>1688194.2890000001</v>
      </c>
      <c r="K25" s="2239">
        <v>183329.625</v>
      </c>
      <c r="L25" s="2239">
        <v>334593.24</v>
      </c>
      <c r="M25" s="2239">
        <v>544071.6</v>
      </c>
      <c r="N25" s="2239">
        <v>240228.64300000001</v>
      </c>
      <c r="O25" s="2239">
        <v>358392.68</v>
      </c>
      <c r="P25" s="2239">
        <v>494293.49699999997</v>
      </c>
      <c r="Q25" s="2240">
        <v>422914.8</v>
      </c>
      <c r="R25" s="2156">
        <v>68313.126000000004</v>
      </c>
      <c r="S25" s="1498">
        <v>0</v>
      </c>
      <c r="T25" s="2200">
        <v>6437414.5020000003</v>
      </c>
      <c r="V25" s="2205"/>
      <c r="W25" s="2233"/>
    </row>
    <row r="26" spans="1:23" s="1960" customFormat="1" ht="24.95" customHeight="1">
      <c r="A26" s="605">
        <v>2022.08</v>
      </c>
      <c r="B26" s="2238">
        <v>728956.22</v>
      </c>
      <c r="C26" s="2239">
        <v>293840.55300000001</v>
      </c>
      <c r="D26" s="2239">
        <v>212627.80600000001</v>
      </c>
      <c r="E26" s="2239">
        <v>326295.38699999999</v>
      </c>
      <c r="F26" s="2239">
        <v>123459.798</v>
      </c>
      <c r="G26" s="2239">
        <v>132091.226</v>
      </c>
      <c r="H26" s="2239">
        <v>359933.23800000001</v>
      </c>
      <c r="I26" s="2239">
        <v>47358.135999999999</v>
      </c>
      <c r="J26" s="2239">
        <v>1744531.6669999999</v>
      </c>
      <c r="K26" s="2239">
        <v>190742.72500000001</v>
      </c>
      <c r="L26" s="2239">
        <v>336523.48499999999</v>
      </c>
      <c r="M26" s="2239">
        <v>552317.01199999999</v>
      </c>
      <c r="N26" s="2239">
        <v>244912.89199999999</v>
      </c>
      <c r="O26" s="2239">
        <v>370069.27899999998</v>
      </c>
      <c r="P26" s="2239">
        <v>490839.51</v>
      </c>
      <c r="Q26" s="2240">
        <v>432150.30099999998</v>
      </c>
      <c r="R26" s="2156">
        <v>77430.179000000004</v>
      </c>
      <c r="S26" s="1498">
        <v>0</v>
      </c>
      <c r="T26" s="2200">
        <v>6664079.415</v>
      </c>
      <c r="V26" s="2205"/>
      <c r="W26" s="2233"/>
    </row>
    <row r="27" spans="1:23" s="1960" customFormat="1" ht="24.95" customHeight="1">
      <c r="A27" s="605">
        <v>2022.09</v>
      </c>
      <c r="B27" s="2238">
        <v>555380.86199999996</v>
      </c>
      <c r="C27" s="2239">
        <v>234734.976</v>
      </c>
      <c r="D27" s="2239">
        <v>169514.04500000001</v>
      </c>
      <c r="E27" s="2239">
        <v>258479.86199999999</v>
      </c>
      <c r="F27" s="2239">
        <v>101484.8</v>
      </c>
      <c r="G27" s="2239">
        <v>104138.007</v>
      </c>
      <c r="H27" s="2239">
        <v>280339.64199999999</v>
      </c>
      <c r="I27" s="2239">
        <v>38990.148999999998</v>
      </c>
      <c r="J27" s="2239">
        <v>1373782.571</v>
      </c>
      <c r="K27" s="2239">
        <v>156614.37400000001</v>
      </c>
      <c r="L27" s="2239">
        <v>268458.59600000002</v>
      </c>
      <c r="M27" s="2239">
        <v>438547.59299999999</v>
      </c>
      <c r="N27" s="2239">
        <v>200289.541</v>
      </c>
      <c r="O27" s="2239">
        <v>299763.79800000001</v>
      </c>
      <c r="P27" s="2239">
        <v>383012.80099999998</v>
      </c>
      <c r="Q27" s="2240">
        <v>355648.46299999999</v>
      </c>
      <c r="R27" s="2156">
        <v>62085.680999999997</v>
      </c>
      <c r="S27" s="1498">
        <v>0</v>
      </c>
      <c r="T27" s="2200">
        <v>5281265.7620000001</v>
      </c>
      <c r="V27" s="2205"/>
      <c r="W27" s="2233"/>
    </row>
    <row r="28" spans="1:23" s="1960" customFormat="1" ht="24.95" customHeight="1">
      <c r="A28" s="605">
        <v>2022.1</v>
      </c>
      <c r="B28" s="2238">
        <v>464924.48700000002</v>
      </c>
      <c r="C28" s="2239">
        <v>210107.31</v>
      </c>
      <c r="D28" s="2239">
        <v>149839.39199999999</v>
      </c>
      <c r="E28" s="2239">
        <v>240012.58100000001</v>
      </c>
      <c r="F28" s="2239">
        <v>85947.342000000004</v>
      </c>
      <c r="G28" s="2239">
        <v>92273.763000000006</v>
      </c>
      <c r="H28" s="2239">
        <v>296858.05099999998</v>
      </c>
      <c r="I28" s="2239">
        <v>35988.087</v>
      </c>
      <c r="J28" s="2239">
        <v>1315766.3219999999</v>
      </c>
      <c r="K28" s="2239">
        <v>155445.22500000001</v>
      </c>
      <c r="L28" s="2239">
        <v>273410.21299999999</v>
      </c>
      <c r="M28" s="2239">
        <v>457989.913</v>
      </c>
      <c r="N28" s="2239">
        <v>197444.125</v>
      </c>
      <c r="O28" s="2239">
        <v>317934.96000000002</v>
      </c>
      <c r="P28" s="2239">
        <v>394844.78499999997</v>
      </c>
      <c r="Q28" s="2240">
        <v>338454.27299999999</v>
      </c>
      <c r="R28" s="2156">
        <v>50895.811000000002</v>
      </c>
      <c r="S28" s="1498">
        <v>0</v>
      </c>
      <c r="T28" s="2200">
        <v>5078136.6399999997</v>
      </c>
      <c r="V28" s="2205"/>
      <c r="W28" s="2233"/>
    </row>
    <row r="29" spans="1:23" s="1960" customFormat="1" ht="24.95" customHeight="1">
      <c r="A29" s="605">
        <v>2022.11</v>
      </c>
      <c r="B29" s="2238">
        <v>513398.038</v>
      </c>
      <c r="C29" s="2239">
        <v>235159.13399999999</v>
      </c>
      <c r="D29" s="2239">
        <v>172939.92</v>
      </c>
      <c r="E29" s="2239">
        <v>285622.90899999999</v>
      </c>
      <c r="F29" s="2239">
        <v>96580.42</v>
      </c>
      <c r="G29" s="2239">
        <v>104939.515</v>
      </c>
      <c r="H29" s="2239">
        <v>346417.67499999999</v>
      </c>
      <c r="I29" s="1954">
        <v>42524.006000000001</v>
      </c>
      <c r="J29" s="2239">
        <v>1550959.3629999999</v>
      </c>
      <c r="K29" s="2239">
        <v>187534.31</v>
      </c>
      <c r="L29" s="2239">
        <v>328382.533</v>
      </c>
      <c r="M29" s="2239">
        <v>548765.84600000002</v>
      </c>
      <c r="N29" s="2239">
        <v>229210.20600000001</v>
      </c>
      <c r="O29" s="2239">
        <v>354554.71899999998</v>
      </c>
      <c r="P29" s="2239">
        <v>480977.304</v>
      </c>
      <c r="Q29" s="2240">
        <v>397654.85</v>
      </c>
      <c r="R29" s="2156">
        <v>56084.334999999999</v>
      </c>
      <c r="S29" s="1498">
        <v>0</v>
      </c>
      <c r="T29" s="2200">
        <v>5931705.0820000004</v>
      </c>
      <c r="V29" s="2205"/>
      <c r="W29" s="2233"/>
    </row>
    <row r="30" spans="1:23" s="1960" customFormat="1" ht="24.95" customHeight="1">
      <c r="A30" s="607">
        <v>2022.12</v>
      </c>
      <c r="B30" s="2243">
        <v>608437.21200000006</v>
      </c>
      <c r="C30" s="2244">
        <v>260620.58600000001</v>
      </c>
      <c r="D30" s="2244">
        <v>194538.02100000001</v>
      </c>
      <c r="E30" s="2244">
        <v>321063.15999999997</v>
      </c>
      <c r="F30" s="2244">
        <v>107671.48</v>
      </c>
      <c r="G30" s="2244">
        <v>119724.129</v>
      </c>
      <c r="H30" s="2244">
        <v>378597.728</v>
      </c>
      <c r="I30" s="1972">
        <v>46679.423999999999</v>
      </c>
      <c r="J30" s="2244">
        <v>1735506.598</v>
      </c>
      <c r="K30" s="2244">
        <v>213591.432</v>
      </c>
      <c r="L30" s="2244">
        <v>358897.35</v>
      </c>
      <c r="M30" s="2244">
        <v>591425.98100000003</v>
      </c>
      <c r="N30" s="2244">
        <v>251477.299</v>
      </c>
      <c r="O30" s="2244">
        <v>390187.93699999998</v>
      </c>
      <c r="P30" s="2244">
        <v>504868.49400000001</v>
      </c>
      <c r="Q30" s="2245">
        <v>440431.09899999999</v>
      </c>
      <c r="R30" s="2182">
        <v>63563.557000000001</v>
      </c>
      <c r="S30" s="2246">
        <v>0</v>
      </c>
      <c r="T30" s="2247">
        <v>6587281.4869999997</v>
      </c>
      <c r="V30" s="2205"/>
      <c r="W30" s="2233"/>
    </row>
    <row r="31" spans="1:23" s="1960" customFormat="1" ht="3" customHeight="1">
      <c r="A31" s="2248"/>
      <c r="B31" s="2249"/>
      <c r="C31" s="2249"/>
      <c r="D31" s="2249"/>
      <c r="E31" s="2249"/>
      <c r="F31" s="2249"/>
      <c r="G31" s="2249"/>
      <c r="H31" s="2249"/>
      <c r="I31" s="2249"/>
      <c r="J31" s="2249"/>
      <c r="K31" s="2249"/>
      <c r="L31" s="2249"/>
      <c r="M31" s="2249"/>
      <c r="N31" s="2249"/>
      <c r="O31" s="2249"/>
      <c r="P31" s="2249"/>
      <c r="Q31" s="2249"/>
      <c r="R31" s="2249"/>
      <c r="S31" s="2249"/>
      <c r="T31" s="2249"/>
    </row>
    <row r="32" spans="1:23" ht="12" customHeight="1">
      <c r="A32" s="631" t="s">
        <v>1195</v>
      </c>
      <c r="B32" s="307"/>
      <c r="C32" s="307"/>
      <c r="D32" s="307"/>
      <c r="E32" s="307"/>
      <c r="F32" s="631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</row>
    <row r="33" spans="1:20" ht="12" customHeight="1">
      <c r="A33" s="631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</row>
    <row r="34" spans="1:20" ht="12" customHeight="1">
      <c r="A34" s="631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</row>
    <row r="35" spans="1:20" ht="12" hidden="1" customHeight="1">
      <c r="A35" s="631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</row>
    <row r="36" spans="1:20" ht="13.5" customHeight="1">
      <c r="A36" s="634"/>
      <c r="O36" s="309"/>
      <c r="T36" s="636"/>
    </row>
  </sheetData>
  <phoneticPr fontId="3" type="noConversion"/>
  <printOptions horizontalCentered="1"/>
  <pageMargins left="0.94488188976377963" right="0.94488188976377963" top="1.1811023622047245" bottom="0.78740157480314965" header="0" footer="0"/>
  <pageSetup paperSize="9" scale="79" firstPageNumber="66" orientation="portrait" useFirstPageNumber="1" r:id="rId1"/>
  <headerFooter differentOddEven="1" scaleWithDoc="0" alignWithMargins="0"/>
  <colBreaks count="1" manualBreakCount="1">
    <brk id="10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view="pageBreakPreview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6384" width="9" style="49"/>
  </cols>
  <sheetData>
    <row r="1" spans="1:14" ht="38.25" customHeight="1"/>
    <row r="2" spans="1:14" ht="38.25" customHeight="1">
      <c r="A2" s="50" t="s">
        <v>35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18" customHeight="1">
      <c r="A3" s="52" t="s">
        <v>36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37</v>
      </c>
    </row>
    <row r="5" spans="1:14" ht="19.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4" ht="19.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9.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ht="19.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4" ht="19.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ht="19.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19.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19.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ht="19.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ht="19.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ht="19.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19.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7" ht="19.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7" ht="19.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7" ht="19.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7" ht="19.5" customHeight="1">
      <c r="A20" s="77" t="s">
        <v>9</v>
      </c>
      <c r="B20" s="78">
        <v>2021.12</v>
      </c>
      <c r="C20" s="78">
        <v>2022.01</v>
      </c>
      <c r="D20" s="78">
        <v>2022.02</v>
      </c>
      <c r="E20" s="78">
        <v>2022.03</v>
      </c>
      <c r="F20" s="78">
        <v>2022.04</v>
      </c>
      <c r="G20" s="78">
        <v>2022.05</v>
      </c>
      <c r="H20" s="78">
        <v>2022.06</v>
      </c>
      <c r="I20" s="78">
        <v>2022.07</v>
      </c>
      <c r="J20" s="78">
        <v>2022.08</v>
      </c>
      <c r="K20" s="78">
        <v>2022.09</v>
      </c>
      <c r="L20" s="79">
        <v>2022.1</v>
      </c>
      <c r="M20" s="79">
        <v>2022.11</v>
      </c>
      <c r="N20" s="80">
        <v>2022.12</v>
      </c>
      <c r="Q20" s="81"/>
    </row>
    <row r="21" spans="1:17" ht="18.600000000000001" customHeight="1">
      <c r="A21" s="82" t="s">
        <v>38</v>
      </c>
      <c r="B21" s="83">
        <v>53373.608999999997</v>
      </c>
      <c r="C21" s="83">
        <v>54792.300999999999</v>
      </c>
      <c r="D21" s="83">
        <v>48487.502</v>
      </c>
      <c r="E21" s="83">
        <v>49659.152999999998</v>
      </c>
      <c r="F21" s="83">
        <v>44858.87</v>
      </c>
      <c r="G21" s="83">
        <v>46180.83</v>
      </c>
      <c r="H21" s="83">
        <v>47586.860999999997</v>
      </c>
      <c r="I21" s="83">
        <v>55027.406000000003</v>
      </c>
      <c r="J21" s="83">
        <v>53963.962</v>
      </c>
      <c r="K21" s="83">
        <v>46308.31</v>
      </c>
      <c r="L21" s="84">
        <v>45741.034</v>
      </c>
      <c r="M21" s="84">
        <v>46217.807000000001</v>
      </c>
      <c r="N21" s="85">
        <v>55567.963000000003</v>
      </c>
    </row>
    <row r="22" spans="1:17" ht="18.600000000000001" customHeight="1">
      <c r="A22" s="86" t="s">
        <v>31</v>
      </c>
      <c r="B22" s="32">
        <v>3.4369999999999998</v>
      </c>
      <c r="C22" s="32">
        <v>3.0790999999999999</v>
      </c>
      <c r="D22" s="32">
        <v>7.8129</v>
      </c>
      <c r="E22" s="32">
        <v>5.2263000000000002</v>
      </c>
      <c r="F22" s="32">
        <v>2.7989000000000002</v>
      </c>
      <c r="G22" s="32">
        <v>4.2347000000000001</v>
      </c>
      <c r="H22" s="32">
        <v>3.9283999999999999</v>
      </c>
      <c r="I22" s="32">
        <v>1.6298999999999999</v>
      </c>
      <c r="J22" s="32">
        <v>4.1859999999999999</v>
      </c>
      <c r="K22" s="32">
        <v>1.9775</v>
      </c>
      <c r="L22" s="87">
        <v>-0.88</v>
      </c>
      <c r="M22" s="87">
        <v>-1.4238999999999999</v>
      </c>
      <c r="N22" s="88">
        <v>4.1113</v>
      </c>
      <c r="O22" s="89"/>
    </row>
    <row r="23" spans="1:17" ht="18.600000000000001" customHeight="1">
      <c r="A23" s="90" t="s">
        <v>12</v>
      </c>
      <c r="B23" s="34">
        <v>18572.383999999998</v>
      </c>
      <c r="C23" s="34">
        <v>19262.174999999999</v>
      </c>
      <c r="D23" s="34">
        <v>16498.005000000001</v>
      </c>
      <c r="E23" s="34">
        <v>14626.895</v>
      </c>
      <c r="F23" s="34">
        <v>13745.071</v>
      </c>
      <c r="G23" s="34">
        <v>13930.795</v>
      </c>
      <c r="H23" s="34">
        <v>15901.218999999999</v>
      </c>
      <c r="I23" s="34">
        <v>20077.07</v>
      </c>
      <c r="J23" s="34">
        <v>19272.849999999999</v>
      </c>
      <c r="K23" s="34">
        <v>15913.486000000001</v>
      </c>
      <c r="L23" s="91">
        <v>14927.897000000001</v>
      </c>
      <c r="M23" s="91">
        <v>15457.291999999999</v>
      </c>
      <c r="N23" s="92">
        <v>19418.169000000002</v>
      </c>
      <c r="O23" s="89"/>
    </row>
    <row r="24" spans="1:17" ht="18.600000000000001" customHeight="1">
      <c r="A24" s="93" t="s">
        <v>31</v>
      </c>
      <c r="B24" s="37">
        <v>11.676600000000001</v>
      </c>
      <c r="C24" s="37">
        <v>4.6336000000000004</v>
      </c>
      <c r="D24" s="37">
        <v>11.575900000000001</v>
      </c>
      <c r="E24" s="37">
        <v>9.0917999999999992</v>
      </c>
      <c r="F24" s="37">
        <v>4.7145000000000001</v>
      </c>
      <c r="G24" s="37">
        <v>-6.5224000000000002</v>
      </c>
      <c r="H24" s="37">
        <v>-7.2366000000000001</v>
      </c>
      <c r="I24" s="37">
        <v>-8.8521000000000001</v>
      </c>
      <c r="J24" s="37">
        <v>-8.7617999999999991</v>
      </c>
      <c r="K24" s="37">
        <v>-5.1143999999999998</v>
      </c>
      <c r="L24" s="94">
        <v>-5.9542999999999999</v>
      </c>
      <c r="M24" s="94">
        <v>-6.4104000000000001</v>
      </c>
      <c r="N24" s="95">
        <v>4.5540000000000003</v>
      </c>
      <c r="O24" s="89"/>
    </row>
    <row r="25" spans="1:17" ht="18.600000000000001" customHeight="1">
      <c r="A25" s="96" t="s">
        <v>25</v>
      </c>
      <c r="B25" s="40">
        <v>16531.642</v>
      </c>
      <c r="C25" s="40">
        <v>16103.26</v>
      </c>
      <c r="D25" s="40">
        <v>13989.89</v>
      </c>
      <c r="E25" s="40">
        <v>13866.525</v>
      </c>
      <c r="F25" s="40">
        <v>13385.162</v>
      </c>
      <c r="G25" s="40">
        <v>14609.832</v>
      </c>
      <c r="H25" s="40">
        <v>14725.941000000001</v>
      </c>
      <c r="I25" s="40">
        <v>15354.808999999999</v>
      </c>
      <c r="J25" s="40">
        <v>16308.977999999999</v>
      </c>
      <c r="K25" s="40">
        <v>14093.576999999999</v>
      </c>
      <c r="L25" s="97">
        <v>14381.733</v>
      </c>
      <c r="M25" s="97">
        <v>14005.635</v>
      </c>
      <c r="N25" s="98">
        <v>15228.671</v>
      </c>
      <c r="O25" s="89"/>
    </row>
    <row r="26" spans="1:17" ht="18.600000000000001" customHeight="1">
      <c r="A26" s="93" t="s">
        <v>31</v>
      </c>
      <c r="B26" s="37">
        <v>9.7730999999999995</v>
      </c>
      <c r="C26" s="37">
        <v>14.676500000000001</v>
      </c>
      <c r="D26" s="37">
        <v>9.8823000000000008</v>
      </c>
      <c r="E26" s="37">
        <v>0.48409999999999997</v>
      </c>
      <c r="F26" s="37">
        <v>6.6501999999999999</v>
      </c>
      <c r="G26" s="37">
        <v>14.494</v>
      </c>
      <c r="H26" s="37">
        <v>30.1555</v>
      </c>
      <c r="I26" s="37">
        <v>24.8017</v>
      </c>
      <c r="J26" s="37">
        <v>27.616099999999999</v>
      </c>
      <c r="K26" s="37">
        <v>15.7829</v>
      </c>
      <c r="L26" s="94">
        <v>6.8311999999999999</v>
      </c>
      <c r="M26" s="94">
        <v>3.2313000000000001</v>
      </c>
      <c r="N26" s="95">
        <v>-7.8817000000000004</v>
      </c>
      <c r="O26" s="89"/>
    </row>
    <row r="27" spans="1:17" ht="18.600000000000001" customHeight="1">
      <c r="A27" s="96" t="s">
        <v>14</v>
      </c>
      <c r="B27" s="40">
        <v>14283.546</v>
      </c>
      <c r="C27" s="40">
        <v>15190.291999999999</v>
      </c>
      <c r="D27" s="40">
        <v>13509.834999999999</v>
      </c>
      <c r="E27" s="40">
        <v>16488.571</v>
      </c>
      <c r="F27" s="40">
        <v>12755.871999999999</v>
      </c>
      <c r="G27" s="40">
        <v>12030.826999999999</v>
      </c>
      <c r="H27" s="40">
        <v>12402.208000000001</v>
      </c>
      <c r="I27" s="40">
        <v>14682.428</v>
      </c>
      <c r="J27" s="40">
        <v>13178.619000000001</v>
      </c>
      <c r="K27" s="40">
        <v>11346.508</v>
      </c>
      <c r="L27" s="97">
        <v>11409.516</v>
      </c>
      <c r="M27" s="97">
        <v>12550.098</v>
      </c>
      <c r="N27" s="98">
        <v>16658.181</v>
      </c>
      <c r="O27" s="89"/>
    </row>
    <row r="28" spans="1:17" ht="18.600000000000001" customHeight="1">
      <c r="A28" s="93" t="s">
        <v>31</v>
      </c>
      <c r="B28" s="37">
        <v>-12.809200000000001</v>
      </c>
      <c r="C28" s="37">
        <v>-11.438000000000001</v>
      </c>
      <c r="D28" s="37">
        <v>-1.2939000000000001</v>
      </c>
      <c r="E28" s="37">
        <v>5.2931999999999997</v>
      </c>
      <c r="F28" s="37">
        <v>-4.5658000000000003</v>
      </c>
      <c r="G28" s="37">
        <v>-0.72499999999999998</v>
      </c>
      <c r="H28" s="37">
        <v>-5.9607999999999999</v>
      </c>
      <c r="I28" s="37">
        <v>-4.7141999999999999</v>
      </c>
      <c r="J28" s="37">
        <v>-3.8767</v>
      </c>
      <c r="K28" s="37">
        <v>-9.1663999999999994</v>
      </c>
      <c r="L28" s="94">
        <v>-10.9856</v>
      </c>
      <c r="M28" s="94">
        <v>-4.4909999999999997</v>
      </c>
      <c r="N28" s="95">
        <v>16.625</v>
      </c>
      <c r="O28" s="89"/>
    </row>
    <row r="29" spans="1:17" ht="18.600000000000001" customHeight="1">
      <c r="A29" s="96" t="s">
        <v>15</v>
      </c>
      <c r="B29" s="40">
        <v>518.43899999999996</v>
      </c>
      <c r="C29" s="40">
        <v>520.34400000000005</v>
      </c>
      <c r="D29" s="40">
        <v>491.27499999999998</v>
      </c>
      <c r="E29" s="40">
        <v>553.58600000000001</v>
      </c>
      <c r="F29" s="40">
        <v>472.94400000000002</v>
      </c>
      <c r="G29" s="40">
        <v>538.49699999999996</v>
      </c>
      <c r="H29" s="40">
        <v>555.76199999999994</v>
      </c>
      <c r="I29" s="40">
        <v>685.74</v>
      </c>
      <c r="J29" s="40">
        <v>1024.0519999999999</v>
      </c>
      <c r="K29" s="40">
        <v>803.476</v>
      </c>
      <c r="L29" s="97">
        <v>576.22</v>
      </c>
      <c r="M29" s="97">
        <v>524.17399999999998</v>
      </c>
      <c r="N29" s="98">
        <v>510.26400000000001</v>
      </c>
      <c r="O29" s="89"/>
    </row>
    <row r="30" spans="1:17" ht="18.600000000000001" customHeight="1">
      <c r="A30" s="93" t="s">
        <v>31</v>
      </c>
      <c r="B30" s="37">
        <v>4.5198</v>
      </c>
      <c r="C30" s="37">
        <v>0.69230000000000003</v>
      </c>
      <c r="D30" s="37">
        <v>2.7583000000000002</v>
      </c>
      <c r="E30" s="37">
        <v>8.1105</v>
      </c>
      <c r="F30" s="37">
        <v>-14.9651</v>
      </c>
      <c r="G30" s="37">
        <v>-15.4588</v>
      </c>
      <c r="H30" s="37">
        <v>-19.046099999999999</v>
      </c>
      <c r="I30" s="37">
        <v>-3.6703999999999999</v>
      </c>
      <c r="J30" s="37">
        <v>68.8767</v>
      </c>
      <c r="K30" s="37">
        <v>39.865000000000002</v>
      </c>
      <c r="L30" s="94">
        <v>13.674899999999999</v>
      </c>
      <c r="M30" s="94">
        <v>21.111699999999999</v>
      </c>
      <c r="N30" s="95">
        <v>-1.5769</v>
      </c>
      <c r="O30" s="89"/>
    </row>
    <row r="31" spans="1:17" ht="18.600000000000001" customHeight="1">
      <c r="A31" s="96" t="s">
        <v>16</v>
      </c>
      <c r="B31" s="40">
        <v>3223.9960000000001</v>
      </c>
      <c r="C31" s="40">
        <v>3470.4340000000002</v>
      </c>
      <c r="D31" s="40">
        <v>3745.027</v>
      </c>
      <c r="E31" s="40">
        <v>3880.0390000000002</v>
      </c>
      <c r="F31" s="40">
        <v>4268.2060000000001</v>
      </c>
      <c r="G31" s="40">
        <v>4893.7380000000003</v>
      </c>
      <c r="H31" s="40">
        <v>3829.4470000000001</v>
      </c>
      <c r="I31" s="40">
        <v>4021.6080000000002</v>
      </c>
      <c r="J31" s="40">
        <v>3961.663</v>
      </c>
      <c r="K31" s="40">
        <v>3971.828</v>
      </c>
      <c r="L31" s="97">
        <v>4188.0360000000001</v>
      </c>
      <c r="M31" s="97">
        <v>3499.1889999999999</v>
      </c>
      <c r="N31" s="98">
        <v>3530.0920000000001</v>
      </c>
      <c r="O31" s="89"/>
    </row>
    <row r="32" spans="1:17" ht="18.600000000000001" customHeight="1">
      <c r="A32" s="90" t="s">
        <v>31</v>
      </c>
      <c r="B32" s="99">
        <v>18.186699999999998</v>
      </c>
      <c r="C32" s="99">
        <v>28.757000000000001</v>
      </c>
      <c r="D32" s="99">
        <v>25.199200000000001</v>
      </c>
      <c r="E32" s="99">
        <v>11.639099999999999</v>
      </c>
      <c r="F32" s="99">
        <v>13.7342</v>
      </c>
      <c r="G32" s="99">
        <v>32.977699999999999</v>
      </c>
      <c r="H32" s="99">
        <v>20.050899999999999</v>
      </c>
      <c r="I32" s="99">
        <v>18.631399999999999</v>
      </c>
      <c r="J32" s="99">
        <v>20.435500000000001</v>
      </c>
      <c r="K32" s="99">
        <v>25.2104</v>
      </c>
      <c r="L32" s="100">
        <v>28.8827</v>
      </c>
      <c r="M32" s="100">
        <v>16.9663</v>
      </c>
      <c r="N32" s="101">
        <v>9.4943000000000008</v>
      </c>
      <c r="O32" s="89"/>
    </row>
    <row r="33" spans="1:15" ht="18.600000000000001" customHeight="1">
      <c r="A33" s="96" t="s">
        <v>17</v>
      </c>
      <c r="B33" s="40">
        <v>243.602</v>
      </c>
      <c r="C33" s="40">
        <v>245.79599999999999</v>
      </c>
      <c r="D33" s="40">
        <v>253.47</v>
      </c>
      <c r="E33" s="40">
        <v>243.53700000000001</v>
      </c>
      <c r="F33" s="40">
        <v>231.61500000000001</v>
      </c>
      <c r="G33" s="40">
        <v>177.143</v>
      </c>
      <c r="H33" s="40">
        <v>172.285</v>
      </c>
      <c r="I33" s="40">
        <v>205.75200000000001</v>
      </c>
      <c r="J33" s="40">
        <v>217.8</v>
      </c>
      <c r="K33" s="40">
        <v>179.434</v>
      </c>
      <c r="L33" s="97">
        <v>257.63200000000001</v>
      </c>
      <c r="M33" s="97">
        <v>181.41800000000001</v>
      </c>
      <c r="N33" s="98">
        <v>222.58600000000001</v>
      </c>
      <c r="O33" s="89"/>
    </row>
    <row r="34" spans="1:15" ht="18.600000000000001" customHeight="1">
      <c r="A34" s="102" t="s">
        <v>11</v>
      </c>
      <c r="B34" s="103">
        <v>-19.848800000000001</v>
      </c>
      <c r="C34" s="103">
        <v>-27.672999999999998</v>
      </c>
      <c r="D34" s="103">
        <v>-15.3383</v>
      </c>
      <c r="E34" s="103">
        <v>-27.920999999999999</v>
      </c>
      <c r="F34" s="103">
        <v>-18.91</v>
      </c>
      <c r="G34" s="103">
        <v>-13.8893</v>
      </c>
      <c r="H34" s="103">
        <v>-35.615900000000003</v>
      </c>
      <c r="I34" s="103">
        <v>-32.304499999999997</v>
      </c>
      <c r="J34" s="103">
        <v>-23.966899999999999</v>
      </c>
      <c r="K34" s="103">
        <v>-21.482800000000001</v>
      </c>
      <c r="L34" s="104">
        <v>8.2439999999999998</v>
      </c>
      <c r="M34" s="104">
        <v>-23.6081</v>
      </c>
      <c r="N34" s="105">
        <v>-8.6272000000000002</v>
      </c>
      <c r="O34" s="89"/>
    </row>
    <row r="35" spans="1:15" ht="18" customHeight="1">
      <c r="A35" s="106" t="s">
        <v>39</v>
      </c>
      <c r="O35" s="107"/>
    </row>
    <row r="36" spans="1:15" ht="18" customHeight="1">
      <c r="A36" s="76" t="s">
        <v>40</v>
      </c>
    </row>
    <row r="37" spans="1:15" ht="18" customHeight="1">
      <c r="A37" s="106" t="s">
        <v>41</v>
      </c>
    </row>
    <row r="38" spans="1:1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5" orientation="portrait" useFirstPageNumber="1" r:id="rId1"/>
  <headerFooter differentOddEven="1"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0"/>
  <sheetViews>
    <sheetView showGridLines="0" view="pageBreakPreview" zoomScale="70" zoomScaleNormal="100" zoomScaleSheetLayoutView="70" workbookViewId="0"/>
  </sheetViews>
  <sheetFormatPr defaultColWidth="7.875" defaultRowHeight="16.5"/>
  <cols>
    <col min="1" max="1" width="8.25" style="1280" customWidth="1"/>
    <col min="2" max="2" width="9.125" style="1280" customWidth="1"/>
    <col min="3" max="9" width="9.5" style="1280" customWidth="1"/>
    <col min="10" max="10" width="8.375" style="1280" customWidth="1"/>
    <col min="11" max="11" width="8.75" style="1280" customWidth="1"/>
    <col min="12" max="19" width="8.5" style="1280" customWidth="1"/>
    <col min="20" max="20" width="7.125" style="1280" customWidth="1"/>
    <col min="21" max="21" width="9.375" style="1280" customWidth="1"/>
    <col min="22" max="23" width="7.875" style="1280"/>
    <col min="24" max="24" width="13.5" style="1280" bestFit="1" customWidth="1"/>
    <col min="25" max="16384" width="7.875" style="1280"/>
  </cols>
  <sheetData>
    <row r="1" spans="1:24" s="2250" customFormat="1" ht="20.25" customHeight="1">
      <c r="A1" s="1946" t="s">
        <v>1203</v>
      </c>
    </row>
    <row r="2" spans="1:24" s="2252" customFormat="1" ht="17.25" customHeight="1">
      <c r="A2" s="2251" t="s">
        <v>1204</v>
      </c>
    </row>
    <row r="3" spans="1:24" ht="13.5" customHeight="1">
      <c r="B3" s="307"/>
      <c r="P3" s="2031"/>
      <c r="R3" s="2031"/>
      <c r="S3" s="2031"/>
      <c r="U3" s="2253" t="s">
        <v>1205</v>
      </c>
    </row>
    <row r="4" spans="1:24" s="2257" customFormat="1" ht="22.5" customHeight="1">
      <c r="A4" s="3090" t="s">
        <v>1206</v>
      </c>
      <c r="B4" s="3091"/>
      <c r="C4" s="2254" t="s">
        <v>1207</v>
      </c>
      <c r="D4" s="2254" t="s">
        <v>1177</v>
      </c>
      <c r="E4" s="2254" t="s">
        <v>1178</v>
      </c>
      <c r="F4" s="2254" t="s">
        <v>1179</v>
      </c>
      <c r="G4" s="2254" t="s">
        <v>1180</v>
      </c>
      <c r="H4" s="2254" t="s">
        <v>1181</v>
      </c>
      <c r="I4" s="2254" t="s">
        <v>1182</v>
      </c>
      <c r="J4" s="2255" t="s">
        <v>1183</v>
      </c>
      <c r="K4" s="2254" t="s">
        <v>1184</v>
      </c>
      <c r="L4" s="2254" t="s">
        <v>1185</v>
      </c>
      <c r="M4" s="2254" t="s">
        <v>1186</v>
      </c>
      <c r="N4" s="2254" t="s">
        <v>1187</v>
      </c>
      <c r="O4" s="2254" t="s">
        <v>1188</v>
      </c>
      <c r="P4" s="2254" t="s">
        <v>1189</v>
      </c>
      <c r="Q4" s="2254" t="s">
        <v>1190</v>
      </c>
      <c r="R4" s="2254" t="s">
        <v>1191</v>
      </c>
      <c r="S4" s="2254" t="s">
        <v>1192</v>
      </c>
      <c r="T4" s="2254" t="s">
        <v>1208</v>
      </c>
      <c r="U4" s="2256" t="s">
        <v>1209</v>
      </c>
    </row>
    <row r="5" spans="1:24" s="2257" customFormat="1" ht="20.45" customHeight="1">
      <c r="A5" s="3092" t="s">
        <v>1210</v>
      </c>
      <c r="B5" s="2258" t="s">
        <v>1211</v>
      </c>
      <c r="C5" s="2259">
        <v>14999275.604</v>
      </c>
      <c r="D5" s="2259">
        <v>5152050.01</v>
      </c>
      <c r="E5" s="2259">
        <v>3609140.358</v>
      </c>
      <c r="F5" s="2259">
        <v>4694206.4390000002</v>
      </c>
      <c r="G5" s="2259">
        <v>2272649.2140000002</v>
      </c>
      <c r="H5" s="2259">
        <v>2190246.4139999999</v>
      </c>
      <c r="I5" s="2259">
        <v>1690486.8089999999</v>
      </c>
      <c r="J5" s="2260">
        <v>620692.30799999996</v>
      </c>
      <c r="K5" s="2259">
        <v>21208073.651000001</v>
      </c>
      <c r="L5" s="2259">
        <v>2400770.6370000001</v>
      </c>
      <c r="M5" s="2259">
        <v>2472399.3130000001</v>
      </c>
      <c r="N5" s="2259">
        <v>3299557.926</v>
      </c>
      <c r="O5" s="2259">
        <v>2680156.3220000002</v>
      </c>
      <c r="P5" s="2259">
        <v>2696739.7930000001</v>
      </c>
      <c r="Q5" s="2259">
        <v>3894156.889</v>
      </c>
      <c r="R5" s="2259">
        <v>5020940.7149999999</v>
      </c>
      <c r="S5" s="2259">
        <v>1013269.0550000001</v>
      </c>
      <c r="T5" s="2261">
        <v>0</v>
      </c>
      <c r="U5" s="2262">
        <v>79914811.457000002</v>
      </c>
      <c r="W5" s="2263"/>
    </row>
    <row r="6" spans="1:24" s="2257" customFormat="1" ht="20.45" customHeight="1">
      <c r="A6" s="3093"/>
      <c r="B6" s="2258" t="s">
        <v>1212</v>
      </c>
      <c r="C6" s="2259">
        <v>24919710.607999999</v>
      </c>
      <c r="D6" s="2259">
        <v>6542453.324</v>
      </c>
      <c r="E6" s="2259">
        <v>4648057.767</v>
      </c>
      <c r="F6" s="2259">
        <v>6196729.4709999999</v>
      </c>
      <c r="G6" s="2259">
        <v>2985001.3939999999</v>
      </c>
      <c r="H6" s="2259">
        <v>3664413.52</v>
      </c>
      <c r="I6" s="2259">
        <v>2061467.3970000001</v>
      </c>
      <c r="J6" s="2259">
        <v>1429274.9809999999</v>
      </c>
      <c r="K6" s="2259">
        <v>31403816.122000001</v>
      </c>
      <c r="L6" s="2259">
        <v>4857737.2989999996</v>
      </c>
      <c r="M6" s="2259">
        <v>3710927.6609999998</v>
      </c>
      <c r="N6" s="2259">
        <v>4831909.4469999997</v>
      </c>
      <c r="O6" s="2259">
        <v>3815032.68</v>
      </c>
      <c r="P6" s="2259">
        <v>4018698.7930000001</v>
      </c>
      <c r="Q6" s="2259">
        <v>5595978.5870000003</v>
      </c>
      <c r="R6" s="2259">
        <v>6646915.8609999996</v>
      </c>
      <c r="S6" s="2259">
        <v>2222259.7719999999</v>
      </c>
      <c r="T6" s="2261">
        <v>0</v>
      </c>
      <c r="U6" s="2262">
        <v>119550386.23100001</v>
      </c>
      <c r="W6" s="2263"/>
    </row>
    <row r="7" spans="1:24" s="2257" customFormat="1" ht="20.45" customHeight="1">
      <c r="A7" s="3093"/>
      <c r="B7" s="2258" t="s">
        <v>1213</v>
      </c>
      <c r="C7" s="2259">
        <v>1689339.63</v>
      </c>
      <c r="D7" s="2259">
        <v>445700.853</v>
      </c>
      <c r="E7" s="2259">
        <v>357768.18699999998</v>
      </c>
      <c r="F7" s="2259">
        <v>355650.56199999998</v>
      </c>
      <c r="G7" s="2259">
        <v>292250.054</v>
      </c>
      <c r="H7" s="2259">
        <v>404109.23499999999</v>
      </c>
      <c r="I7" s="2259">
        <v>195667.31400000001</v>
      </c>
      <c r="J7" s="2259">
        <v>81165.513999999996</v>
      </c>
      <c r="K7" s="2259">
        <v>1592183.2450000001</v>
      </c>
      <c r="L7" s="2259">
        <v>328182.81800000003</v>
      </c>
      <c r="M7" s="2259">
        <v>314611.23</v>
      </c>
      <c r="N7" s="2259">
        <v>454120.60800000001</v>
      </c>
      <c r="O7" s="2259">
        <v>370894.85</v>
      </c>
      <c r="P7" s="2259">
        <v>315887.087</v>
      </c>
      <c r="Q7" s="2259">
        <v>653472.147</v>
      </c>
      <c r="R7" s="2259">
        <v>437222.85800000001</v>
      </c>
      <c r="S7" s="2259">
        <v>134378.614</v>
      </c>
      <c r="T7" s="2261" t="s">
        <v>171</v>
      </c>
      <c r="U7" s="2262">
        <v>8422604.8059999999</v>
      </c>
      <c r="W7" s="2263"/>
    </row>
    <row r="8" spans="1:24" s="2257" customFormat="1" ht="20.45" customHeight="1">
      <c r="A8" s="3093"/>
      <c r="B8" s="2258" t="s">
        <v>1214</v>
      </c>
      <c r="C8" s="2259">
        <v>4964323.6069999998</v>
      </c>
      <c r="D8" s="2259">
        <v>8432903.2060000002</v>
      </c>
      <c r="E8" s="2259">
        <v>6434272.7410000004</v>
      </c>
      <c r="F8" s="2259">
        <v>13127782.039999999</v>
      </c>
      <c r="G8" s="2259">
        <v>3179924.159</v>
      </c>
      <c r="H8" s="2259">
        <v>3208933.8360000001</v>
      </c>
      <c r="I8" s="2259">
        <v>29390627.063999999</v>
      </c>
      <c r="J8" s="2259">
        <v>1963434.121</v>
      </c>
      <c r="K8" s="2259">
        <v>73276124.835999995</v>
      </c>
      <c r="L8" s="2259">
        <v>6801034.0559999999</v>
      </c>
      <c r="M8" s="2259">
        <v>19717798.315000001</v>
      </c>
      <c r="N8" s="2259">
        <v>36358222.557999998</v>
      </c>
      <c r="O8" s="2259">
        <v>11795860.892999999</v>
      </c>
      <c r="P8" s="2259">
        <v>21634582.517000001</v>
      </c>
      <c r="Q8" s="2259">
        <v>30376397.791999999</v>
      </c>
      <c r="R8" s="2259">
        <v>19996958.734000001</v>
      </c>
      <c r="S8" s="2259">
        <v>674241.73</v>
      </c>
      <c r="T8" s="2261">
        <v>0</v>
      </c>
      <c r="U8" s="2262">
        <v>291333422.20499998</v>
      </c>
      <c r="W8" s="2263"/>
    </row>
    <row r="9" spans="1:24" s="2257" customFormat="1" ht="20.45" customHeight="1">
      <c r="A9" s="3093"/>
      <c r="B9" s="2258" t="s">
        <v>1215</v>
      </c>
      <c r="C9" s="2259">
        <v>21626.677</v>
      </c>
      <c r="D9" s="2259">
        <v>116899.15700000001</v>
      </c>
      <c r="E9" s="2259">
        <v>88016.891000000003</v>
      </c>
      <c r="F9" s="2259">
        <v>170837.45499999999</v>
      </c>
      <c r="G9" s="2259">
        <v>84581.63</v>
      </c>
      <c r="H9" s="2259">
        <v>38656.120999999999</v>
      </c>
      <c r="I9" s="2259">
        <v>93232.12</v>
      </c>
      <c r="J9" s="2259">
        <v>95834.887000000002</v>
      </c>
      <c r="K9" s="2259">
        <v>2829853.5240000002</v>
      </c>
      <c r="L9" s="2259">
        <v>826794.77800000005</v>
      </c>
      <c r="M9" s="2259">
        <v>1000159.129</v>
      </c>
      <c r="N9" s="2259">
        <v>2562459.2779999999</v>
      </c>
      <c r="O9" s="2259">
        <v>1947928.942</v>
      </c>
      <c r="P9" s="2259">
        <v>4117783.3539999998</v>
      </c>
      <c r="Q9" s="2259">
        <v>2471367.9339999999</v>
      </c>
      <c r="R9" s="2259">
        <v>2644208.8119999999</v>
      </c>
      <c r="S9" s="2259">
        <v>1492970.96</v>
      </c>
      <c r="T9" s="2261" t="s">
        <v>171</v>
      </c>
      <c r="U9" s="2262">
        <v>20603211.649</v>
      </c>
      <c r="W9" s="2263"/>
    </row>
    <row r="10" spans="1:24" s="2257" customFormat="1" ht="20.45" customHeight="1">
      <c r="A10" s="3093"/>
      <c r="B10" s="2258" t="s">
        <v>1216</v>
      </c>
      <c r="C10" s="2259">
        <v>278052.93900000001</v>
      </c>
      <c r="D10" s="2259">
        <v>164108.26199999999</v>
      </c>
      <c r="E10" s="2259">
        <v>125511.375</v>
      </c>
      <c r="F10" s="2259">
        <v>154410.36499999999</v>
      </c>
      <c r="G10" s="2259">
        <v>79330.972999999998</v>
      </c>
      <c r="H10" s="2259">
        <v>74167.774999999994</v>
      </c>
      <c r="I10" s="2259">
        <v>78937.914999999994</v>
      </c>
      <c r="J10" s="2259">
        <v>33865.798999999999</v>
      </c>
      <c r="K10" s="2259">
        <v>829312.44799999997</v>
      </c>
      <c r="L10" s="2259">
        <v>195858.891</v>
      </c>
      <c r="M10" s="2259">
        <v>183740.58199999999</v>
      </c>
      <c r="N10" s="2259">
        <v>170460.92</v>
      </c>
      <c r="O10" s="2259">
        <v>200919.709</v>
      </c>
      <c r="P10" s="2259">
        <v>235119.25</v>
      </c>
      <c r="Q10" s="2259">
        <v>310413.24599999998</v>
      </c>
      <c r="R10" s="2259">
        <v>282840.30699999997</v>
      </c>
      <c r="S10" s="2259">
        <v>47378.41</v>
      </c>
      <c r="T10" s="2261" t="s">
        <v>171</v>
      </c>
      <c r="U10" s="2262">
        <v>3444429.1660000002</v>
      </c>
      <c r="W10" s="2263"/>
    </row>
    <row r="11" spans="1:24" s="2257" customFormat="1" ht="20.45" customHeight="1">
      <c r="A11" s="3093"/>
      <c r="B11" s="2258" t="s">
        <v>1217</v>
      </c>
      <c r="C11" s="2259">
        <v>423476.07500000001</v>
      </c>
      <c r="D11" s="2259">
        <v>213718.43799999999</v>
      </c>
      <c r="E11" s="2259">
        <v>181181.53200000001</v>
      </c>
      <c r="F11" s="2259">
        <v>201578.05799999999</v>
      </c>
      <c r="G11" s="2259">
        <v>79709.099000000002</v>
      </c>
      <c r="H11" s="2259">
        <v>168093.777</v>
      </c>
      <c r="I11" s="2259">
        <v>82704.368000000002</v>
      </c>
      <c r="J11" s="2259">
        <v>71095.074999999997</v>
      </c>
      <c r="K11" s="2259">
        <v>2306584.2889999999</v>
      </c>
      <c r="L11" s="2259">
        <v>1397627.1669999999</v>
      </c>
      <c r="M11" s="2259">
        <v>1002426.401</v>
      </c>
      <c r="N11" s="2259">
        <v>1124895.1129999999</v>
      </c>
      <c r="O11" s="2259">
        <v>676067.29700000002</v>
      </c>
      <c r="P11" s="2259">
        <v>468075.36599999998</v>
      </c>
      <c r="Q11" s="2259">
        <v>956510.00199999998</v>
      </c>
      <c r="R11" s="2259">
        <v>704972.20700000005</v>
      </c>
      <c r="S11" s="2259">
        <v>103231.08</v>
      </c>
      <c r="T11" s="2261" t="s">
        <v>171</v>
      </c>
      <c r="U11" s="2262">
        <v>10161945.344000001</v>
      </c>
      <c r="W11" s="2263"/>
    </row>
    <row r="12" spans="1:24" s="2257" customFormat="1" ht="20.45" customHeight="1">
      <c r="A12" s="3094"/>
      <c r="B12" s="2258" t="s">
        <v>161</v>
      </c>
      <c r="C12" s="2259">
        <v>47295805.140000001</v>
      </c>
      <c r="D12" s="2259">
        <v>21067833.25</v>
      </c>
      <c r="E12" s="2259">
        <v>15443948.851</v>
      </c>
      <c r="F12" s="2259">
        <v>24901194.390000001</v>
      </c>
      <c r="G12" s="2259">
        <v>8973446.523</v>
      </c>
      <c r="H12" s="2259">
        <v>9748620.6779999994</v>
      </c>
      <c r="I12" s="2259">
        <v>33593122.987000003</v>
      </c>
      <c r="J12" s="2259">
        <v>4295362.6849999996</v>
      </c>
      <c r="K12" s="2259">
        <v>133445948.11499999</v>
      </c>
      <c r="L12" s="2259">
        <v>16808005.646000002</v>
      </c>
      <c r="M12" s="2259">
        <v>28402062.631000001</v>
      </c>
      <c r="N12" s="2259">
        <v>48801625.850000001</v>
      </c>
      <c r="O12" s="2259">
        <v>21486860.693</v>
      </c>
      <c r="P12" s="2259">
        <v>33486886.16</v>
      </c>
      <c r="Q12" s="2259">
        <v>44258296.597000003</v>
      </c>
      <c r="R12" s="2259">
        <v>35734059.494000003</v>
      </c>
      <c r="S12" s="2259">
        <v>5687729.6210000003</v>
      </c>
      <c r="T12" s="2261">
        <v>0</v>
      </c>
      <c r="U12" s="2262">
        <v>533430810.85799998</v>
      </c>
      <c r="W12" s="2263"/>
    </row>
    <row r="13" spans="1:24" s="2269" customFormat="1" ht="20.45" customHeight="1">
      <c r="A13" s="3095" t="s">
        <v>1218</v>
      </c>
      <c r="B13" s="2264" t="s">
        <v>1211</v>
      </c>
      <c r="C13" s="2265">
        <v>14906206.494000001</v>
      </c>
      <c r="D13" s="2265">
        <v>5218546.068</v>
      </c>
      <c r="E13" s="2265">
        <v>3738025.5290000001</v>
      </c>
      <c r="F13" s="2265">
        <v>4814225.4570000004</v>
      </c>
      <c r="G13" s="2265">
        <v>2308454.1839999999</v>
      </c>
      <c r="H13" s="2265">
        <v>2221462.9180000001</v>
      </c>
      <c r="I13" s="2265">
        <v>1701958.63</v>
      </c>
      <c r="J13" s="2265">
        <v>654148.66099999996</v>
      </c>
      <c r="K13" s="2265">
        <v>21581746.313999999</v>
      </c>
      <c r="L13" s="2265">
        <v>2450212.4109999998</v>
      </c>
      <c r="M13" s="2265">
        <v>2524888.5219999999</v>
      </c>
      <c r="N13" s="2265">
        <v>3368860.5090000001</v>
      </c>
      <c r="O13" s="2265">
        <v>2692937.253</v>
      </c>
      <c r="P13" s="2265">
        <v>2732169.8080000002</v>
      </c>
      <c r="Q13" s="2265">
        <v>3958292.5210000002</v>
      </c>
      <c r="R13" s="2265">
        <v>5072865.8899999997</v>
      </c>
      <c r="S13" s="2265">
        <v>1051131.852</v>
      </c>
      <c r="T13" s="2266">
        <v>0</v>
      </c>
      <c r="U13" s="2267">
        <v>80996133.020999998</v>
      </c>
      <c r="V13" s="2268"/>
      <c r="W13" s="2263"/>
    </row>
    <row r="14" spans="1:24" s="2269" customFormat="1" ht="20.45" customHeight="1">
      <c r="A14" s="3096"/>
      <c r="B14" s="2264" t="s">
        <v>1212</v>
      </c>
      <c r="C14" s="2265">
        <v>26355858.403999999</v>
      </c>
      <c r="D14" s="2265">
        <v>6976066.534</v>
      </c>
      <c r="E14" s="2265">
        <v>4935786.3629999999</v>
      </c>
      <c r="F14" s="2265">
        <v>6709494.3609999996</v>
      </c>
      <c r="G14" s="2265">
        <v>3103220.1170000001</v>
      </c>
      <c r="H14" s="2265">
        <v>3919576.9130000002</v>
      </c>
      <c r="I14" s="2265">
        <v>2191412.8650000002</v>
      </c>
      <c r="J14" s="2265">
        <v>213528.23300000001</v>
      </c>
      <c r="K14" s="2265">
        <v>34660029.439000003</v>
      </c>
      <c r="L14" s="2265">
        <v>5086218.08</v>
      </c>
      <c r="M14" s="2265">
        <v>4023583.358</v>
      </c>
      <c r="N14" s="2265">
        <v>5265763.2510000002</v>
      </c>
      <c r="O14" s="2265">
        <v>4038870.986</v>
      </c>
      <c r="P14" s="2265">
        <v>4219594.0460000001</v>
      </c>
      <c r="Q14" s="2265">
        <v>5980469.3760000002</v>
      </c>
      <c r="R14" s="2265">
        <v>7066247.4890000001</v>
      </c>
      <c r="S14" s="2265">
        <v>2447172.5320000001</v>
      </c>
      <c r="T14" s="2266">
        <v>0</v>
      </c>
      <c r="U14" s="2267">
        <v>127192892.347</v>
      </c>
      <c r="V14" s="2268"/>
      <c r="W14" s="2263"/>
      <c r="X14" s="2270"/>
    </row>
    <row r="15" spans="1:24" s="2269" customFormat="1" ht="20.45" customHeight="1">
      <c r="A15" s="3096"/>
      <c r="B15" s="2264" t="s">
        <v>1213</v>
      </c>
      <c r="C15" s="2265">
        <v>1841640.568</v>
      </c>
      <c r="D15" s="2265">
        <v>476730.30200000003</v>
      </c>
      <c r="E15" s="2265">
        <v>378481.04499999998</v>
      </c>
      <c r="F15" s="2265">
        <v>391648.91800000001</v>
      </c>
      <c r="G15" s="2265">
        <v>306804.92599999998</v>
      </c>
      <c r="H15" s="2265">
        <v>431819.27399999998</v>
      </c>
      <c r="I15" s="2265">
        <v>208459.61799999999</v>
      </c>
      <c r="J15" s="2265">
        <v>87479.044999999998</v>
      </c>
      <c r="K15" s="2265">
        <v>1756207.014</v>
      </c>
      <c r="L15" s="2265">
        <v>351915.33399999997</v>
      </c>
      <c r="M15" s="2265">
        <v>338185.20500000002</v>
      </c>
      <c r="N15" s="2265">
        <v>490760.87099999998</v>
      </c>
      <c r="O15" s="2265">
        <v>385754.55300000001</v>
      </c>
      <c r="P15" s="2265">
        <v>326881.23599999998</v>
      </c>
      <c r="Q15" s="2265">
        <v>691999.66099999996</v>
      </c>
      <c r="R15" s="2265">
        <v>466988.09899999999</v>
      </c>
      <c r="S15" s="2265">
        <v>142218.62100000001</v>
      </c>
      <c r="T15" s="2266" t="s">
        <v>171</v>
      </c>
      <c r="U15" s="2267">
        <v>9073974.2899999991</v>
      </c>
      <c r="V15" s="2268"/>
      <c r="W15" s="2263"/>
    </row>
    <row r="16" spans="1:24" s="2269" customFormat="1" ht="20.45" customHeight="1">
      <c r="A16" s="3096"/>
      <c r="B16" s="2264" t="s">
        <v>1214</v>
      </c>
      <c r="C16" s="2265">
        <v>4971158.4440000001</v>
      </c>
      <c r="D16" s="2265">
        <v>8344000.2079999996</v>
      </c>
      <c r="E16" s="2265">
        <v>6600251.0310000004</v>
      </c>
      <c r="F16" s="2265">
        <v>13073699.506999999</v>
      </c>
      <c r="G16" s="2265">
        <v>3151146.2969999998</v>
      </c>
      <c r="H16" s="2265">
        <v>3170250.216</v>
      </c>
      <c r="I16" s="2265">
        <v>28567277.23</v>
      </c>
      <c r="J16" s="2265">
        <v>2025619.577</v>
      </c>
      <c r="K16" s="2265">
        <v>76562942.217999995</v>
      </c>
      <c r="L16" s="2265">
        <v>7055301.9460000005</v>
      </c>
      <c r="M16" s="2265">
        <v>20321077.136999998</v>
      </c>
      <c r="N16" s="2265">
        <v>37202559.770999998</v>
      </c>
      <c r="O16" s="2265">
        <v>11837223.533</v>
      </c>
      <c r="P16" s="2265">
        <v>22393982.331999999</v>
      </c>
      <c r="Q16" s="2265">
        <v>30120687.592999998</v>
      </c>
      <c r="R16" s="2265">
        <v>19950333.723000001</v>
      </c>
      <c r="S16" s="2265">
        <v>687995.90300000005</v>
      </c>
      <c r="T16" s="2266">
        <v>0</v>
      </c>
      <c r="U16" s="2267">
        <v>296035506.66600001</v>
      </c>
      <c r="V16" s="2268"/>
      <c r="W16" s="2263"/>
    </row>
    <row r="17" spans="1:23" s="2269" customFormat="1" ht="20.45" customHeight="1">
      <c r="A17" s="3096"/>
      <c r="B17" s="2264" t="s">
        <v>1215</v>
      </c>
      <c r="C17" s="2265">
        <v>22263.434000000001</v>
      </c>
      <c r="D17" s="2265">
        <v>117676.105</v>
      </c>
      <c r="E17" s="2265">
        <v>94768.19</v>
      </c>
      <c r="F17" s="2265">
        <v>169577.60399999999</v>
      </c>
      <c r="G17" s="2265">
        <v>94761.031000000003</v>
      </c>
      <c r="H17" s="2265">
        <v>41203.983999999997</v>
      </c>
      <c r="I17" s="2265">
        <v>95018.986000000004</v>
      </c>
      <c r="J17" s="2265">
        <v>95733.812000000005</v>
      </c>
      <c r="K17" s="2265">
        <v>2919960.6519999998</v>
      </c>
      <c r="L17" s="2265">
        <v>834385</v>
      </c>
      <c r="M17" s="2265">
        <v>1036089.6090000001</v>
      </c>
      <c r="N17" s="2265">
        <v>2661701.6630000002</v>
      </c>
      <c r="O17" s="2265">
        <v>2035980.4439999999</v>
      </c>
      <c r="P17" s="2265">
        <v>4317548.6849999996</v>
      </c>
      <c r="Q17" s="2265">
        <v>2638213.6949999998</v>
      </c>
      <c r="R17" s="2265">
        <v>2681613.4309999999</v>
      </c>
      <c r="S17" s="2265">
        <v>1563592.324</v>
      </c>
      <c r="T17" s="2266" t="s">
        <v>171</v>
      </c>
      <c r="U17" s="2267">
        <v>21420088.649</v>
      </c>
      <c r="V17" s="2268"/>
      <c r="W17" s="2263"/>
    </row>
    <row r="18" spans="1:23" s="2269" customFormat="1" ht="20.45" customHeight="1">
      <c r="A18" s="3096"/>
      <c r="B18" s="2264" t="s">
        <v>1216</v>
      </c>
      <c r="C18" s="2265">
        <v>265315.96000000002</v>
      </c>
      <c r="D18" s="2265">
        <v>160126.231</v>
      </c>
      <c r="E18" s="2265">
        <v>126361.43700000001</v>
      </c>
      <c r="F18" s="2265">
        <v>155885.36799999999</v>
      </c>
      <c r="G18" s="2265">
        <v>77589.774999999994</v>
      </c>
      <c r="H18" s="2265">
        <v>71937.364000000001</v>
      </c>
      <c r="I18" s="2265">
        <v>79833.61</v>
      </c>
      <c r="J18" s="2265">
        <v>36351.427000000003</v>
      </c>
      <c r="K18" s="2265">
        <v>822591.17500000005</v>
      </c>
      <c r="L18" s="2265">
        <v>192598.22500000001</v>
      </c>
      <c r="M18" s="2265">
        <v>184248.67800000001</v>
      </c>
      <c r="N18" s="2265">
        <v>174587.39300000001</v>
      </c>
      <c r="O18" s="2265">
        <v>199058.55900000001</v>
      </c>
      <c r="P18" s="2265">
        <v>235470.16899999999</v>
      </c>
      <c r="Q18" s="2265">
        <v>305640.25300000003</v>
      </c>
      <c r="R18" s="2265">
        <v>289449.239</v>
      </c>
      <c r="S18" s="2265">
        <v>47149.211000000003</v>
      </c>
      <c r="T18" s="2266" t="s">
        <v>171</v>
      </c>
      <c r="U18" s="2267">
        <v>3424194.074</v>
      </c>
      <c r="V18" s="2268"/>
      <c r="W18" s="2263"/>
    </row>
    <row r="19" spans="1:23" s="2269" customFormat="1" ht="20.45" customHeight="1">
      <c r="A19" s="3096"/>
      <c r="B19" s="2264" t="s">
        <v>1217</v>
      </c>
      <c r="C19" s="2265">
        <v>426234.08199999999</v>
      </c>
      <c r="D19" s="2265">
        <v>200502.52</v>
      </c>
      <c r="E19" s="2265">
        <v>165586.633</v>
      </c>
      <c r="F19" s="2265">
        <v>192332.76300000001</v>
      </c>
      <c r="G19" s="2265">
        <v>74894.392000000007</v>
      </c>
      <c r="H19" s="2265">
        <v>160626.46</v>
      </c>
      <c r="I19" s="2265">
        <v>75219.777000000002</v>
      </c>
      <c r="J19" s="2265">
        <v>69218.532999999996</v>
      </c>
      <c r="K19" s="2265">
        <v>2227535.0580000002</v>
      </c>
      <c r="L19" s="2265">
        <v>1354889.42</v>
      </c>
      <c r="M19" s="2265">
        <v>984154.14599999995</v>
      </c>
      <c r="N19" s="2265">
        <v>1095404.6580000001</v>
      </c>
      <c r="O19" s="2265">
        <v>648648.62600000005</v>
      </c>
      <c r="P19" s="2265">
        <v>439458.33600000001</v>
      </c>
      <c r="Q19" s="2265">
        <v>905730.27300000004</v>
      </c>
      <c r="R19" s="2265">
        <v>663421.90399999998</v>
      </c>
      <c r="S19" s="2265">
        <v>106095.58500000001</v>
      </c>
      <c r="T19" s="2266" t="s">
        <v>171</v>
      </c>
      <c r="U19" s="2267">
        <v>9789953.1659999993</v>
      </c>
      <c r="V19" s="2268"/>
      <c r="W19" s="2263"/>
    </row>
    <row r="20" spans="1:23" s="2269" customFormat="1" ht="20.45" customHeight="1">
      <c r="A20" s="3096"/>
      <c r="B20" s="2264" t="s">
        <v>161</v>
      </c>
      <c r="C20" s="2265">
        <v>48788677.386</v>
      </c>
      <c r="D20" s="2265">
        <v>21493647.967999998</v>
      </c>
      <c r="E20" s="2265">
        <v>16039260.228</v>
      </c>
      <c r="F20" s="2265">
        <v>25506863.978</v>
      </c>
      <c r="G20" s="2265">
        <v>9116870.7219999991</v>
      </c>
      <c r="H20" s="2265">
        <v>10016877.129000001</v>
      </c>
      <c r="I20" s="2265">
        <v>32919180.715999998</v>
      </c>
      <c r="J20" s="2265">
        <v>3182079.2880000002</v>
      </c>
      <c r="K20" s="2265">
        <v>140531011.87</v>
      </c>
      <c r="L20" s="2265">
        <v>17325520.416000001</v>
      </c>
      <c r="M20" s="2265">
        <v>29412226.655000001</v>
      </c>
      <c r="N20" s="2265">
        <v>50259638.115999997</v>
      </c>
      <c r="O20" s="2265">
        <v>21838473.954</v>
      </c>
      <c r="P20" s="2265">
        <v>34665104.612000003</v>
      </c>
      <c r="Q20" s="2265">
        <v>44601033.372000001</v>
      </c>
      <c r="R20" s="2265">
        <v>36190919.774999999</v>
      </c>
      <c r="S20" s="2265">
        <v>6045356.0279999999</v>
      </c>
      <c r="T20" s="2266">
        <v>0</v>
      </c>
      <c r="U20" s="2267">
        <v>547932742.21300006</v>
      </c>
      <c r="V20" s="2268"/>
      <c r="W20" s="2263"/>
    </row>
    <row r="21" spans="1:23" s="2269" customFormat="1" ht="20.45" customHeight="1">
      <c r="A21" s="3097" t="s">
        <v>1219</v>
      </c>
      <c r="B21" s="2271" t="s">
        <v>1211</v>
      </c>
      <c r="C21" s="2260">
        <v>1175771.327</v>
      </c>
      <c r="D21" s="2260">
        <v>408030.55499999999</v>
      </c>
      <c r="E21" s="2260">
        <v>292489.989</v>
      </c>
      <c r="F21" s="2260">
        <v>375990.44</v>
      </c>
      <c r="G21" s="2260">
        <v>181093.51699999999</v>
      </c>
      <c r="H21" s="2260">
        <v>173924.00099999999</v>
      </c>
      <c r="I21" s="2260">
        <v>133422.027</v>
      </c>
      <c r="J21" s="2260">
        <v>49670.256000000001</v>
      </c>
      <c r="K21" s="2260">
        <v>1707194.102</v>
      </c>
      <c r="L21" s="2260">
        <v>201007.603</v>
      </c>
      <c r="M21" s="2260">
        <v>202523.80499999999</v>
      </c>
      <c r="N21" s="2260">
        <v>268533.33399999997</v>
      </c>
      <c r="O21" s="2260">
        <v>219731.38399999999</v>
      </c>
      <c r="P21" s="2260">
        <v>219878.35399999999</v>
      </c>
      <c r="Q21" s="2260">
        <v>322131.19799999997</v>
      </c>
      <c r="R21" s="2260">
        <v>408114.50400000002</v>
      </c>
      <c r="S21" s="2260">
        <v>79802.903999999995</v>
      </c>
      <c r="T21" s="2261">
        <v>0</v>
      </c>
      <c r="U21" s="2272">
        <v>6419309.2999999998</v>
      </c>
      <c r="V21" s="2268"/>
      <c r="W21" s="2263"/>
    </row>
    <row r="22" spans="1:23" s="2269" customFormat="1" ht="20.45" customHeight="1">
      <c r="A22" s="3098"/>
      <c r="B22" s="2258" t="s">
        <v>1212</v>
      </c>
      <c r="C22" s="2259">
        <v>2146321.7370000002</v>
      </c>
      <c r="D22" s="2259">
        <v>551204.38699999999</v>
      </c>
      <c r="E22" s="2259">
        <v>401298.69400000002</v>
      </c>
      <c r="F22" s="2259">
        <v>548526.69499999995</v>
      </c>
      <c r="G22" s="2259">
        <v>248035.06700000001</v>
      </c>
      <c r="H22" s="2259">
        <v>314143.10499999998</v>
      </c>
      <c r="I22" s="2259">
        <v>172781.258</v>
      </c>
      <c r="J22" s="2259">
        <v>710372.30099999998</v>
      </c>
      <c r="K22" s="2259">
        <v>2831898.3259999999</v>
      </c>
      <c r="L22" s="2259">
        <v>447917.924</v>
      </c>
      <c r="M22" s="2259">
        <v>334639.73300000001</v>
      </c>
      <c r="N22" s="2259">
        <v>431606.73599999998</v>
      </c>
      <c r="O22" s="2259">
        <v>334618.30099999998</v>
      </c>
      <c r="P22" s="2259">
        <v>341272.17700000003</v>
      </c>
      <c r="Q22" s="2259">
        <v>502381.50400000002</v>
      </c>
      <c r="R22" s="2259">
        <v>566264.98800000001</v>
      </c>
      <c r="S22" s="2259">
        <v>187693.51300000001</v>
      </c>
      <c r="T22" s="2261">
        <v>0</v>
      </c>
      <c r="U22" s="2262">
        <v>11070976.446</v>
      </c>
      <c r="V22" s="2268"/>
      <c r="W22" s="2263"/>
    </row>
    <row r="23" spans="1:23" s="2269" customFormat="1" ht="20.45" customHeight="1">
      <c r="A23" s="3098"/>
      <c r="B23" s="2258" t="s">
        <v>1213</v>
      </c>
      <c r="C23" s="2259">
        <v>179081.02900000001</v>
      </c>
      <c r="D23" s="2259">
        <v>44697.368999999999</v>
      </c>
      <c r="E23" s="2259">
        <v>38056.175999999999</v>
      </c>
      <c r="F23" s="2259">
        <v>46804.22</v>
      </c>
      <c r="G23" s="2259">
        <v>29869.280999999999</v>
      </c>
      <c r="H23" s="2259">
        <v>40446.080999999998</v>
      </c>
      <c r="I23" s="2259">
        <v>19304.834999999999</v>
      </c>
      <c r="J23" s="2259">
        <v>8728.1090000000004</v>
      </c>
      <c r="K23" s="2259">
        <v>186343.71599999999</v>
      </c>
      <c r="L23" s="2259">
        <v>38271.506000000001</v>
      </c>
      <c r="M23" s="2259">
        <v>36421.968000000001</v>
      </c>
      <c r="N23" s="2259">
        <v>52884.747000000003</v>
      </c>
      <c r="O23" s="2259">
        <v>40084.805</v>
      </c>
      <c r="P23" s="2259">
        <v>33281.33</v>
      </c>
      <c r="Q23" s="2259">
        <v>71131.42</v>
      </c>
      <c r="R23" s="2259">
        <v>47860.392999999996</v>
      </c>
      <c r="S23" s="2259">
        <v>12515.207</v>
      </c>
      <c r="T23" s="2261" t="s">
        <v>171</v>
      </c>
      <c r="U23" s="2262">
        <v>925782.19200000004</v>
      </c>
      <c r="V23" s="2268"/>
      <c r="W23" s="2263"/>
    </row>
    <row r="24" spans="1:23" s="2269" customFormat="1" ht="20.45" customHeight="1">
      <c r="A24" s="3098"/>
      <c r="B24" s="2258" t="s">
        <v>1214</v>
      </c>
      <c r="C24" s="2259">
        <v>416503.90299999999</v>
      </c>
      <c r="D24" s="2259">
        <v>735434.62399999995</v>
      </c>
      <c r="E24" s="2259">
        <v>564260.84100000001</v>
      </c>
      <c r="F24" s="2259">
        <v>1133402.851</v>
      </c>
      <c r="G24" s="2259">
        <v>277038.05099999998</v>
      </c>
      <c r="H24" s="2259">
        <v>257392.24799999999</v>
      </c>
      <c r="I24" s="2259">
        <v>2557070.3330000001</v>
      </c>
      <c r="J24" s="2259">
        <v>169320.99799999999</v>
      </c>
      <c r="K24" s="2259">
        <v>6467087.4220000003</v>
      </c>
      <c r="L24" s="2259">
        <v>636471.41700000002</v>
      </c>
      <c r="M24" s="2259">
        <v>1702072.7320000001</v>
      </c>
      <c r="N24" s="2259">
        <v>3274832.892</v>
      </c>
      <c r="O24" s="2259">
        <v>984197.15</v>
      </c>
      <c r="P24" s="2259">
        <v>1939365.669</v>
      </c>
      <c r="Q24" s="2259">
        <v>2613881.608</v>
      </c>
      <c r="R24" s="2259">
        <v>1723183.3319999999</v>
      </c>
      <c r="S24" s="2259">
        <v>57662.106</v>
      </c>
      <c r="T24" s="2261">
        <v>0</v>
      </c>
      <c r="U24" s="2262">
        <v>25509178.177000001</v>
      </c>
      <c r="V24" s="2268"/>
      <c r="W24" s="2263"/>
    </row>
    <row r="25" spans="1:23" s="2269" customFormat="1" ht="20.45" customHeight="1">
      <c r="A25" s="3098"/>
      <c r="B25" s="2258" t="s">
        <v>1215</v>
      </c>
      <c r="C25" s="2259">
        <v>1916.499</v>
      </c>
      <c r="D25" s="2259">
        <v>10494.477999999999</v>
      </c>
      <c r="E25" s="2259">
        <v>7083.2920000000004</v>
      </c>
      <c r="F25" s="2259">
        <v>16442.844000000001</v>
      </c>
      <c r="G25" s="2259">
        <v>8271.9110000000001</v>
      </c>
      <c r="H25" s="2259">
        <v>3429.0940000000001</v>
      </c>
      <c r="I25" s="2259">
        <v>7206.5190000000002</v>
      </c>
      <c r="J25" s="2259">
        <v>7146.1270000000004</v>
      </c>
      <c r="K25" s="2259">
        <v>253005.538</v>
      </c>
      <c r="L25" s="2259">
        <v>62569.531999999999</v>
      </c>
      <c r="M25" s="2259">
        <v>81659.37</v>
      </c>
      <c r="N25" s="2259">
        <v>203181.01</v>
      </c>
      <c r="O25" s="2259">
        <v>183127.33</v>
      </c>
      <c r="P25" s="2259">
        <v>356159.04700000002</v>
      </c>
      <c r="Q25" s="2259">
        <v>198227.927</v>
      </c>
      <c r="R25" s="2259">
        <v>276604.766</v>
      </c>
      <c r="S25" s="2259">
        <v>120195.942</v>
      </c>
      <c r="T25" s="2261" t="s">
        <v>171</v>
      </c>
      <c r="U25" s="2262">
        <v>1796721.226</v>
      </c>
      <c r="V25" s="2268"/>
      <c r="W25" s="2263"/>
    </row>
    <row r="26" spans="1:23" s="2269" customFormat="1" ht="20.45" customHeight="1">
      <c r="A26" s="3098"/>
      <c r="B26" s="2258" t="s">
        <v>1216</v>
      </c>
      <c r="C26" s="2259">
        <v>25919.131000000001</v>
      </c>
      <c r="D26" s="2259">
        <v>15170.152</v>
      </c>
      <c r="E26" s="2259">
        <v>11954.984</v>
      </c>
      <c r="F26" s="2259">
        <v>14748.762000000001</v>
      </c>
      <c r="G26" s="2259">
        <v>7534.15</v>
      </c>
      <c r="H26" s="2259">
        <v>6804.7</v>
      </c>
      <c r="I26" s="2259">
        <v>7438.527</v>
      </c>
      <c r="J26" s="2259">
        <v>3264.933</v>
      </c>
      <c r="K26" s="2259">
        <v>77476.441999999995</v>
      </c>
      <c r="L26" s="2259">
        <v>17008.606</v>
      </c>
      <c r="M26" s="2259">
        <v>16920.594000000001</v>
      </c>
      <c r="N26" s="2259">
        <v>16458.778999999999</v>
      </c>
      <c r="O26" s="2259">
        <v>18602.620999999999</v>
      </c>
      <c r="P26" s="2259">
        <v>21429.714</v>
      </c>
      <c r="Q26" s="2259">
        <v>28224.474999999999</v>
      </c>
      <c r="R26" s="2259">
        <v>26024.66</v>
      </c>
      <c r="S26" s="2259">
        <v>4732.3639999999996</v>
      </c>
      <c r="T26" s="2261" t="s">
        <v>171</v>
      </c>
      <c r="U26" s="2262">
        <v>319713.59399999998</v>
      </c>
      <c r="V26" s="2268"/>
      <c r="W26" s="2263"/>
    </row>
    <row r="27" spans="1:23" s="2269" customFormat="1" ht="20.45" customHeight="1">
      <c r="A27" s="3098"/>
      <c r="B27" s="2258" t="s">
        <v>1217</v>
      </c>
      <c r="C27" s="2259">
        <v>18185.912</v>
      </c>
      <c r="D27" s="2259">
        <v>22188.748</v>
      </c>
      <c r="E27" s="2259">
        <v>19667.703000000001</v>
      </c>
      <c r="F27" s="2259">
        <v>23408.581999999999</v>
      </c>
      <c r="G27" s="2259">
        <v>9572.4549999999999</v>
      </c>
      <c r="H27" s="2259">
        <v>18340.491000000002</v>
      </c>
      <c r="I27" s="2259">
        <v>9278.3549999999996</v>
      </c>
      <c r="J27" s="2259">
        <v>9431.6059999999998</v>
      </c>
      <c r="K27" s="2259">
        <v>280940.38900000002</v>
      </c>
      <c r="L27" s="2259">
        <v>170308.41800000001</v>
      </c>
      <c r="M27" s="2259">
        <v>132626.033</v>
      </c>
      <c r="N27" s="2259">
        <v>141280.63200000001</v>
      </c>
      <c r="O27" s="2259">
        <v>83980.804000000004</v>
      </c>
      <c r="P27" s="2259">
        <v>54859.322</v>
      </c>
      <c r="Q27" s="2259">
        <v>118222.433</v>
      </c>
      <c r="R27" s="2259">
        <v>85956.884999999995</v>
      </c>
      <c r="S27" s="2259">
        <v>10689.412</v>
      </c>
      <c r="T27" s="2261" t="s">
        <v>171</v>
      </c>
      <c r="U27" s="2262">
        <v>1208938.18</v>
      </c>
      <c r="V27" s="2268"/>
      <c r="W27" s="2263"/>
    </row>
    <row r="28" spans="1:23" s="2269" customFormat="1" ht="20.45" customHeight="1">
      <c r="A28" s="3098"/>
      <c r="B28" s="2258" t="s">
        <v>161</v>
      </c>
      <c r="C28" s="2259">
        <v>3963699.5380000002</v>
      </c>
      <c r="D28" s="2259">
        <v>1787220.3130000001</v>
      </c>
      <c r="E28" s="2259">
        <v>1334811.679</v>
      </c>
      <c r="F28" s="2259">
        <v>2159324.3939999999</v>
      </c>
      <c r="G28" s="2259">
        <v>761414.43200000003</v>
      </c>
      <c r="H28" s="2259">
        <v>814479.72</v>
      </c>
      <c r="I28" s="2259">
        <v>2906501.8539999998</v>
      </c>
      <c r="J28" s="2259">
        <v>957934.33</v>
      </c>
      <c r="K28" s="2259">
        <v>11803945.935000001</v>
      </c>
      <c r="L28" s="2259">
        <v>1573555.0060000001</v>
      </c>
      <c r="M28" s="2259">
        <v>2506864.2349999999</v>
      </c>
      <c r="N28" s="2259">
        <v>4388778.13</v>
      </c>
      <c r="O28" s="2259">
        <v>1864342.395</v>
      </c>
      <c r="P28" s="2259">
        <v>2966245.6129999999</v>
      </c>
      <c r="Q28" s="2259">
        <v>3854200.5649999999</v>
      </c>
      <c r="R28" s="2259">
        <v>3134009.5279999999</v>
      </c>
      <c r="S28" s="2259">
        <v>473291.44799999997</v>
      </c>
      <c r="T28" s="2261">
        <v>0</v>
      </c>
      <c r="U28" s="2262">
        <v>47250619.115000002</v>
      </c>
      <c r="V28" s="2268"/>
      <c r="W28" s="2263"/>
    </row>
    <row r="29" spans="1:23" s="2269" customFormat="1" ht="20.45" customHeight="1">
      <c r="A29" s="3095" t="s">
        <v>1220</v>
      </c>
      <c r="B29" s="2264" t="s">
        <v>1211</v>
      </c>
      <c r="C29" s="2265">
        <v>1182566.8219999999</v>
      </c>
      <c r="D29" s="2265">
        <v>409442.61700000003</v>
      </c>
      <c r="E29" s="2265">
        <v>295363.79100000003</v>
      </c>
      <c r="F29" s="2265">
        <v>391865.10200000001</v>
      </c>
      <c r="G29" s="2265">
        <v>180572.86600000001</v>
      </c>
      <c r="H29" s="2265">
        <v>174536.071</v>
      </c>
      <c r="I29" s="2265">
        <v>132830.77499999999</v>
      </c>
      <c r="J29" s="2265">
        <v>50703.665000000001</v>
      </c>
      <c r="K29" s="2265">
        <v>1745729.2509999999</v>
      </c>
      <c r="L29" s="2265">
        <v>205203.682</v>
      </c>
      <c r="M29" s="2265">
        <v>206923.351</v>
      </c>
      <c r="N29" s="2265">
        <v>274829.61800000002</v>
      </c>
      <c r="O29" s="2265">
        <v>218381.571</v>
      </c>
      <c r="P29" s="2265">
        <v>221377.62700000001</v>
      </c>
      <c r="Q29" s="2265">
        <v>322932.98700000002</v>
      </c>
      <c r="R29" s="2265">
        <v>408769.93900000001</v>
      </c>
      <c r="S29" s="2265">
        <v>81739.298999999999</v>
      </c>
      <c r="T29" s="2266" t="s">
        <v>171</v>
      </c>
      <c r="U29" s="2267">
        <v>6503769.034</v>
      </c>
      <c r="V29" s="2268"/>
      <c r="W29" s="2263"/>
    </row>
    <row r="30" spans="1:23" s="2269" customFormat="1" ht="20.45" customHeight="1">
      <c r="A30" s="3096"/>
      <c r="B30" s="2264" t="s">
        <v>1212</v>
      </c>
      <c r="C30" s="2265">
        <v>2275393.4019999998</v>
      </c>
      <c r="D30" s="2265">
        <v>571607.06499999994</v>
      </c>
      <c r="E30" s="2265">
        <v>412840.94400000002</v>
      </c>
      <c r="F30" s="2265">
        <v>596815.94499999995</v>
      </c>
      <c r="G30" s="2265">
        <v>251968.761</v>
      </c>
      <c r="H30" s="2265">
        <v>329370.94900000002</v>
      </c>
      <c r="I30" s="2265">
        <v>177403.486</v>
      </c>
      <c r="J30" s="2265">
        <v>75647.634000000005</v>
      </c>
      <c r="K30" s="2265">
        <v>3056536.9780000001</v>
      </c>
      <c r="L30" s="2265">
        <v>477494.02</v>
      </c>
      <c r="M30" s="2265">
        <v>357582.05099999998</v>
      </c>
      <c r="N30" s="2265">
        <v>481028.90299999999</v>
      </c>
      <c r="O30" s="2265">
        <v>347197.81300000002</v>
      </c>
      <c r="P30" s="2265">
        <v>350004.78499999997</v>
      </c>
      <c r="Q30" s="2265">
        <v>517349.43</v>
      </c>
      <c r="R30" s="2265">
        <v>582767.06499999994</v>
      </c>
      <c r="S30" s="2265">
        <v>197454.50399999999</v>
      </c>
      <c r="T30" s="2266" t="s">
        <v>171</v>
      </c>
      <c r="U30" s="2267">
        <v>11058463.734999999</v>
      </c>
      <c r="V30" s="2268"/>
      <c r="W30" s="2263"/>
    </row>
    <row r="31" spans="1:23" s="2269" customFormat="1" ht="20.45" customHeight="1">
      <c r="A31" s="3096"/>
      <c r="B31" s="2264" t="s">
        <v>1213</v>
      </c>
      <c r="C31" s="2265">
        <v>194417.62299999999</v>
      </c>
      <c r="D31" s="2265">
        <v>47330.900999999998</v>
      </c>
      <c r="E31" s="2265">
        <v>40185.493999999999</v>
      </c>
      <c r="F31" s="2265">
        <v>55306.017</v>
      </c>
      <c r="G31" s="2265">
        <v>31159.967000000001</v>
      </c>
      <c r="H31" s="2265">
        <v>43010.957999999999</v>
      </c>
      <c r="I31" s="2265">
        <v>20420.802</v>
      </c>
      <c r="J31" s="2265">
        <v>9115.5949999999993</v>
      </c>
      <c r="K31" s="2265">
        <v>203791.94699999999</v>
      </c>
      <c r="L31" s="2265">
        <v>41011.315999999999</v>
      </c>
      <c r="M31" s="2265">
        <v>39169.648999999998</v>
      </c>
      <c r="N31" s="2265">
        <v>58021.512000000002</v>
      </c>
      <c r="O31" s="2265">
        <v>41886.284</v>
      </c>
      <c r="P31" s="2265">
        <v>34676.021999999997</v>
      </c>
      <c r="Q31" s="2265">
        <v>75841.845000000001</v>
      </c>
      <c r="R31" s="2265">
        <v>50833.372000000003</v>
      </c>
      <c r="S31" s="2265">
        <v>13327.868</v>
      </c>
      <c r="T31" s="2266" t="s">
        <v>171</v>
      </c>
      <c r="U31" s="2267">
        <v>999507.17200000002</v>
      </c>
      <c r="V31" s="2268"/>
      <c r="W31" s="2263"/>
    </row>
    <row r="32" spans="1:23" s="2269" customFormat="1" ht="20.45" customHeight="1">
      <c r="A32" s="3096"/>
      <c r="B32" s="2264" t="s">
        <v>1214</v>
      </c>
      <c r="C32" s="2265">
        <v>409085.11700000003</v>
      </c>
      <c r="D32" s="2265">
        <v>699301.43599999999</v>
      </c>
      <c r="E32" s="2265">
        <v>568767.72900000005</v>
      </c>
      <c r="F32" s="2265">
        <v>1118943.3089999999</v>
      </c>
      <c r="G32" s="2265">
        <v>256259.48300000001</v>
      </c>
      <c r="H32" s="2265">
        <v>264850.98499999999</v>
      </c>
      <c r="I32" s="2265">
        <v>2401801.7370000002</v>
      </c>
      <c r="J32" s="2265">
        <v>176017.02600000001</v>
      </c>
      <c r="K32" s="2265">
        <v>6600055.6890000002</v>
      </c>
      <c r="L32" s="2265">
        <v>602523.39399999997</v>
      </c>
      <c r="M32" s="2265">
        <v>1751441.5190000001</v>
      </c>
      <c r="N32" s="2265">
        <v>3147471.6120000002</v>
      </c>
      <c r="O32" s="2265">
        <v>984214.30299999996</v>
      </c>
      <c r="P32" s="2265">
        <v>1955216.8160000001</v>
      </c>
      <c r="Q32" s="2265">
        <v>2404195.1809999999</v>
      </c>
      <c r="R32" s="2265">
        <v>1722056.0689999999</v>
      </c>
      <c r="S32" s="2265">
        <v>57011.586000000003</v>
      </c>
      <c r="T32" s="2266" t="s">
        <v>171</v>
      </c>
      <c r="U32" s="2267">
        <v>25119212.991</v>
      </c>
      <c r="V32" s="2268"/>
      <c r="W32" s="2263"/>
    </row>
    <row r="33" spans="1:23" s="2269" customFormat="1" ht="20.45" customHeight="1">
      <c r="A33" s="3096"/>
      <c r="B33" s="2264" t="s">
        <v>1215</v>
      </c>
      <c r="C33" s="2265">
        <v>1834.989</v>
      </c>
      <c r="D33" s="2265">
        <v>10094.303</v>
      </c>
      <c r="E33" s="2265">
        <v>7080.5919999999996</v>
      </c>
      <c r="F33" s="2265">
        <v>16135.768</v>
      </c>
      <c r="G33" s="2265">
        <v>8624.11</v>
      </c>
      <c r="H33" s="2265">
        <v>3591.433</v>
      </c>
      <c r="I33" s="2265">
        <v>7127.22</v>
      </c>
      <c r="J33" s="2265">
        <v>6996.8280000000004</v>
      </c>
      <c r="K33" s="2265">
        <v>256674.49799999999</v>
      </c>
      <c r="L33" s="2265">
        <v>63698.404999999999</v>
      </c>
      <c r="M33" s="2265">
        <v>84706.684999999998</v>
      </c>
      <c r="N33" s="2265">
        <v>208598.79699999999</v>
      </c>
      <c r="O33" s="2265">
        <v>192908.386</v>
      </c>
      <c r="P33" s="2265">
        <v>336704.74</v>
      </c>
      <c r="Q33" s="2265">
        <v>205102.834</v>
      </c>
      <c r="R33" s="2265">
        <v>267021.86099999998</v>
      </c>
      <c r="S33" s="2265">
        <v>122753.065</v>
      </c>
      <c r="T33" s="2266" t="s">
        <v>171</v>
      </c>
      <c r="U33" s="2267">
        <v>1799654.514</v>
      </c>
      <c r="V33" s="2268"/>
      <c r="W33" s="2263"/>
    </row>
    <row r="34" spans="1:23" s="2269" customFormat="1" ht="20.45" customHeight="1">
      <c r="A34" s="3096"/>
      <c r="B34" s="2264" t="s">
        <v>1216</v>
      </c>
      <c r="C34" s="2265">
        <v>25002.751</v>
      </c>
      <c r="D34" s="2265">
        <v>14661.267</v>
      </c>
      <c r="E34" s="2265">
        <v>12037.35</v>
      </c>
      <c r="F34" s="2265">
        <v>15083.633</v>
      </c>
      <c r="G34" s="2265">
        <v>7316.9369999999999</v>
      </c>
      <c r="H34" s="2265">
        <v>6721.8779999999997</v>
      </c>
      <c r="I34" s="2265">
        <v>7409.9030000000002</v>
      </c>
      <c r="J34" s="2265">
        <v>3764.2280000000001</v>
      </c>
      <c r="K34" s="2265">
        <v>77464.705000000002</v>
      </c>
      <c r="L34" s="2265">
        <v>16877.044000000002</v>
      </c>
      <c r="M34" s="2265">
        <v>16796.710999999999</v>
      </c>
      <c r="N34" s="2265">
        <v>16788.825000000001</v>
      </c>
      <c r="O34" s="2265">
        <v>18584.923999999999</v>
      </c>
      <c r="P34" s="2265">
        <v>21855.829000000002</v>
      </c>
      <c r="Q34" s="2265">
        <v>27855.002</v>
      </c>
      <c r="R34" s="2265">
        <v>26506.241999999998</v>
      </c>
      <c r="S34" s="2265">
        <v>4568.1379999999999</v>
      </c>
      <c r="T34" s="2266" t="s">
        <v>171</v>
      </c>
      <c r="U34" s="2267">
        <v>319295.36700000003</v>
      </c>
      <c r="V34" s="2268"/>
      <c r="W34" s="2263"/>
    </row>
    <row r="35" spans="1:23" s="2269" customFormat="1" ht="20.45" customHeight="1">
      <c r="A35" s="3096"/>
      <c r="B35" s="2264" t="s">
        <v>1217</v>
      </c>
      <c r="C35" s="2265">
        <v>18550.189999999999</v>
      </c>
      <c r="D35" s="2265">
        <v>19344.741999999998</v>
      </c>
      <c r="E35" s="2265">
        <v>17464.830000000002</v>
      </c>
      <c r="F35" s="2265">
        <v>21298.145</v>
      </c>
      <c r="G35" s="2265">
        <v>8466.2990000000009</v>
      </c>
      <c r="H35" s="2265">
        <v>16476.419999999998</v>
      </c>
      <c r="I35" s="2265">
        <v>7982.9059999999999</v>
      </c>
      <c r="J35" s="2265">
        <v>9199.8080000000009</v>
      </c>
      <c r="K35" s="2265">
        <v>260845.60399999999</v>
      </c>
      <c r="L35" s="2265">
        <v>162300.451</v>
      </c>
      <c r="M35" s="2265">
        <v>127895.526</v>
      </c>
      <c r="N35" s="2265">
        <v>133729.08300000001</v>
      </c>
      <c r="O35" s="2265">
        <v>77846.979000000007</v>
      </c>
      <c r="P35" s="2265">
        <v>49743.872000000003</v>
      </c>
      <c r="Q35" s="2265">
        <v>110497.341</v>
      </c>
      <c r="R35" s="2265">
        <v>76996.164000000004</v>
      </c>
      <c r="S35" s="2265">
        <v>9368.2469999999994</v>
      </c>
      <c r="T35" s="2266" t="s">
        <v>171</v>
      </c>
      <c r="U35" s="2267">
        <v>1128006.6070000001</v>
      </c>
      <c r="V35" s="2268"/>
      <c r="W35" s="2263"/>
    </row>
    <row r="36" spans="1:23" s="2269" customFormat="1" ht="20.45" customHeight="1">
      <c r="A36" s="3099"/>
      <c r="B36" s="2273" t="s">
        <v>161</v>
      </c>
      <c r="C36" s="2274">
        <v>4106850.8939999999</v>
      </c>
      <c r="D36" s="2274">
        <v>1771782.331</v>
      </c>
      <c r="E36" s="2274">
        <v>1353740.73</v>
      </c>
      <c r="F36" s="2274">
        <v>2215447.9190000002</v>
      </c>
      <c r="G36" s="2274">
        <v>744368.42299999995</v>
      </c>
      <c r="H36" s="2274">
        <v>838558.69400000002</v>
      </c>
      <c r="I36" s="2274">
        <v>2754976.8289999999</v>
      </c>
      <c r="J36" s="2274">
        <v>331444.78399999999</v>
      </c>
      <c r="K36" s="2274">
        <v>12201098.672</v>
      </c>
      <c r="L36" s="2274">
        <v>1569108.3119999999</v>
      </c>
      <c r="M36" s="2274">
        <v>2584515.4920000001</v>
      </c>
      <c r="N36" s="2274">
        <v>4320468.3499999996</v>
      </c>
      <c r="O36" s="2274">
        <v>1881020.26</v>
      </c>
      <c r="P36" s="2274">
        <v>2969579.6910000001</v>
      </c>
      <c r="Q36" s="2274">
        <v>3663774.62</v>
      </c>
      <c r="R36" s="2274">
        <v>3134950.7119999998</v>
      </c>
      <c r="S36" s="2274">
        <v>486222.70699999999</v>
      </c>
      <c r="T36" s="2275" t="s">
        <v>171</v>
      </c>
      <c r="U36" s="2276">
        <v>46927909.420000002</v>
      </c>
      <c r="V36" s="2268"/>
      <c r="W36" s="2263"/>
    </row>
    <row r="37" spans="1:23" ht="8.1" customHeight="1">
      <c r="A37" s="1949"/>
      <c r="B37" s="631"/>
      <c r="C37" s="631"/>
      <c r="D37" s="631"/>
      <c r="E37" s="631"/>
      <c r="F37" s="631"/>
      <c r="G37" s="631"/>
      <c r="H37" s="631"/>
      <c r="I37" s="631"/>
      <c r="J37" s="631"/>
      <c r="K37" s="631"/>
      <c r="L37" s="631"/>
      <c r="M37" s="631"/>
      <c r="N37" s="631"/>
      <c r="O37" s="631"/>
      <c r="P37" s="631"/>
      <c r="Q37" s="631"/>
      <c r="R37" s="631"/>
      <c r="S37" s="631"/>
      <c r="T37" s="631"/>
      <c r="U37" s="631"/>
    </row>
    <row r="38" spans="1:23" s="309" customFormat="1" ht="12.75" customHeight="1">
      <c r="A38" s="631"/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</row>
    <row r="39" spans="1:23">
      <c r="A39" s="631"/>
      <c r="B39" s="631"/>
      <c r="C39" s="631"/>
      <c r="D39" s="631"/>
      <c r="E39" s="631"/>
      <c r="F39" s="631"/>
      <c r="G39" s="631"/>
      <c r="H39" s="631"/>
      <c r="I39" s="631"/>
      <c r="J39" s="631"/>
      <c r="K39" s="631"/>
      <c r="L39" s="631"/>
      <c r="M39" s="631"/>
      <c r="N39" s="631"/>
      <c r="O39" s="631"/>
      <c r="P39" s="631"/>
      <c r="Q39" s="631"/>
      <c r="R39" s="631"/>
      <c r="S39" s="631"/>
      <c r="T39" s="631"/>
      <c r="U39" s="636"/>
    </row>
    <row r="40" spans="1:23">
      <c r="C40" s="2126"/>
    </row>
  </sheetData>
  <mergeCells count="5">
    <mergeCell ref="A4:B4"/>
    <mergeCell ref="A5:A12"/>
    <mergeCell ref="A13:A20"/>
    <mergeCell ref="A21:A28"/>
    <mergeCell ref="A29:A36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80" firstPageNumber="68" orientation="portrait" useFirstPageNumber="1" r:id="rId1"/>
  <headerFooter differentOddEven="1" scaleWithDoc="0" alignWithMargins="0"/>
  <colBreaks count="1" manualBreakCount="1">
    <brk id="10" max="37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showGridLines="0" view="pageBreakPreview" zoomScale="70" zoomScaleNormal="100" zoomScaleSheetLayoutView="70" workbookViewId="0">
      <pane xSplit="2" ySplit="4" topLeftCell="C5" activePane="bottomRight" state="frozen"/>
      <selection pane="topRight"/>
      <selection pane="bottomLeft"/>
      <selection pane="bottomRight" activeCell="B1" sqref="B1"/>
    </sheetView>
  </sheetViews>
  <sheetFormatPr defaultColWidth="9" defaultRowHeight="16.5"/>
  <cols>
    <col min="1" max="1" width="4.5" style="309" customWidth="1"/>
    <col min="2" max="2" width="12.375" style="1280" customWidth="1"/>
    <col min="3" max="8" width="12.125" style="1280" customWidth="1"/>
    <col min="9" max="15" width="12.75" style="1280" customWidth="1"/>
    <col min="16" max="16384" width="9" style="1280"/>
  </cols>
  <sheetData>
    <row r="1" spans="1:15" ht="20.25">
      <c r="A1" s="1946" t="s">
        <v>1221</v>
      </c>
    </row>
    <row r="2" spans="1:15" s="1947" customFormat="1" ht="17.25">
      <c r="A2" s="1947" t="s">
        <v>1222</v>
      </c>
    </row>
    <row r="3" spans="1:15" ht="15" customHeight="1">
      <c r="B3" s="307"/>
      <c r="E3" s="2253"/>
      <c r="I3" s="2277"/>
      <c r="J3" s="2277"/>
      <c r="K3" s="2277"/>
      <c r="L3" s="2277"/>
      <c r="M3" s="2277"/>
      <c r="N3" s="2277"/>
      <c r="O3" s="2277" t="s">
        <v>827</v>
      </c>
    </row>
    <row r="4" spans="1:15" s="307" customFormat="1" ht="21" customHeight="1">
      <c r="A4" s="3102" t="s">
        <v>1206</v>
      </c>
      <c r="B4" s="3103"/>
      <c r="C4" s="2278">
        <v>2021.12</v>
      </c>
      <c r="D4" s="2279">
        <v>2022.01</v>
      </c>
      <c r="E4" s="2280">
        <v>2022.02</v>
      </c>
      <c r="F4" s="2279">
        <v>2022.03</v>
      </c>
      <c r="G4" s="2281">
        <v>2022.04</v>
      </c>
      <c r="H4" s="2282">
        <v>2022.05</v>
      </c>
      <c r="I4" s="2279">
        <v>2022.06</v>
      </c>
      <c r="J4" s="2280">
        <v>2022.07</v>
      </c>
      <c r="K4" s="2278">
        <v>2022.08</v>
      </c>
      <c r="L4" s="2278">
        <v>2022.09</v>
      </c>
      <c r="M4" s="2278">
        <v>2022.1</v>
      </c>
      <c r="N4" s="2279">
        <v>2022.11</v>
      </c>
      <c r="O4" s="2283">
        <v>2022.12</v>
      </c>
    </row>
    <row r="5" spans="1:15" s="2287" customFormat="1" ht="21" customHeight="1">
      <c r="A5" s="3104" t="s">
        <v>1223</v>
      </c>
      <c r="B5" s="3105"/>
      <c r="C5" s="2284">
        <v>6218111.9620000003</v>
      </c>
      <c r="D5" s="2285">
        <v>6859670.5990000004</v>
      </c>
      <c r="E5" s="2284">
        <v>6832512.4340000004</v>
      </c>
      <c r="F5" s="2285">
        <v>6026908.5499999998</v>
      </c>
      <c r="G5" s="2284">
        <v>6097476.0669999998</v>
      </c>
      <c r="H5" s="2285">
        <v>5606725</v>
      </c>
      <c r="I5" s="2285">
        <v>5810424.5829999996</v>
      </c>
      <c r="J5" s="2284">
        <v>7335045.3090000004</v>
      </c>
      <c r="K5" s="2284">
        <v>8720534.5610000007</v>
      </c>
      <c r="L5" s="2284">
        <v>7184446.7649999997</v>
      </c>
      <c r="M5" s="2284">
        <v>5863994.477</v>
      </c>
      <c r="N5" s="2285">
        <v>5922540.5760000004</v>
      </c>
      <c r="O5" s="2286">
        <v>6297175.2740000002</v>
      </c>
    </row>
    <row r="6" spans="1:15" s="309" customFormat="1" ht="21" customHeight="1">
      <c r="A6" s="3106" t="s">
        <v>1224</v>
      </c>
      <c r="B6" s="3107"/>
      <c r="C6" s="2288">
        <v>2385002.2540000002</v>
      </c>
      <c r="D6" s="2289">
        <v>2639207.1379999998</v>
      </c>
      <c r="E6" s="2288">
        <v>2404998.8110000002</v>
      </c>
      <c r="F6" s="2289">
        <v>2243266.2069999999</v>
      </c>
      <c r="G6" s="2288">
        <v>1994621.0959999999</v>
      </c>
      <c r="H6" s="2289">
        <v>1774475.2069999999</v>
      </c>
      <c r="I6" s="2289">
        <v>1917742.8959999999</v>
      </c>
      <c r="J6" s="2288">
        <v>2256068.0099999998</v>
      </c>
      <c r="K6" s="2288">
        <v>2239078.733</v>
      </c>
      <c r="L6" s="2288">
        <v>2063355.919</v>
      </c>
      <c r="M6" s="2288">
        <v>1849955.3130000001</v>
      </c>
      <c r="N6" s="2289">
        <v>1958715.138</v>
      </c>
      <c r="O6" s="2290">
        <v>2548076.537</v>
      </c>
    </row>
    <row r="7" spans="1:15" s="309" customFormat="1" ht="21" customHeight="1">
      <c r="A7" s="3106" t="s">
        <v>1225</v>
      </c>
      <c r="B7" s="3107"/>
      <c r="C7" s="2288">
        <v>13799958.691</v>
      </c>
      <c r="D7" s="2289">
        <v>14629330.888</v>
      </c>
      <c r="E7" s="2288">
        <v>14854224.221999999</v>
      </c>
      <c r="F7" s="2289">
        <v>12751919.351</v>
      </c>
      <c r="G7" s="2288">
        <v>11893989.539999999</v>
      </c>
      <c r="H7" s="2289">
        <v>11216679.219000001</v>
      </c>
      <c r="I7" s="2289">
        <v>11998553.218</v>
      </c>
      <c r="J7" s="2288">
        <v>13733082.103</v>
      </c>
      <c r="K7" s="2288">
        <v>14682018.634</v>
      </c>
      <c r="L7" s="2288">
        <v>12992044.493000001</v>
      </c>
      <c r="M7" s="2288">
        <v>11477215.921</v>
      </c>
      <c r="N7" s="2289">
        <v>11602313.932</v>
      </c>
      <c r="O7" s="2290">
        <v>13717065.85</v>
      </c>
    </row>
    <row r="8" spans="1:15" s="2287" customFormat="1" ht="21" customHeight="1">
      <c r="A8" s="3106" t="s">
        <v>1226</v>
      </c>
      <c r="B8" s="3107"/>
      <c r="C8" s="2288">
        <v>1612623.1329999999</v>
      </c>
      <c r="D8" s="2289">
        <v>1948983.9040000001</v>
      </c>
      <c r="E8" s="2288">
        <v>1969215.666</v>
      </c>
      <c r="F8" s="2289">
        <v>1677624.834</v>
      </c>
      <c r="G8" s="2288">
        <v>1476160.595</v>
      </c>
      <c r="H8" s="2289">
        <v>1314338.301</v>
      </c>
      <c r="I8" s="2289">
        <v>1430044.2350000001</v>
      </c>
      <c r="J8" s="2288">
        <v>1455903.9369999999</v>
      </c>
      <c r="K8" s="2288">
        <v>1714459.0959999999</v>
      </c>
      <c r="L8" s="2288">
        <v>1591057.996</v>
      </c>
      <c r="M8" s="2288">
        <v>1301180.996</v>
      </c>
      <c r="N8" s="2289">
        <v>1781885.817</v>
      </c>
      <c r="O8" s="2290">
        <v>1624789.892</v>
      </c>
    </row>
    <row r="9" spans="1:15" s="2287" customFormat="1" ht="21" customHeight="1">
      <c r="A9" s="3108" t="s">
        <v>1227</v>
      </c>
      <c r="B9" s="3109"/>
      <c r="C9" s="2291">
        <v>166186.45699999999</v>
      </c>
      <c r="D9" s="2292">
        <v>158433.101</v>
      </c>
      <c r="E9" s="2291">
        <v>140167.58100000001</v>
      </c>
      <c r="F9" s="2292">
        <v>153160.22399999999</v>
      </c>
      <c r="G9" s="2291">
        <v>152036.68100000001</v>
      </c>
      <c r="H9" s="2292">
        <v>145967.48800000001</v>
      </c>
      <c r="I9" s="2292">
        <v>141016.27900000001</v>
      </c>
      <c r="J9" s="2291">
        <v>141919.90299999999</v>
      </c>
      <c r="K9" s="2291">
        <v>137370.52299999999</v>
      </c>
      <c r="L9" s="2291">
        <v>134902.39799999999</v>
      </c>
      <c r="M9" s="2291">
        <v>143732.378</v>
      </c>
      <c r="N9" s="2292">
        <v>156062.51500000001</v>
      </c>
      <c r="O9" s="2293">
        <v>154302.12700000001</v>
      </c>
    </row>
    <row r="10" spans="1:15" s="309" customFormat="1" ht="21" customHeight="1">
      <c r="A10" s="2294"/>
      <c r="B10" s="2295" t="s">
        <v>1228</v>
      </c>
      <c r="C10" s="2296">
        <v>23068736.618000001</v>
      </c>
      <c r="D10" s="2093">
        <v>23566593.057</v>
      </c>
      <c r="E10" s="2296">
        <v>21340352.554000001</v>
      </c>
      <c r="F10" s="2093">
        <v>22983927.333000001</v>
      </c>
      <c r="G10" s="2296">
        <v>22143996.471000001</v>
      </c>
      <c r="H10" s="2093">
        <v>22146808.791000001</v>
      </c>
      <c r="I10" s="2093">
        <v>21717279.489999998</v>
      </c>
      <c r="J10" s="2296">
        <v>23611107.186000001</v>
      </c>
      <c r="K10" s="2296">
        <v>22668604.723000001</v>
      </c>
      <c r="L10" s="2296">
        <v>21350987.899999999</v>
      </c>
      <c r="M10" s="2296">
        <v>21706845.719999999</v>
      </c>
      <c r="N10" s="2093">
        <v>21069570.210000001</v>
      </c>
      <c r="O10" s="2297">
        <v>22586499.739999998</v>
      </c>
    </row>
    <row r="11" spans="1:15" s="631" customFormat="1" ht="20.100000000000001" customHeight="1">
      <c r="A11" s="2294"/>
      <c r="B11" s="2298" t="s">
        <v>1229</v>
      </c>
      <c r="C11" s="2288">
        <v>1024457.182</v>
      </c>
      <c r="D11" s="2289">
        <v>1072751.2679999999</v>
      </c>
      <c r="E11" s="2288">
        <v>999412.10800000001</v>
      </c>
      <c r="F11" s="2289">
        <v>1010136.053</v>
      </c>
      <c r="G11" s="2288">
        <v>1007816.501</v>
      </c>
      <c r="H11" s="2289">
        <v>983827.05200000003</v>
      </c>
      <c r="I11" s="2289">
        <v>1027749.736</v>
      </c>
      <c r="J11" s="2288">
        <v>1124176.3959999999</v>
      </c>
      <c r="K11" s="2288">
        <v>1140794.8799999999</v>
      </c>
      <c r="L11" s="2288">
        <v>1056864.9369999999</v>
      </c>
      <c r="M11" s="2288">
        <v>990655.71299999999</v>
      </c>
      <c r="N11" s="2289">
        <v>1001924.044</v>
      </c>
      <c r="O11" s="2290">
        <v>1005639.29</v>
      </c>
    </row>
    <row r="12" spans="1:15" s="309" customFormat="1" ht="20.100000000000001" customHeight="1">
      <c r="A12" s="2294"/>
      <c r="B12" s="2298" t="s">
        <v>1230</v>
      </c>
      <c r="C12" s="2288">
        <v>98068.457999999999</v>
      </c>
      <c r="D12" s="2289">
        <v>98980.38</v>
      </c>
      <c r="E12" s="2288">
        <v>89885.864000000001</v>
      </c>
      <c r="F12" s="2289">
        <v>98615.785999999993</v>
      </c>
      <c r="G12" s="2288">
        <v>100431.567</v>
      </c>
      <c r="H12" s="2289">
        <v>103721.663</v>
      </c>
      <c r="I12" s="2289">
        <v>116882.571</v>
      </c>
      <c r="J12" s="2288">
        <v>128468.98299999999</v>
      </c>
      <c r="K12" s="2288">
        <v>126902.63400000001</v>
      </c>
      <c r="L12" s="2288">
        <v>112224.193</v>
      </c>
      <c r="M12" s="2288">
        <v>106212.117</v>
      </c>
      <c r="N12" s="2289">
        <v>100621.027</v>
      </c>
      <c r="O12" s="2290">
        <v>101247.337</v>
      </c>
    </row>
    <row r="13" spans="1:15" s="631" customFormat="1" ht="20.100000000000001" customHeight="1">
      <c r="A13" s="2294"/>
      <c r="B13" s="2298" t="s">
        <v>1231</v>
      </c>
      <c r="C13" s="2288">
        <v>14487.547</v>
      </c>
      <c r="D13" s="2289">
        <v>15820.412</v>
      </c>
      <c r="E13" s="2288">
        <v>13686.016</v>
      </c>
      <c r="F13" s="2289">
        <v>15490.061</v>
      </c>
      <c r="G13" s="2288">
        <v>15612.665000000001</v>
      </c>
      <c r="H13" s="2289">
        <v>16166.257</v>
      </c>
      <c r="I13" s="2289">
        <v>18486.913</v>
      </c>
      <c r="J13" s="2288">
        <v>20791.530999999999</v>
      </c>
      <c r="K13" s="2288">
        <v>19584.61</v>
      </c>
      <c r="L13" s="2288">
        <v>17414.689999999999</v>
      </c>
      <c r="M13" s="2288">
        <v>16309.859</v>
      </c>
      <c r="N13" s="2289">
        <v>16929.995999999999</v>
      </c>
      <c r="O13" s="2290">
        <v>15437.607</v>
      </c>
    </row>
    <row r="14" spans="1:15" s="309" customFormat="1" ht="20.100000000000001" customHeight="1">
      <c r="A14" s="2294" t="s">
        <v>1232</v>
      </c>
      <c r="B14" s="2298" t="s">
        <v>1233</v>
      </c>
      <c r="C14" s="2288">
        <v>707824.95700000005</v>
      </c>
      <c r="D14" s="2289">
        <v>731084.23100000003</v>
      </c>
      <c r="E14" s="2288">
        <v>658997.09299999999</v>
      </c>
      <c r="F14" s="2289">
        <v>684074.39099999995</v>
      </c>
      <c r="G14" s="2288">
        <v>677286.40899999999</v>
      </c>
      <c r="H14" s="2289">
        <v>659620.17500000005</v>
      </c>
      <c r="I14" s="2289">
        <v>647697.07900000003</v>
      </c>
      <c r="J14" s="2288">
        <v>670352.82400000002</v>
      </c>
      <c r="K14" s="2288">
        <v>636881.30299999996</v>
      </c>
      <c r="L14" s="2288">
        <v>603559.61600000004</v>
      </c>
      <c r="M14" s="2288">
        <v>607059.08600000001</v>
      </c>
      <c r="N14" s="2289">
        <v>603829.38699999999</v>
      </c>
      <c r="O14" s="2290">
        <v>616519.17599999998</v>
      </c>
    </row>
    <row r="15" spans="1:15" s="309" customFormat="1" ht="20.100000000000001" customHeight="1">
      <c r="A15" s="2294"/>
      <c r="B15" s="2298" t="s">
        <v>1234</v>
      </c>
      <c r="C15" s="2288">
        <v>50662.071000000004</v>
      </c>
      <c r="D15" s="2289">
        <v>57926.038</v>
      </c>
      <c r="E15" s="2288">
        <v>56307.095000000001</v>
      </c>
      <c r="F15" s="2289">
        <v>52161.866999999998</v>
      </c>
      <c r="G15" s="2288">
        <v>48696.629000000001</v>
      </c>
      <c r="H15" s="2289">
        <v>43781.341</v>
      </c>
      <c r="I15" s="2289">
        <v>45942.038999999997</v>
      </c>
      <c r="J15" s="2288">
        <v>51628.279000000002</v>
      </c>
      <c r="K15" s="2288">
        <v>53317.91</v>
      </c>
      <c r="L15" s="2288">
        <v>48749.557000000001</v>
      </c>
      <c r="M15" s="2288">
        <v>43589.103000000003</v>
      </c>
      <c r="N15" s="2289">
        <v>44847.038999999997</v>
      </c>
      <c r="O15" s="2290">
        <v>49419.159</v>
      </c>
    </row>
    <row r="16" spans="1:15" s="309" customFormat="1" ht="20.100000000000001" customHeight="1">
      <c r="A16" s="2294"/>
      <c r="B16" s="2298" t="s">
        <v>1235</v>
      </c>
      <c r="C16" s="2288">
        <v>42712.65</v>
      </c>
      <c r="D16" s="2289">
        <v>46253.063000000002</v>
      </c>
      <c r="E16" s="2288">
        <v>42807.453999999998</v>
      </c>
      <c r="F16" s="2289">
        <v>41168.608</v>
      </c>
      <c r="G16" s="2288">
        <v>38967.93</v>
      </c>
      <c r="H16" s="2289">
        <v>35785.963000000003</v>
      </c>
      <c r="I16" s="2289">
        <v>36210.434000000001</v>
      </c>
      <c r="J16" s="2288">
        <v>38450.805</v>
      </c>
      <c r="K16" s="2288">
        <v>37175.044000000002</v>
      </c>
      <c r="L16" s="2288">
        <v>35469.213000000003</v>
      </c>
      <c r="M16" s="2288">
        <v>34202.661999999997</v>
      </c>
      <c r="N16" s="2289">
        <v>37004.35</v>
      </c>
      <c r="O16" s="2290">
        <v>41179.078000000001</v>
      </c>
    </row>
    <row r="17" spans="1:15" s="309" customFormat="1" ht="20.100000000000001" customHeight="1">
      <c r="A17" s="2294"/>
      <c r="B17" s="2298" t="s">
        <v>1236</v>
      </c>
      <c r="C17" s="2288">
        <v>158843.32999999999</v>
      </c>
      <c r="D17" s="2289">
        <v>166865.63</v>
      </c>
      <c r="E17" s="2288">
        <v>154118.59099999999</v>
      </c>
      <c r="F17" s="2289">
        <v>155122.073</v>
      </c>
      <c r="G17" s="2288">
        <v>149685.59599999999</v>
      </c>
      <c r="H17" s="2289">
        <v>144132.91500000001</v>
      </c>
      <c r="I17" s="2289">
        <v>134328.58900000001</v>
      </c>
      <c r="J17" s="2288">
        <v>141167.09599999999</v>
      </c>
      <c r="K17" s="2288">
        <v>139872.39000000001</v>
      </c>
      <c r="L17" s="2288">
        <v>133781.28700000001</v>
      </c>
      <c r="M17" s="2288">
        <v>136497.29199999999</v>
      </c>
      <c r="N17" s="2289">
        <v>142546.36499999999</v>
      </c>
      <c r="O17" s="2290">
        <v>156282.52499999999</v>
      </c>
    </row>
    <row r="18" spans="1:15" s="631" customFormat="1" ht="20.100000000000001" customHeight="1">
      <c r="A18" s="2294"/>
      <c r="B18" s="2298" t="s">
        <v>1237</v>
      </c>
      <c r="C18" s="2288">
        <v>702055.58600000001</v>
      </c>
      <c r="D18" s="2289">
        <v>721470.005</v>
      </c>
      <c r="E18" s="2288">
        <v>657082.44099999999</v>
      </c>
      <c r="F18" s="2289">
        <v>699501.91299999994</v>
      </c>
      <c r="G18" s="2288">
        <v>662500.76500000001</v>
      </c>
      <c r="H18" s="2289">
        <v>671248.45799999998</v>
      </c>
      <c r="I18" s="2289">
        <v>650357.95700000005</v>
      </c>
      <c r="J18" s="2288">
        <v>681053.20499999996</v>
      </c>
      <c r="K18" s="2288">
        <v>660065.10499999998</v>
      </c>
      <c r="L18" s="2288">
        <v>621180.43500000006</v>
      </c>
      <c r="M18" s="2288">
        <v>657551.69499999995</v>
      </c>
      <c r="N18" s="2289">
        <v>652666.723</v>
      </c>
      <c r="O18" s="2290">
        <v>675472.28700000001</v>
      </c>
    </row>
    <row r="19" spans="1:15" s="631" customFormat="1" ht="20.100000000000001" customHeight="1">
      <c r="A19" s="2294"/>
      <c r="B19" s="2298" t="s">
        <v>1238</v>
      </c>
      <c r="C19" s="2288">
        <v>110224.087</v>
      </c>
      <c r="D19" s="2289">
        <v>122400.539</v>
      </c>
      <c r="E19" s="2288">
        <v>112352.859</v>
      </c>
      <c r="F19" s="2289">
        <v>103970.40399999999</v>
      </c>
      <c r="G19" s="2288">
        <v>95690.502999999997</v>
      </c>
      <c r="H19" s="2289">
        <v>86826.433000000005</v>
      </c>
      <c r="I19" s="2289">
        <v>90714.112999999998</v>
      </c>
      <c r="J19" s="2288">
        <v>100388.99099999999</v>
      </c>
      <c r="K19" s="2288">
        <v>95953.226999999999</v>
      </c>
      <c r="L19" s="2288">
        <v>94692.801999999996</v>
      </c>
      <c r="M19" s="2288">
        <v>84919.785000000003</v>
      </c>
      <c r="N19" s="2289">
        <v>92618.975999999995</v>
      </c>
      <c r="O19" s="2290">
        <v>104854.33100000001</v>
      </c>
    </row>
    <row r="20" spans="1:15" s="309" customFormat="1" ht="20.100000000000001" customHeight="1">
      <c r="A20" s="2294"/>
      <c r="B20" s="2298" t="s">
        <v>1239</v>
      </c>
      <c r="C20" s="2288">
        <v>1269909.4169999999</v>
      </c>
      <c r="D20" s="2289">
        <v>1193892.0719999999</v>
      </c>
      <c r="E20" s="2288">
        <v>1144577.7849999999</v>
      </c>
      <c r="F20" s="2289">
        <v>1248194.0719999999</v>
      </c>
      <c r="G20" s="2288">
        <v>1148032.246</v>
      </c>
      <c r="H20" s="2289">
        <v>1118074.0660000001</v>
      </c>
      <c r="I20" s="2289">
        <v>1072377.953</v>
      </c>
      <c r="J20" s="2288">
        <v>1221211.5249999999</v>
      </c>
      <c r="K20" s="2288">
        <v>1205594.889</v>
      </c>
      <c r="L20" s="2288">
        <v>1111252.9569999999</v>
      </c>
      <c r="M20" s="2288">
        <v>1159619.2709999999</v>
      </c>
      <c r="N20" s="2289">
        <v>1176352.7930000001</v>
      </c>
      <c r="O20" s="2290">
        <v>1238414.3049999999</v>
      </c>
    </row>
    <row r="21" spans="1:15" s="631" customFormat="1" ht="20.100000000000001" customHeight="1">
      <c r="A21" s="2294" t="s">
        <v>1240</v>
      </c>
      <c r="B21" s="2298" t="s">
        <v>1241</v>
      </c>
      <c r="C21" s="2288">
        <v>3591806.0589999999</v>
      </c>
      <c r="D21" s="2289">
        <v>3663549.9580000001</v>
      </c>
      <c r="E21" s="2288">
        <v>3281029.2930000001</v>
      </c>
      <c r="F21" s="2289">
        <v>3576719.358</v>
      </c>
      <c r="G21" s="2288">
        <v>3420809.1510000001</v>
      </c>
      <c r="H21" s="2289">
        <v>3443794.9789999998</v>
      </c>
      <c r="I21" s="2289">
        <v>3432351.676</v>
      </c>
      <c r="J21" s="2288">
        <v>3637275.1129999999</v>
      </c>
      <c r="K21" s="2288">
        <v>3579981.8119999999</v>
      </c>
      <c r="L21" s="2288">
        <v>3300301.7659999998</v>
      </c>
      <c r="M21" s="2288">
        <v>3389527.0959999999</v>
      </c>
      <c r="N21" s="2289">
        <v>2762318.0819999999</v>
      </c>
      <c r="O21" s="2290">
        <v>3496781.6009999998</v>
      </c>
    </row>
    <row r="22" spans="1:15" s="631" customFormat="1" ht="20.100000000000001" customHeight="1">
      <c r="A22" s="2294"/>
      <c r="B22" s="2298" t="s">
        <v>1242</v>
      </c>
      <c r="C22" s="2288">
        <v>216829.60200000001</v>
      </c>
      <c r="D22" s="2289">
        <v>217615.68299999999</v>
      </c>
      <c r="E22" s="2288">
        <v>199076.63200000001</v>
      </c>
      <c r="F22" s="2289">
        <v>215321.87299999999</v>
      </c>
      <c r="G22" s="2288">
        <v>220010.93</v>
      </c>
      <c r="H22" s="2289">
        <v>237769.76300000001</v>
      </c>
      <c r="I22" s="2289">
        <v>269296.91700000002</v>
      </c>
      <c r="J22" s="2288">
        <v>311868.80300000001</v>
      </c>
      <c r="K22" s="2288">
        <v>300186.59000000003</v>
      </c>
      <c r="L22" s="2288">
        <v>271628.44500000001</v>
      </c>
      <c r="M22" s="2288">
        <v>247637.76500000001</v>
      </c>
      <c r="N22" s="2289">
        <v>232508.50399999999</v>
      </c>
      <c r="O22" s="2290">
        <v>234432.21299999999</v>
      </c>
    </row>
    <row r="23" spans="1:15" s="309" customFormat="1" ht="20.100000000000001" customHeight="1">
      <c r="A23" s="2294"/>
      <c r="B23" s="2298" t="s">
        <v>1243</v>
      </c>
      <c r="C23" s="2288">
        <v>810784.64</v>
      </c>
      <c r="D23" s="2289">
        <v>859372.98</v>
      </c>
      <c r="E23" s="2288">
        <v>798700.88300000003</v>
      </c>
      <c r="F23" s="2289">
        <v>830910.86199999996</v>
      </c>
      <c r="G23" s="2288">
        <v>808077.11399999994</v>
      </c>
      <c r="H23" s="2289">
        <v>780808.63800000004</v>
      </c>
      <c r="I23" s="2289">
        <v>784737.755</v>
      </c>
      <c r="J23" s="2288">
        <v>819183.48600000003</v>
      </c>
      <c r="K23" s="2288">
        <v>769857.16</v>
      </c>
      <c r="L23" s="2288">
        <v>738887.59499999997</v>
      </c>
      <c r="M23" s="2288">
        <v>744793.20200000005</v>
      </c>
      <c r="N23" s="2289">
        <v>752942.61699999997</v>
      </c>
      <c r="O23" s="2290">
        <v>791711.27399999998</v>
      </c>
    </row>
    <row r="24" spans="1:15" s="309" customFormat="1" ht="20.100000000000001" customHeight="1">
      <c r="A24" s="2294"/>
      <c r="B24" s="2298" t="s">
        <v>1244</v>
      </c>
      <c r="C24" s="2288">
        <v>1083684.6200000001</v>
      </c>
      <c r="D24" s="2289">
        <v>1000320.67</v>
      </c>
      <c r="E24" s="2288">
        <v>890891.90099999995</v>
      </c>
      <c r="F24" s="2289">
        <v>997540.07799999998</v>
      </c>
      <c r="G24" s="2288">
        <v>1014848.1360000001</v>
      </c>
      <c r="H24" s="2289">
        <v>1018037.849</v>
      </c>
      <c r="I24" s="2289">
        <v>957930.41399999999</v>
      </c>
      <c r="J24" s="2288">
        <v>996409.799</v>
      </c>
      <c r="K24" s="2288">
        <v>928481.23699999996</v>
      </c>
      <c r="L24" s="2288">
        <v>913780.01</v>
      </c>
      <c r="M24" s="2288">
        <v>1014909.559</v>
      </c>
      <c r="N24" s="2289">
        <v>1027942.52</v>
      </c>
      <c r="O24" s="2290">
        <v>1037006.01</v>
      </c>
    </row>
    <row r="25" spans="1:15" s="309" customFormat="1" ht="20.100000000000001" customHeight="1">
      <c r="A25" s="2294"/>
      <c r="B25" s="2298" t="s">
        <v>1245</v>
      </c>
      <c r="C25" s="2288">
        <v>3155268.54</v>
      </c>
      <c r="D25" s="2289">
        <v>3284614.3020000001</v>
      </c>
      <c r="E25" s="2288">
        <v>2776258.9890000001</v>
      </c>
      <c r="F25" s="2289">
        <v>3291724.98</v>
      </c>
      <c r="G25" s="2288">
        <v>3104493.7429999998</v>
      </c>
      <c r="H25" s="2289">
        <v>3206269.585</v>
      </c>
      <c r="I25" s="2289">
        <v>2848685.8739999998</v>
      </c>
      <c r="J25" s="2288">
        <v>2958061.2069999999</v>
      </c>
      <c r="K25" s="2288">
        <v>2769855.4219999998</v>
      </c>
      <c r="L25" s="2288">
        <v>2580192.2000000002</v>
      </c>
      <c r="M25" s="2288">
        <v>2801169.2859999998</v>
      </c>
      <c r="N25" s="2289">
        <v>2648295.0959999999</v>
      </c>
      <c r="O25" s="2290">
        <v>2773927.392</v>
      </c>
    </row>
    <row r="26" spans="1:15" s="309" customFormat="1" ht="20.100000000000001" customHeight="1">
      <c r="A26" s="2294"/>
      <c r="B26" s="2298" t="s">
        <v>1246</v>
      </c>
      <c r="C26" s="2288">
        <v>791988.35800000001</v>
      </c>
      <c r="D26" s="2289">
        <v>823844.16599999997</v>
      </c>
      <c r="E26" s="2288">
        <v>770792.37699999998</v>
      </c>
      <c r="F26" s="2289">
        <v>766144.69900000002</v>
      </c>
      <c r="G26" s="2288">
        <v>728563.59699999995</v>
      </c>
      <c r="H26" s="2289">
        <v>678323.32900000003</v>
      </c>
      <c r="I26" s="2289">
        <v>684794.68799999997</v>
      </c>
      <c r="J26" s="2288">
        <v>713639.495</v>
      </c>
      <c r="K26" s="2288">
        <v>668551.12699999998</v>
      </c>
      <c r="L26" s="2288">
        <v>658722.78599999996</v>
      </c>
      <c r="M26" s="2288">
        <v>668791.60900000005</v>
      </c>
      <c r="N26" s="2289">
        <v>721210.26599999995</v>
      </c>
      <c r="O26" s="2290">
        <v>775614.36399999994</v>
      </c>
    </row>
    <row r="27" spans="1:15" s="309" customFormat="1" ht="20.100000000000001" customHeight="1">
      <c r="A27" s="2294"/>
      <c r="B27" s="2298" t="s">
        <v>1247</v>
      </c>
      <c r="C27" s="2288">
        <v>4919855.32</v>
      </c>
      <c r="D27" s="2289">
        <v>4984954.943</v>
      </c>
      <c r="E27" s="2288">
        <v>4538671.42</v>
      </c>
      <c r="F27" s="2289">
        <v>4956142.1050000004</v>
      </c>
      <c r="G27" s="2288">
        <v>4822583.07</v>
      </c>
      <c r="H27" s="2289">
        <v>4976529.6579999998</v>
      </c>
      <c r="I27" s="2289">
        <v>4856619.3930000002</v>
      </c>
      <c r="J27" s="2288">
        <v>5588122.0870000003</v>
      </c>
      <c r="K27" s="2288">
        <v>5396247.7750000004</v>
      </c>
      <c r="L27" s="2288">
        <v>5049369.943</v>
      </c>
      <c r="M27" s="2288">
        <v>5054028.0650000004</v>
      </c>
      <c r="N27" s="2289">
        <v>4935771.8119999999</v>
      </c>
      <c r="O27" s="2290">
        <v>5033068.3949999996</v>
      </c>
    </row>
    <row r="28" spans="1:15" s="309" customFormat="1" ht="20.100000000000001" customHeight="1">
      <c r="A28" s="2294" t="s">
        <v>1248</v>
      </c>
      <c r="B28" s="2298" t="s">
        <v>1249</v>
      </c>
      <c r="C28" s="2288">
        <v>337438.91</v>
      </c>
      <c r="D28" s="2289">
        <v>379976.88199999998</v>
      </c>
      <c r="E28" s="2288">
        <v>325725.05800000002</v>
      </c>
      <c r="F28" s="2289">
        <v>360603.11800000002</v>
      </c>
      <c r="G28" s="2288">
        <v>364430.245</v>
      </c>
      <c r="H28" s="2289">
        <v>356855.87599999999</v>
      </c>
      <c r="I28" s="2289">
        <v>312286.62199999997</v>
      </c>
      <c r="J28" s="2288">
        <v>361846.07400000002</v>
      </c>
      <c r="K28" s="2288">
        <v>331140.63199999998</v>
      </c>
      <c r="L28" s="2288">
        <v>330301.141</v>
      </c>
      <c r="M28" s="2288">
        <v>330661.95699999999</v>
      </c>
      <c r="N28" s="2289">
        <v>315863.62400000001</v>
      </c>
      <c r="O28" s="2290">
        <v>319962.511</v>
      </c>
    </row>
    <row r="29" spans="1:15" s="309" customFormat="1" ht="20.100000000000001" customHeight="1">
      <c r="A29" s="2294"/>
      <c r="B29" s="2298" t="s">
        <v>1250</v>
      </c>
      <c r="C29" s="2288">
        <v>673771.34199999995</v>
      </c>
      <c r="D29" s="2289">
        <v>690010.38500000001</v>
      </c>
      <c r="E29" s="2288">
        <v>650177.84699999995</v>
      </c>
      <c r="F29" s="2289">
        <v>674780.28300000005</v>
      </c>
      <c r="G29" s="2288">
        <v>653919.24300000002</v>
      </c>
      <c r="H29" s="2289">
        <v>670414.93299999996</v>
      </c>
      <c r="I29" s="2289">
        <v>682380.57</v>
      </c>
      <c r="J29" s="2288">
        <v>741976.33299999998</v>
      </c>
      <c r="K29" s="2288">
        <v>716794.57</v>
      </c>
      <c r="L29" s="2288">
        <v>680449.29099999997</v>
      </c>
      <c r="M29" s="2288">
        <v>666393.91500000004</v>
      </c>
      <c r="N29" s="2289">
        <v>680536.17200000002</v>
      </c>
      <c r="O29" s="2290">
        <v>711390.19200000004</v>
      </c>
    </row>
    <row r="30" spans="1:15" s="309" customFormat="1" ht="20.100000000000001" customHeight="1">
      <c r="A30" s="2294"/>
      <c r="B30" s="2298" t="s">
        <v>1251</v>
      </c>
      <c r="C30" s="2288">
        <v>1005039.878</v>
      </c>
      <c r="D30" s="2289">
        <v>1092713.4909999999</v>
      </c>
      <c r="E30" s="2288">
        <v>1020724.507</v>
      </c>
      <c r="F30" s="2289">
        <v>976950.65899999999</v>
      </c>
      <c r="G30" s="2288">
        <v>935819.56200000003</v>
      </c>
      <c r="H30" s="2289">
        <v>869780.83499999996</v>
      </c>
      <c r="I30" s="2289">
        <v>901442.87399999995</v>
      </c>
      <c r="J30" s="2288">
        <v>971177.69200000004</v>
      </c>
      <c r="K30" s="2288">
        <v>930721.91899999999</v>
      </c>
      <c r="L30" s="2288">
        <v>893290.09900000005</v>
      </c>
      <c r="M30" s="2288">
        <v>860982.06</v>
      </c>
      <c r="N30" s="2289">
        <v>919667.33299999998</v>
      </c>
      <c r="O30" s="2290">
        <v>1017739.868</v>
      </c>
    </row>
    <row r="31" spans="1:15" s="309" customFormat="1" ht="20.100000000000001" customHeight="1">
      <c r="A31" s="2294"/>
      <c r="B31" s="2298" t="s">
        <v>1252</v>
      </c>
      <c r="C31" s="2288">
        <v>1579947.621</v>
      </c>
      <c r="D31" s="2289">
        <v>1608694.5120000001</v>
      </c>
      <c r="E31" s="2288">
        <v>1488138.399</v>
      </c>
      <c r="F31" s="2289">
        <v>1562804.81</v>
      </c>
      <c r="G31" s="2288">
        <v>1501045.523</v>
      </c>
      <c r="H31" s="2289">
        <v>1449751.635</v>
      </c>
      <c r="I31" s="2289">
        <v>1514341.709</v>
      </c>
      <c r="J31" s="2288">
        <v>1633572.307</v>
      </c>
      <c r="K31" s="2288">
        <v>1501896.4339999999</v>
      </c>
      <c r="L31" s="2288">
        <v>1489738.5120000001</v>
      </c>
      <c r="M31" s="2288">
        <v>1497317.959</v>
      </c>
      <c r="N31" s="2289">
        <v>1582458.7919999999</v>
      </c>
      <c r="O31" s="2290">
        <v>1686839.341</v>
      </c>
    </row>
    <row r="32" spans="1:15" s="309" customFormat="1" ht="20.100000000000001" customHeight="1">
      <c r="A32" s="2294"/>
      <c r="B32" s="2298" t="s">
        <v>1253</v>
      </c>
      <c r="C32" s="2288">
        <v>396728.342</v>
      </c>
      <c r="D32" s="2289">
        <v>370154.27799999999</v>
      </c>
      <c r="E32" s="2288">
        <v>327362.25799999997</v>
      </c>
      <c r="F32" s="2289">
        <v>346058.93800000002</v>
      </c>
      <c r="G32" s="2288">
        <v>323821.49800000002</v>
      </c>
      <c r="H32" s="2289">
        <v>326387.49599999998</v>
      </c>
      <c r="I32" s="2289">
        <v>356358.31199999998</v>
      </c>
      <c r="J32" s="2288">
        <v>406957.897</v>
      </c>
      <c r="K32" s="2288">
        <v>372445.23100000003</v>
      </c>
      <c r="L32" s="2288">
        <v>337077.83799999999</v>
      </c>
      <c r="M32" s="2288">
        <v>334796.91499999998</v>
      </c>
      <c r="N32" s="2289">
        <v>337401.87199999997</v>
      </c>
      <c r="O32" s="2290">
        <v>386904.62300000002</v>
      </c>
    </row>
    <row r="33" spans="1:15" s="309" customFormat="1" ht="20.100000000000001" customHeight="1">
      <c r="A33" s="2294"/>
      <c r="B33" s="2298" t="s">
        <v>1254</v>
      </c>
      <c r="C33" s="2288">
        <v>67752.061000000002</v>
      </c>
      <c r="D33" s="2289">
        <v>78039.350000000006</v>
      </c>
      <c r="E33" s="2288">
        <v>75668.464000000007</v>
      </c>
      <c r="F33" s="2289">
        <v>67690.001999999993</v>
      </c>
      <c r="G33" s="2288">
        <v>60238.328999999998</v>
      </c>
      <c r="H33" s="2289">
        <v>49874.353999999999</v>
      </c>
      <c r="I33" s="2289">
        <v>49298.309000000001</v>
      </c>
      <c r="J33" s="2288">
        <v>51058.777999999998</v>
      </c>
      <c r="K33" s="2288">
        <v>50710.13</v>
      </c>
      <c r="L33" s="2288">
        <v>49353.017999999996</v>
      </c>
      <c r="M33" s="2288">
        <v>46722.879000000001</v>
      </c>
      <c r="N33" s="2289">
        <v>55412.853000000003</v>
      </c>
      <c r="O33" s="2290">
        <v>65392.866999999998</v>
      </c>
    </row>
    <row r="34" spans="1:15" s="309" customFormat="1" ht="20.100000000000001" customHeight="1">
      <c r="A34" s="2294"/>
      <c r="B34" s="2298" t="s">
        <v>1255</v>
      </c>
      <c r="C34" s="2288">
        <v>251094.17600000001</v>
      </c>
      <c r="D34" s="2289">
        <v>276126.97399999999</v>
      </c>
      <c r="E34" s="2288">
        <v>258989.94399999999</v>
      </c>
      <c r="F34" s="2289">
        <v>244577.66200000001</v>
      </c>
      <c r="G34" s="2288">
        <v>233959.299</v>
      </c>
      <c r="H34" s="2289">
        <v>213603.054</v>
      </c>
      <c r="I34" s="2289">
        <v>220504.27499999999</v>
      </c>
      <c r="J34" s="2288">
        <v>236020.69</v>
      </c>
      <c r="K34" s="2288">
        <v>228872.01699999999</v>
      </c>
      <c r="L34" s="2288">
        <v>216738.204</v>
      </c>
      <c r="M34" s="2288">
        <v>207368.628</v>
      </c>
      <c r="N34" s="2289">
        <v>222083.59700000001</v>
      </c>
      <c r="O34" s="2290">
        <v>243957.639</v>
      </c>
    </row>
    <row r="35" spans="1:15" s="2287" customFormat="1" ht="20.100000000000001" customHeight="1">
      <c r="A35" s="2299" t="s">
        <v>906</v>
      </c>
      <c r="B35" s="2298" t="s">
        <v>1256</v>
      </c>
      <c r="C35" s="2288">
        <v>7501.8639999999996</v>
      </c>
      <c r="D35" s="2289">
        <v>9160.8449999999993</v>
      </c>
      <c r="E35" s="2288">
        <v>8917.2759999999998</v>
      </c>
      <c r="F35" s="2289">
        <v>7522.6779999999999</v>
      </c>
      <c r="G35" s="2288">
        <v>6656.22</v>
      </c>
      <c r="H35" s="2289">
        <v>5422.4840000000004</v>
      </c>
      <c r="I35" s="2289">
        <v>5502.7179999999998</v>
      </c>
      <c r="J35" s="2288">
        <v>6247.79</v>
      </c>
      <c r="K35" s="2288">
        <v>6720.6750000000002</v>
      </c>
      <c r="L35" s="2288">
        <v>5967.3649999999998</v>
      </c>
      <c r="M35" s="2288">
        <v>5128.2420000000002</v>
      </c>
      <c r="N35" s="2289">
        <v>5816.37</v>
      </c>
      <c r="O35" s="2290">
        <v>7306.3549999999996</v>
      </c>
    </row>
    <row r="36" spans="1:15" s="2287" customFormat="1" ht="21" customHeight="1">
      <c r="A36" s="3100" t="s">
        <v>1257</v>
      </c>
      <c r="B36" s="3101"/>
      <c r="C36" s="2300">
        <v>47250619.115000002</v>
      </c>
      <c r="D36" s="2301">
        <v>49802218.686999999</v>
      </c>
      <c r="E36" s="2300">
        <v>47541471.267999999</v>
      </c>
      <c r="F36" s="2301">
        <v>45836806.498999998</v>
      </c>
      <c r="G36" s="2300">
        <v>43758280.450000003</v>
      </c>
      <c r="H36" s="2301">
        <v>42204994.005999997</v>
      </c>
      <c r="I36" s="2301">
        <v>43015060.700999998</v>
      </c>
      <c r="J36" s="2300">
        <v>48533126.447999999</v>
      </c>
      <c r="K36" s="2300">
        <v>50162066.270000003</v>
      </c>
      <c r="L36" s="2300">
        <v>45316795.471000001</v>
      </c>
      <c r="M36" s="2300">
        <v>42342924.805</v>
      </c>
      <c r="N36" s="2301">
        <v>42491088.188000001</v>
      </c>
      <c r="O36" s="2302">
        <v>46927909.420000002</v>
      </c>
    </row>
    <row r="37" spans="1:15" ht="5.0999999999999996" customHeight="1">
      <c r="A37" s="631"/>
      <c r="B37" s="631"/>
      <c r="C37" s="631"/>
      <c r="D37" s="631"/>
      <c r="E37" s="631"/>
    </row>
    <row r="38" spans="1:15" ht="12.95" customHeight="1">
      <c r="A38" s="1949" t="s">
        <v>1258</v>
      </c>
      <c r="B38" s="631"/>
      <c r="C38" s="631"/>
      <c r="D38" s="631"/>
      <c r="L38" s="636"/>
      <c r="O38" s="636"/>
    </row>
    <row r="40" spans="1:15">
      <c r="C40" s="2303"/>
      <c r="D40" s="2303"/>
      <c r="E40" s="2303"/>
      <c r="F40" s="2303"/>
      <c r="G40" s="2303"/>
      <c r="H40" s="2303"/>
      <c r="I40" s="2303"/>
      <c r="J40" s="2303"/>
      <c r="K40" s="2303"/>
      <c r="L40" s="2303"/>
      <c r="M40" s="2303"/>
      <c r="N40" s="2303"/>
      <c r="O40" s="2303"/>
    </row>
    <row r="41" spans="1:15">
      <c r="C41" s="2303"/>
      <c r="D41" s="2303"/>
      <c r="E41" s="2303"/>
      <c r="F41" s="2303"/>
      <c r="G41" s="2303"/>
      <c r="H41" s="2303"/>
      <c r="I41" s="2303"/>
      <c r="J41" s="2303"/>
      <c r="K41" s="2303"/>
      <c r="L41" s="2303"/>
      <c r="M41" s="2303"/>
      <c r="N41" s="2303"/>
      <c r="O41" s="2303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3" type="noConversion"/>
  <printOptions horizontalCentered="1"/>
  <pageMargins left="0.94488188976377963" right="0.94488188976377963" top="1.1811023622047245" bottom="0.39370078740157483" header="0" footer="0"/>
  <pageSetup paperSize="9" scale="83" firstPageNumber="70" orientation="portrait" useFirstPageNumber="1" r:id="rId1"/>
  <headerFooter differentOddEven="1" scaleWithDoc="0" alignWithMargins="0"/>
  <colBreaks count="1" manualBreakCount="1">
    <brk id="8" max="37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44"/>
  <sheetViews>
    <sheetView showGridLines="0" view="pageBreakPreview" zoomScale="70" zoomScaleNormal="100" zoomScaleSheetLayoutView="70" workbookViewId="0">
      <selection activeCell="B1" sqref="B1"/>
    </sheetView>
  </sheetViews>
  <sheetFormatPr defaultColWidth="7.875" defaultRowHeight="16.5"/>
  <cols>
    <col min="1" max="1" width="3.25" style="1280" customWidth="1"/>
    <col min="2" max="2" width="12.375" style="1280" customWidth="1"/>
    <col min="3" max="9" width="9.375" style="1280" customWidth="1"/>
    <col min="10" max="10" width="8.875" style="1280" customWidth="1"/>
    <col min="11" max="11" width="9.25" style="1280" customWidth="1"/>
    <col min="12" max="19" width="8.5" style="1280" customWidth="1"/>
    <col min="20" max="20" width="6.375" style="1280" customWidth="1"/>
    <col min="21" max="21" width="10.5" style="1280" customWidth="1"/>
    <col min="22" max="22" width="8.875" style="1280" customWidth="1"/>
    <col min="23" max="16384" width="7.875" style="1280"/>
  </cols>
  <sheetData>
    <row r="1" spans="1:23" s="2250" customFormat="1" ht="20.25" customHeight="1">
      <c r="A1" s="1946" t="s">
        <v>1259</v>
      </c>
    </row>
    <row r="2" spans="1:23" s="2252" customFormat="1" ht="17.25" customHeight="1">
      <c r="A2" s="2251" t="s">
        <v>1260</v>
      </c>
      <c r="F2" s="2304"/>
      <c r="G2" s="2304" t="s">
        <v>1261</v>
      </c>
    </row>
    <row r="3" spans="1:23" ht="15" customHeight="1">
      <c r="B3" s="307"/>
      <c r="P3" s="2031"/>
      <c r="R3" s="2031"/>
      <c r="S3" s="2031"/>
      <c r="U3" s="2253" t="s">
        <v>1205</v>
      </c>
    </row>
    <row r="4" spans="1:23" s="2257" customFormat="1" ht="21" customHeight="1">
      <c r="A4" s="3102" t="s">
        <v>1206</v>
      </c>
      <c r="B4" s="3103"/>
      <c r="C4" s="2305" t="s">
        <v>1207</v>
      </c>
      <c r="D4" s="2306" t="s">
        <v>1177</v>
      </c>
      <c r="E4" s="2306" t="s">
        <v>1262</v>
      </c>
      <c r="F4" s="2307" t="s">
        <v>1263</v>
      </c>
      <c r="G4" s="2307" t="s">
        <v>1264</v>
      </c>
      <c r="H4" s="2307" t="s">
        <v>1265</v>
      </c>
      <c r="I4" s="2306" t="s">
        <v>1266</v>
      </c>
      <c r="J4" s="2085" t="s">
        <v>1183</v>
      </c>
      <c r="K4" s="2308" t="s">
        <v>1184</v>
      </c>
      <c r="L4" s="2308" t="s">
        <v>1185</v>
      </c>
      <c r="M4" s="2308" t="s">
        <v>1186</v>
      </c>
      <c r="N4" s="2308" t="s">
        <v>1187</v>
      </c>
      <c r="O4" s="2309" t="s">
        <v>1188</v>
      </c>
      <c r="P4" s="2310" t="s">
        <v>1189</v>
      </c>
      <c r="Q4" s="2308" t="s">
        <v>1190</v>
      </c>
      <c r="R4" s="2310" t="s">
        <v>1191</v>
      </c>
      <c r="S4" s="2310" t="s">
        <v>1192</v>
      </c>
      <c r="T4" s="2308" t="s">
        <v>1267</v>
      </c>
      <c r="U4" s="2311" t="s">
        <v>1209</v>
      </c>
    </row>
    <row r="5" spans="1:23" s="2269" customFormat="1" ht="21" customHeight="1">
      <c r="A5" s="3104" t="s">
        <v>1223</v>
      </c>
      <c r="B5" s="3105"/>
      <c r="C5" s="2312">
        <v>1151263.595</v>
      </c>
      <c r="D5" s="2313">
        <v>397004.777</v>
      </c>
      <c r="E5" s="2313">
        <v>281969.69099999999</v>
      </c>
      <c r="F5" s="2313">
        <v>382592.78700000001</v>
      </c>
      <c r="G5" s="2313">
        <v>175613.98800000001</v>
      </c>
      <c r="H5" s="2313">
        <v>168019.834</v>
      </c>
      <c r="I5" s="2313">
        <v>128368.19</v>
      </c>
      <c r="J5" s="2313">
        <v>49984.841999999997</v>
      </c>
      <c r="K5" s="2313">
        <v>1706376.922</v>
      </c>
      <c r="L5" s="2313">
        <v>195303.21799999999</v>
      </c>
      <c r="M5" s="2313">
        <v>199064.33799999999</v>
      </c>
      <c r="N5" s="2313">
        <v>264820.967</v>
      </c>
      <c r="O5" s="2313">
        <v>210103.88099999999</v>
      </c>
      <c r="P5" s="2313">
        <v>210855.44099999999</v>
      </c>
      <c r="Q5" s="2313">
        <v>306159.25300000003</v>
      </c>
      <c r="R5" s="2313">
        <v>391633.05699999997</v>
      </c>
      <c r="S5" s="2313">
        <v>78040.493000000002</v>
      </c>
      <c r="T5" s="2313" t="s">
        <v>171</v>
      </c>
      <c r="U5" s="2314">
        <v>6297175.2740000002</v>
      </c>
      <c r="V5" s="2268"/>
      <c r="W5" s="2268"/>
    </row>
    <row r="6" spans="1:23" s="2318" customFormat="1" ht="21" customHeight="1">
      <c r="A6" s="3106" t="s">
        <v>1224</v>
      </c>
      <c r="B6" s="3107"/>
      <c r="C6" s="2315">
        <v>349423.21</v>
      </c>
      <c r="D6" s="2316">
        <v>117096.38400000001</v>
      </c>
      <c r="E6" s="2316">
        <v>85698.145000000004</v>
      </c>
      <c r="F6" s="2316">
        <v>116068.209</v>
      </c>
      <c r="G6" s="2316">
        <v>57579.283000000003</v>
      </c>
      <c r="H6" s="2316">
        <v>106268.834</v>
      </c>
      <c r="I6" s="2316">
        <v>48863.366000000002</v>
      </c>
      <c r="J6" s="2316">
        <v>35756.684999999998</v>
      </c>
      <c r="K6" s="2316">
        <v>607249.63199999998</v>
      </c>
      <c r="L6" s="2316">
        <v>158315.103</v>
      </c>
      <c r="M6" s="2316">
        <v>138650.99100000001</v>
      </c>
      <c r="N6" s="2316">
        <v>123268.039</v>
      </c>
      <c r="O6" s="2316">
        <v>107374.586</v>
      </c>
      <c r="P6" s="2316">
        <v>148206.56099999999</v>
      </c>
      <c r="Q6" s="2316">
        <v>176283.663</v>
      </c>
      <c r="R6" s="2316">
        <v>140327.88399999999</v>
      </c>
      <c r="S6" s="2316">
        <v>31645.962</v>
      </c>
      <c r="T6" s="2316" t="s">
        <v>171</v>
      </c>
      <c r="U6" s="2317">
        <v>2548076.537</v>
      </c>
      <c r="V6" s="2268"/>
      <c r="W6" s="2268"/>
    </row>
    <row r="7" spans="1:23" s="2318" customFormat="1" ht="21" customHeight="1">
      <c r="A7" s="3106" t="s">
        <v>1225</v>
      </c>
      <c r="B7" s="3107"/>
      <c r="C7" s="2315">
        <v>2479966.7119999998</v>
      </c>
      <c r="D7" s="2316">
        <v>659760.31099999999</v>
      </c>
      <c r="E7" s="2316">
        <v>490997.35700000002</v>
      </c>
      <c r="F7" s="2316">
        <v>725719.66200000001</v>
      </c>
      <c r="G7" s="2316">
        <v>276904.54800000001</v>
      </c>
      <c r="H7" s="2316">
        <v>364792.74099999998</v>
      </c>
      <c r="I7" s="2316">
        <v>293959.20199999999</v>
      </c>
      <c r="J7" s="2316">
        <v>83532.971000000005</v>
      </c>
      <c r="K7" s="2316">
        <v>3634841.301</v>
      </c>
      <c r="L7" s="2316">
        <v>642154.93999999994</v>
      </c>
      <c r="M7" s="2316">
        <v>531795.09</v>
      </c>
      <c r="N7" s="2316">
        <v>718918.20700000005</v>
      </c>
      <c r="O7" s="2316">
        <v>469638.44300000003</v>
      </c>
      <c r="P7" s="2316">
        <v>501763.34399999998</v>
      </c>
      <c r="Q7" s="2316">
        <v>810648.34199999995</v>
      </c>
      <c r="R7" s="2316">
        <v>800920.36399999994</v>
      </c>
      <c r="S7" s="2316">
        <v>230752.315</v>
      </c>
      <c r="T7" s="2316" t="s">
        <v>171</v>
      </c>
      <c r="U7" s="2317">
        <v>13717065.85</v>
      </c>
      <c r="V7" s="2268"/>
      <c r="W7" s="2268"/>
    </row>
    <row r="8" spans="1:23" s="2269" customFormat="1" ht="21" customHeight="1">
      <c r="A8" s="3106" t="s">
        <v>1226</v>
      </c>
      <c r="B8" s="3107"/>
      <c r="C8" s="2319">
        <v>1763.0540000000001</v>
      </c>
      <c r="D8" s="2320">
        <v>9823.1139999999996</v>
      </c>
      <c r="E8" s="2320">
        <v>6398.8090000000002</v>
      </c>
      <c r="F8" s="2320">
        <v>15813.093999999999</v>
      </c>
      <c r="G8" s="2320">
        <v>8146.2259999999997</v>
      </c>
      <c r="H8" s="2320">
        <v>3518.1460000000002</v>
      </c>
      <c r="I8" s="2320">
        <v>6996.9930000000004</v>
      </c>
      <c r="J8" s="2320">
        <v>6790.3810000000003</v>
      </c>
      <c r="K8" s="2320">
        <v>247510.739</v>
      </c>
      <c r="L8" s="2320">
        <v>60472.976999999999</v>
      </c>
      <c r="M8" s="2320">
        <v>78486.478000000003</v>
      </c>
      <c r="N8" s="2320">
        <v>182491.323</v>
      </c>
      <c r="O8" s="2320">
        <v>173942.05900000001</v>
      </c>
      <c r="P8" s="2320">
        <v>285604.53499999997</v>
      </c>
      <c r="Q8" s="2320">
        <v>173625.90700000001</v>
      </c>
      <c r="R8" s="2320">
        <v>243862.56200000001</v>
      </c>
      <c r="S8" s="2320">
        <v>119543.495</v>
      </c>
      <c r="T8" s="2320" t="s">
        <v>171</v>
      </c>
      <c r="U8" s="2321">
        <v>1624789.892</v>
      </c>
      <c r="V8" s="2268"/>
      <c r="W8" s="2268"/>
    </row>
    <row r="9" spans="1:23" s="2269" customFormat="1" ht="21" customHeight="1">
      <c r="A9" s="3108" t="s">
        <v>1227</v>
      </c>
      <c r="B9" s="3109"/>
      <c r="C9" s="2322">
        <v>177.148</v>
      </c>
      <c r="D9" s="2323">
        <v>1801.5160000000001</v>
      </c>
      <c r="E9" s="2323">
        <v>1545.0940000000001</v>
      </c>
      <c r="F9" s="2323">
        <v>6682.3289999999997</v>
      </c>
      <c r="G9" s="2323">
        <v>270.62099999999998</v>
      </c>
      <c r="H9" s="2323">
        <v>131.667</v>
      </c>
      <c r="I9" s="2323">
        <v>1167.923</v>
      </c>
      <c r="J9" s="2323">
        <v>1143.643</v>
      </c>
      <c r="K9" s="2323">
        <v>23201.213</v>
      </c>
      <c r="L9" s="2323">
        <v>40828.074000000001</v>
      </c>
      <c r="M9" s="2323">
        <v>10737.826999999999</v>
      </c>
      <c r="N9" s="2323">
        <v>28554.675999999999</v>
      </c>
      <c r="O9" s="2323">
        <v>5877.0969999999998</v>
      </c>
      <c r="P9" s="2323">
        <v>6593.3239999999996</v>
      </c>
      <c r="Q9" s="2323">
        <v>19495.725999999999</v>
      </c>
      <c r="R9" s="2323">
        <v>5407.4629999999997</v>
      </c>
      <c r="S9" s="2323">
        <v>686.78599999999994</v>
      </c>
      <c r="T9" s="2323" t="s">
        <v>171</v>
      </c>
      <c r="U9" s="2324">
        <v>154302.12700000001</v>
      </c>
      <c r="V9" s="2268"/>
      <c r="W9" s="2268"/>
    </row>
    <row r="10" spans="1:23" s="2269" customFormat="1" ht="21" customHeight="1">
      <c r="A10" s="2294"/>
      <c r="B10" s="2295" t="s">
        <v>1228</v>
      </c>
      <c r="C10" s="2325">
        <v>124257.175</v>
      </c>
      <c r="D10" s="2326">
        <v>586296.22900000005</v>
      </c>
      <c r="E10" s="2326">
        <v>487131.63400000002</v>
      </c>
      <c r="F10" s="2326">
        <v>968571.83799999999</v>
      </c>
      <c r="G10" s="2326">
        <v>225853.75700000001</v>
      </c>
      <c r="H10" s="2326">
        <v>195827.47200000001</v>
      </c>
      <c r="I10" s="2326">
        <v>2275621.1549999998</v>
      </c>
      <c r="J10" s="2326">
        <v>154236.26199999999</v>
      </c>
      <c r="K10" s="2326">
        <v>5981918.8650000002</v>
      </c>
      <c r="L10" s="2326">
        <v>472034</v>
      </c>
      <c r="M10" s="2326">
        <v>1625780.7679999999</v>
      </c>
      <c r="N10" s="2326">
        <v>3002415.1379999998</v>
      </c>
      <c r="O10" s="2326">
        <v>914084.19400000002</v>
      </c>
      <c r="P10" s="2326">
        <v>1816556.486</v>
      </c>
      <c r="Q10" s="2326">
        <v>2177561.7289999998</v>
      </c>
      <c r="R10" s="2326">
        <v>1552799.382</v>
      </c>
      <c r="S10" s="2326">
        <v>25553.655999999999</v>
      </c>
      <c r="T10" s="2326" t="s">
        <v>171</v>
      </c>
      <c r="U10" s="2327">
        <v>22586499.739999998</v>
      </c>
      <c r="V10" s="2268"/>
      <c r="W10" s="2268"/>
    </row>
    <row r="11" spans="1:23" s="2318" customFormat="1" ht="20.100000000000001" customHeight="1">
      <c r="A11" s="2294"/>
      <c r="B11" s="2298" t="s">
        <v>1229</v>
      </c>
      <c r="C11" s="2319">
        <v>17251.963</v>
      </c>
      <c r="D11" s="2320">
        <v>48630.067000000003</v>
      </c>
      <c r="E11" s="2320">
        <v>16835.48</v>
      </c>
      <c r="F11" s="2320">
        <v>56955.099000000002</v>
      </c>
      <c r="G11" s="2320">
        <v>10437.078</v>
      </c>
      <c r="H11" s="2320">
        <v>11008.248</v>
      </c>
      <c r="I11" s="2320">
        <v>15608.537</v>
      </c>
      <c r="J11" s="2320">
        <v>10165.681</v>
      </c>
      <c r="K11" s="2320">
        <v>227497.63200000001</v>
      </c>
      <c r="L11" s="2320">
        <v>42190.667999999998</v>
      </c>
      <c r="M11" s="2320">
        <v>102491.826</v>
      </c>
      <c r="N11" s="2320">
        <v>118195.253</v>
      </c>
      <c r="O11" s="2320">
        <v>128085.565</v>
      </c>
      <c r="P11" s="2320">
        <v>70740.036999999997</v>
      </c>
      <c r="Q11" s="2320">
        <v>47343.527000000002</v>
      </c>
      <c r="R11" s="2320">
        <v>73124.633000000002</v>
      </c>
      <c r="S11" s="2320">
        <v>9077.9959999999992</v>
      </c>
      <c r="T11" s="2320" t="s">
        <v>171</v>
      </c>
      <c r="U11" s="2321">
        <v>1005639.29</v>
      </c>
      <c r="V11" s="2268"/>
      <c r="W11" s="2268"/>
    </row>
    <row r="12" spans="1:23" s="2328" customFormat="1" ht="20.100000000000001" customHeight="1">
      <c r="A12" s="2294"/>
      <c r="B12" s="2298" t="s">
        <v>1230</v>
      </c>
      <c r="C12" s="2319">
        <v>968.32500000000005</v>
      </c>
      <c r="D12" s="2320">
        <v>1677.2919999999999</v>
      </c>
      <c r="E12" s="2320">
        <v>2393.9490000000001</v>
      </c>
      <c r="F12" s="2320">
        <v>1166.6579999999999</v>
      </c>
      <c r="G12" s="2320">
        <v>3319.5210000000002</v>
      </c>
      <c r="H12" s="2320">
        <v>1360.123</v>
      </c>
      <c r="I12" s="2320">
        <v>1305.672</v>
      </c>
      <c r="J12" s="2320">
        <v>683.88800000000003</v>
      </c>
      <c r="K12" s="2320">
        <v>25852.657999999999</v>
      </c>
      <c r="L12" s="2320">
        <v>9686.134</v>
      </c>
      <c r="M12" s="2320">
        <v>11302.806</v>
      </c>
      <c r="N12" s="2320">
        <v>7114.9949999999999</v>
      </c>
      <c r="O12" s="2320">
        <v>9674.2180000000008</v>
      </c>
      <c r="P12" s="2320">
        <v>1770.2260000000001</v>
      </c>
      <c r="Q12" s="2320">
        <v>6087.1980000000003</v>
      </c>
      <c r="R12" s="2320">
        <v>10082.615</v>
      </c>
      <c r="S12" s="2320">
        <v>6801.0590000000002</v>
      </c>
      <c r="T12" s="2320" t="s">
        <v>171</v>
      </c>
      <c r="U12" s="2321">
        <v>101247.337</v>
      </c>
      <c r="V12" s="2268"/>
      <c r="W12" s="2268"/>
    </row>
    <row r="13" spans="1:23" s="2318" customFormat="1" ht="20.100000000000001" customHeight="1">
      <c r="A13" s="2294"/>
      <c r="B13" s="2298" t="s">
        <v>1231</v>
      </c>
      <c r="C13" s="2319">
        <v>8.7270000000000003</v>
      </c>
      <c r="D13" s="2320">
        <v>0.34899999999999998</v>
      </c>
      <c r="E13" s="2320">
        <v>2.4119999999999999</v>
      </c>
      <c r="F13" s="2320">
        <v>0.68300000000000005</v>
      </c>
      <c r="G13" s="2320">
        <v>1239.356</v>
      </c>
      <c r="H13" s="2320">
        <v>5360.1840000000002</v>
      </c>
      <c r="I13" s="2320" t="s">
        <v>171</v>
      </c>
      <c r="J13" s="2320" t="s">
        <v>171</v>
      </c>
      <c r="K13" s="2320">
        <v>281.14699999999999</v>
      </c>
      <c r="L13" s="2320">
        <v>1.3520000000000001</v>
      </c>
      <c r="M13" s="2320">
        <v>571.45500000000004</v>
      </c>
      <c r="N13" s="2320">
        <v>1.6739999999999999</v>
      </c>
      <c r="O13" s="2320" t="s">
        <v>171</v>
      </c>
      <c r="P13" s="2320" t="s">
        <v>171</v>
      </c>
      <c r="Q13" s="2320">
        <v>3154.68</v>
      </c>
      <c r="R13" s="2320">
        <v>4815.5879999999997</v>
      </c>
      <c r="S13" s="2320" t="s">
        <v>171</v>
      </c>
      <c r="T13" s="2320" t="s">
        <v>171</v>
      </c>
      <c r="U13" s="2321">
        <v>15437.607</v>
      </c>
      <c r="V13" s="2268"/>
      <c r="W13" s="2268"/>
    </row>
    <row r="14" spans="1:23" s="2328" customFormat="1" ht="20.100000000000001" customHeight="1">
      <c r="A14" s="2294" t="s">
        <v>1232</v>
      </c>
      <c r="B14" s="2298" t="s">
        <v>1233</v>
      </c>
      <c r="C14" s="2319">
        <v>8556.4709999999995</v>
      </c>
      <c r="D14" s="2320">
        <v>18387.524000000001</v>
      </c>
      <c r="E14" s="2320">
        <v>59891.050999999999</v>
      </c>
      <c r="F14" s="2320">
        <v>3583.3009999999999</v>
      </c>
      <c r="G14" s="2320">
        <v>11730.380999999999</v>
      </c>
      <c r="H14" s="2320">
        <v>2718.95</v>
      </c>
      <c r="I14" s="2320">
        <v>49556.076000000001</v>
      </c>
      <c r="J14" s="2320">
        <v>1438.9760000000001</v>
      </c>
      <c r="K14" s="2320">
        <v>121312.709</v>
      </c>
      <c r="L14" s="2320">
        <v>1152.105</v>
      </c>
      <c r="M14" s="2320">
        <v>15604.04</v>
      </c>
      <c r="N14" s="2320">
        <v>13957.662</v>
      </c>
      <c r="O14" s="2320">
        <v>45311.275999999998</v>
      </c>
      <c r="P14" s="2320">
        <v>13392.957</v>
      </c>
      <c r="Q14" s="2320">
        <v>232230.46900000001</v>
      </c>
      <c r="R14" s="2320">
        <v>17645.600999999999</v>
      </c>
      <c r="S14" s="2320">
        <v>49.627000000000002</v>
      </c>
      <c r="T14" s="2320" t="s">
        <v>171</v>
      </c>
      <c r="U14" s="2321">
        <v>616519.17599999998</v>
      </c>
      <c r="V14" s="2268"/>
      <c r="W14" s="2268"/>
    </row>
    <row r="15" spans="1:23" s="2318" customFormat="1" ht="20.100000000000001" customHeight="1">
      <c r="A15" s="2294"/>
      <c r="B15" s="2298" t="s">
        <v>1234</v>
      </c>
      <c r="C15" s="2319">
        <v>24671.105</v>
      </c>
      <c r="D15" s="2320">
        <v>2959.1709999999998</v>
      </c>
      <c r="E15" s="2320">
        <v>3235.915</v>
      </c>
      <c r="F15" s="2320">
        <v>1120.1600000000001</v>
      </c>
      <c r="G15" s="2320">
        <v>134.29900000000001</v>
      </c>
      <c r="H15" s="2320">
        <v>208.31399999999999</v>
      </c>
      <c r="I15" s="2320">
        <v>69.591999999999999</v>
      </c>
      <c r="J15" s="2320">
        <v>19.536000000000001</v>
      </c>
      <c r="K15" s="2320">
        <v>12238.018</v>
      </c>
      <c r="L15" s="2320">
        <v>126.807</v>
      </c>
      <c r="M15" s="2320">
        <v>401.87900000000002</v>
      </c>
      <c r="N15" s="2320">
        <v>1032.6220000000001</v>
      </c>
      <c r="O15" s="2320">
        <v>1190.808</v>
      </c>
      <c r="P15" s="2320">
        <v>423.81200000000001</v>
      </c>
      <c r="Q15" s="2320">
        <v>1068.69</v>
      </c>
      <c r="R15" s="2320">
        <v>506.84899999999999</v>
      </c>
      <c r="S15" s="2320">
        <v>11.582000000000001</v>
      </c>
      <c r="T15" s="2320" t="s">
        <v>171</v>
      </c>
      <c r="U15" s="2321">
        <v>49419.159</v>
      </c>
      <c r="V15" s="2268"/>
      <c r="W15" s="2268"/>
    </row>
    <row r="16" spans="1:23" s="2318" customFormat="1" ht="20.100000000000001" customHeight="1">
      <c r="A16" s="2294"/>
      <c r="B16" s="2298" t="s">
        <v>1235</v>
      </c>
      <c r="C16" s="2319">
        <v>1850.0540000000001</v>
      </c>
      <c r="D16" s="2320">
        <v>8684.9979999999996</v>
      </c>
      <c r="E16" s="2320">
        <v>372.36099999999999</v>
      </c>
      <c r="F16" s="2320">
        <v>583.34</v>
      </c>
      <c r="G16" s="2320">
        <v>13.618</v>
      </c>
      <c r="H16" s="2320">
        <v>264.423</v>
      </c>
      <c r="I16" s="2320">
        <v>26.808</v>
      </c>
      <c r="J16" s="2320">
        <v>200.39099999999999</v>
      </c>
      <c r="K16" s="2320">
        <v>15538.519</v>
      </c>
      <c r="L16" s="2320">
        <v>32.216000000000001</v>
      </c>
      <c r="M16" s="2320">
        <v>5294.8209999999999</v>
      </c>
      <c r="N16" s="2320">
        <v>934.55100000000004</v>
      </c>
      <c r="O16" s="2320">
        <v>538.12099999999998</v>
      </c>
      <c r="P16" s="2320">
        <v>47.926000000000002</v>
      </c>
      <c r="Q16" s="2320">
        <v>724.58100000000002</v>
      </c>
      <c r="R16" s="2320">
        <v>6071.7780000000002</v>
      </c>
      <c r="S16" s="2320">
        <v>0.57199999999999995</v>
      </c>
      <c r="T16" s="2320" t="s">
        <v>171</v>
      </c>
      <c r="U16" s="2321">
        <v>41179.078000000001</v>
      </c>
      <c r="V16" s="2268"/>
      <c r="W16" s="2268"/>
    </row>
    <row r="17" spans="1:23" s="2318" customFormat="1" ht="20.100000000000001" customHeight="1">
      <c r="A17" s="2294"/>
      <c r="B17" s="2298" t="s">
        <v>1236</v>
      </c>
      <c r="C17" s="2319">
        <v>367.00900000000001</v>
      </c>
      <c r="D17" s="2320">
        <v>4261.8050000000003</v>
      </c>
      <c r="E17" s="2320">
        <v>1301.0340000000001</v>
      </c>
      <c r="F17" s="2320">
        <v>46521.124000000003</v>
      </c>
      <c r="G17" s="2320">
        <v>541.87599999999998</v>
      </c>
      <c r="H17" s="2320">
        <v>374.26</v>
      </c>
      <c r="I17" s="2320">
        <v>1335.635</v>
      </c>
      <c r="J17" s="2320">
        <v>138.06899999999999</v>
      </c>
      <c r="K17" s="2320">
        <v>44760.599000000002</v>
      </c>
      <c r="L17" s="2320">
        <v>2003.0809999999999</v>
      </c>
      <c r="M17" s="2320">
        <v>5415.3450000000003</v>
      </c>
      <c r="N17" s="2320">
        <v>10949.811</v>
      </c>
      <c r="O17" s="2320">
        <v>22281.474999999999</v>
      </c>
      <c r="P17" s="2320">
        <v>2262.837</v>
      </c>
      <c r="Q17" s="2320">
        <v>7105.2860000000001</v>
      </c>
      <c r="R17" s="2320">
        <v>6531.0330000000004</v>
      </c>
      <c r="S17" s="2320">
        <v>132.24600000000001</v>
      </c>
      <c r="T17" s="2320" t="s">
        <v>171</v>
      </c>
      <c r="U17" s="2321">
        <v>156282.52499999999</v>
      </c>
      <c r="V17" s="2268"/>
      <c r="W17" s="2268"/>
    </row>
    <row r="18" spans="1:23" s="2328" customFormat="1" ht="20.100000000000001" customHeight="1">
      <c r="A18" s="2294"/>
      <c r="B18" s="2298" t="s">
        <v>1237</v>
      </c>
      <c r="C18" s="2319">
        <v>3173.598</v>
      </c>
      <c r="D18" s="2320">
        <v>2680.9319999999998</v>
      </c>
      <c r="E18" s="2320">
        <v>39368.790999999997</v>
      </c>
      <c r="F18" s="2320">
        <v>4506.7359999999999</v>
      </c>
      <c r="G18" s="2320">
        <v>3647.172</v>
      </c>
      <c r="H18" s="2320">
        <v>46861.923000000003</v>
      </c>
      <c r="I18" s="2320">
        <v>45171.631000000001</v>
      </c>
      <c r="J18" s="2320">
        <v>31895.759999999998</v>
      </c>
      <c r="K18" s="2320">
        <v>166625.01999999999</v>
      </c>
      <c r="L18" s="2320">
        <v>2378.2170000000001</v>
      </c>
      <c r="M18" s="2320">
        <v>73011.031000000003</v>
      </c>
      <c r="N18" s="2320">
        <v>61476.237999999998</v>
      </c>
      <c r="O18" s="2320">
        <v>89584.466</v>
      </c>
      <c r="P18" s="2320">
        <v>7383.9340000000002</v>
      </c>
      <c r="Q18" s="2320">
        <v>30784.183000000001</v>
      </c>
      <c r="R18" s="2320">
        <v>64833.584999999999</v>
      </c>
      <c r="S18" s="2320">
        <v>2089.0700000000002</v>
      </c>
      <c r="T18" s="2320" t="s">
        <v>171</v>
      </c>
      <c r="U18" s="2321">
        <v>675472.28700000001</v>
      </c>
      <c r="V18" s="2268"/>
      <c r="W18" s="2268"/>
    </row>
    <row r="19" spans="1:23" s="2328" customFormat="1" ht="20.100000000000001" customHeight="1">
      <c r="A19" s="2294"/>
      <c r="B19" s="2298" t="s">
        <v>1238</v>
      </c>
      <c r="C19" s="2319">
        <v>16996.017</v>
      </c>
      <c r="D19" s="2320">
        <v>2190.221</v>
      </c>
      <c r="E19" s="2320">
        <v>2997.306</v>
      </c>
      <c r="F19" s="2320">
        <v>7826.8329999999996</v>
      </c>
      <c r="G19" s="2320">
        <v>1405.473</v>
      </c>
      <c r="H19" s="2320">
        <v>1398.204</v>
      </c>
      <c r="I19" s="2320">
        <v>306.64400000000001</v>
      </c>
      <c r="J19" s="2320">
        <v>302.21699999999998</v>
      </c>
      <c r="K19" s="2320">
        <v>59804.731</v>
      </c>
      <c r="L19" s="2320">
        <v>606.53099999999995</v>
      </c>
      <c r="M19" s="2320">
        <v>2884.9749999999999</v>
      </c>
      <c r="N19" s="2320">
        <v>4436.125</v>
      </c>
      <c r="O19" s="2320">
        <v>610.60400000000004</v>
      </c>
      <c r="P19" s="2320">
        <v>130.61000000000001</v>
      </c>
      <c r="Q19" s="2320">
        <v>970.02099999999996</v>
      </c>
      <c r="R19" s="2320">
        <v>1878.3140000000001</v>
      </c>
      <c r="S19" s="2320">
        <v>109.505</v>
      </c>
      <c r="T19" s="2320" t="s">
        <v>171</v>
      </c>
      <c r="U19" s="2321">
        <v>104854.33100000001</v>
      </c>
      <c r="V19" s="2268"/>
      <c r="W19" s="2268"/>
    </row>
    <row r="20" spans="1:23" s="2318" customFormat="1" ht="20.100000000000001" customHeight="1">
      <c r="A20" s="2294"/>
      <c r="B20" s="2298" t="s">
        <v>1239</v>
      </c>
      <c r="C20" s="2319">
        <v>267.84399999999999</v>
      </c>
      <c r="D20" s="2320">
        <v>528.53</v>
      </c>
      <c r="E20" s="2320">
        <v>1123.2090000000001</v>
      </c>
      <c r="F20" s="2320">
        <v>72824.048999999999</v>
      </c>
      <c r="G20" s="2320">
        <v>72.707999999999998</v>
      </c>
      <c r="H20" s="2320">
        <v>65.296999999999997</v>
      </c>
      <c r="I20" s="2320">
        <v>530902.06599999999</v>
      </c>
      <c r="J20" s="2320">
        <v>7.02</v>
      </c>
      <c r="K20" s="2320">
        <v>3046.4540000000002</v>
      </c>
      <c r="L20" s="2320">
        <v>122.547</v>
      </c>
      <c r="M20" s="2320">
        <v>1416.2090000000001</v>
      </c>
      <c r="N20" s="2320">
        <v>457006.45199999999</v>
      </c>
      <c r="O20" s="2320">
        <v>540.07399999999996</v>
      </c>
      <c r="P20" s="2320">
        <v>165220.85699999999</v>
      </c>
      <c r="Q20" s="2320">
        <v>4395.8159999999998</v>
      </c>
      <c r="R20" s="2320">
        <v>871.80799999999999</v>
      </c>
      <c r="S20" s="2320">
        <v>3.3650000000000002</v>
      </c>
      <c r="T20" s="2320" t="s">
        <v>171</v>
      </c>
      <c r="U20" s="2321">
        <v>1238414.3049999999</v>
      </c>
      <c r="V20" s="2268"/>
      <c r="W20" s="2268"/>
    </row>
    <row r="21" spans="1:23" s="2328" customFormat="1" ht="20.100000000000001" customHeight="1">
      <c r="A21" s="2294" t="s">
        <v>1240</v>
      </c>
      <c r="B21" s="2298" t="s">
        <v>1241</v>
      </c>
      <c r="C21" s="2319">
        <v>3497.5680000000002</v>
      </c>
      <c r="D21" s="2320">
        <v>23299.294999999998</v>
      </c>
      <c r="E21" s="2320">
        <v>16225.902</v>
      </c>
      <c r="F21" s="2320">
        <v>31707.482</v>
      </c>
      <c r="G21" s="2320">
        <v>5630.0789999999997</v>
      </c>
      <c r="H21" s="2320">
        <v>18479.039000000001</v>
      </c>
      <c r="I21" s="2320">
        <v>890521.58900000004</v>
      </c>
      <c r="J21" s="2320">
        <v>15349.23</v>
      </c>
      <c r="K21" s="2320">
        <v>514181.68300000002</v>
      </c>
      <c r="L21" s="2320">
        <v>8441.8940000000002</v>
      </c>
      <c r="M21" s="2320">
        <v>165241.28899999999</v>
      </c>
      <c r="N21" s="2320">
        <v>328684.35100000002</v>
      </c>
      <c r="O21" s="2320">
        <v>179921.61300000001</v>
      </c>
      <c r="P21" s="2320">
        <v>994633.75899999996</v>
      </c>
      <c r="Q21" s="2320">
        <v>238597.63800000001</v>
      </c>
      <c r="R21" s="2320">
        <v>60015.303</v>
      </c>
      <c r="S21" s="2320">
        <v>2353.8870000000002</v>
      </c>
      <c r="T21" s="2320" t="s">
        <v>171</v>
      </c>
      <c r="U21" s="2321">
        <v>3496781.6009999998</v>
      </c>
      <c r="V21" s="2268"/>
      <c r="W21" s="2268"/>
    </row>
    <row r="22" spans="1:23" s="2328" customFormat="1" ht="20.100000000000001" customHeight="1">
      <c r="A22" s="2294"/>
      <c r="B22" s="2298" t="s">
        <v>1242</v>
      </c>
      <c r="C22" s="2319">
        <v>1304.5509999999999</v>
      </c>
      <c r="D22" s="2320">
        <v>1273.058</v>
      </c>
      <c r="E22" s="2320">
        <v>995.51099999999997</v>
      </c>
      <c r="F22" s="2320">
        <v>33674.266000000003</v>
      </c>
      <c r="G22" s="2320">
        <v>205.32400000000001</v>
      </c>
      <c r="H22" s="2320">
        <v>5099.1030000000001</v>
      </c>
      <c r="I22" s="2320">
        <v>434.25700000000001</v>
      </c>
      <c r="J22" s="2320">
        <v>4306.9380000000001</v>
      </c>
      <c r="K22" s="2320">
        <v>76496.036999999997</v>
      </c>
      <c r="L22" s="2320">
        <v>8899.9650000000001</v>
      </c>
      <c r="M22" s="2320">
        <v>67696.373000000007</v>
      </c>
      <c r="N22" s="2320">
        <v>21682.976999999999</v>
      </c>
      <c r="O22" s="2320">
        <v>3558.9540000000002</v>
      </c>
      <c r="P22" s="2320">
        <v>3712.0360000000001</v>
      </c>
      <c r="Q22" s="2320">
        <v>3731.2049999999999</v>
      </c>
      <c r="R22" s="2320">
        <v>799.95799999999997</v>
      </c>
      <c r="S22" s="2320">
        <v>561.70000000000005</v>
      </c>
      <c r="T22" s="2320" t="s">
        <v>171</v>
      </c>
      <c r="U22" s="2321">
        <v>234432.21299999999</v>
      </c>
      <c r="V22" s="2268"/>
      <c r="W22" s="2268"/>
    </row>
    <row r="23" spans="1:23" s="2318" customFormat="1" ht="20.100000000000001" customHeight="1">
      <c r="A23" s="2294"/>
      <c r="B23" s="2298" t="s">
        <v>1243</v>
      </c>
      <c r="C23" s="2319">
        <v>3739.36</v>
      </c>
      <c r="D23" s="2320">
        <v>17184.105</v>
      </c>
      <c r="E23" s="2320">
        <v>18394.189999999999</v>
      </c>
      <c r="F23" s="2320">
        <v>23951.958999999999</v>
      </c>
      <c r="G23" s="2320">
        <v>25305.917000000001</v>
      </c>
      <c r="H23" s="2320">
        <v>33401.534</v>
      </c>
      <c r="I23" s="2320">
        <v>49432.514999999999</v>
      </c>
      <c r="J23" s="2320">
        <v>10238.082</v>
      </c>
      <c r="K23" s="2320">
        <v>188789.818</v>
      </c>
      <c r="L23" s="2320">
        <v>8605.24</v>
      </c>
      <c r="M23" s="2320">
        <v>87906.305999999997</v>
      </c>
      <c r="N23" s="2320">
        <v>96067.501000000004</v>
      </c>
      <c r="O23" s="2320">
        <v>21695.62</v>
      </c>
      <c r="P23" s="2320">
        <v>29462.129000000001</v>
      </c>
      <c r="Q23" s="2320">
        <v>85391.731</v>
      </c>
      <c r="R23" s="2320">
        <v>91581.883000000002</v>
      </c>
      <c r="S23" s="2320">
        <v>563.38400000000001</v>
      </c>
      <c r="T23" s="2320" t="s">
        <v>171</v>
      </c>
      <c r="U23" s="2321">
        <v>791711.27399999998</v>
      </c>
      <c r="V23" s="2268"/>
      <c r="W23" s="2268"/>
    </row>
    <row r="24" spans="1:23" s="2318" customFormat="1" ht="20.100000000000001" customHeight="1">
      <c r="A24" s="2294"/>
      <c r="B24" s="2298" t="s">
        <v>1244</v>
      </c>
      <c r="C24" s="2319">
        <v>1864.202</v>
      </c>
      <c r="D24" s="2320">
        <v>7495.8220000000001</v>
      </c>
      <c r="E24" s="2320">
        <v>7323.0789999999997</v>
      </c>
      <c r="F24" s="2320">
        <v>18519.894</v>
      </c>
      <c r="G24" s="2320">
        <v>2131.2080000000001</v>
      </c>
      <c r="H24" s="2320">
        <v>3083.2159999999999</v>
      </c>
      <c r="I24" s="2320">
        <v>11836.635</v>
      </c>
      <c r="J24" s="2320">
        <v>37519.614999999998</v>
      </c>
      <c r="K24" s="2320">
        <v>157332.63800000001</v>
      </c>
      <c r="L24" s="2320">
        <v>272976.75799999997</v>
      </c>
      <c r="M24" s="2320">
        <v>208435.53200000001</v>
      </c>
      <c r="N24" s="2320">
        <v>78598.759000000005</v>
      </c>
      <c r="O24" s="2320">
        <v>52102.216999999997</v>
      </c>
      <c r="P24" s="2320">
        <v>46957.79</v>
      </c>
      <c r="Q24" s="2320">
        <v>86331.687000000005</v>
      </c>
      <c r="R24" s="2320">
        <v>42127.036999999997</v>
      </c>
      <c r="S24" s="2320">
        <v>2369.9209999999998</v>
      </c>
      <c r="T24" s="2320" t="s">
        <v>171</v>
      </c>
      <c r="U24" s="2321">
        <v>1037006.01</v>
      </c>
      <c r="V24" s="2268"/>
      <c r="W24" s="2268"/>
    </row>
    <row r="25" spans="1:23" s="2318" customFormat="1" ht="20.100000000000001" customHeight="1">
      <c r="A25" s="2294"/>
      <c r="B25" s="2298" t="s">
        <v>1245</v>
      </c>
      <c r="C25" s="2319">
        <v>1110.202</v>
      </c>
      <c r="D25" s="2320">
        <v>147539.67000000001</v>
      </c>
      <c r="E25" s="2320">
        <v>24685.534</v>
      </c>
      <c r="F25" s="2320">
        <v>171120.95199999999</v>
      </c>
      <c r="G25" s="2320">
        <v>3548.2869999999998</v>
      </c>
      <c r="H25" s="2320">
        <v>4411.9679999999998</v>
      </c>
      <c r="I25" s="2320">
        <v>286974.55900000001</v>
      </c>
      <c r="J25" s="2320">
        <v>3373.9540000000002</v>
      </c>
      <c r="K25" s="2320">
        <v>175079.489</v>
      </c>
      <c r="L25" s="2320">
        <v>74405.523000000001</v>
      </c>
      <c r="M25" s="2320">
        <v>36124.531000000003</v>
      </c>
      <c r="N25" s="2320">
        <v>417633.929</v>
      </c>
      <c r="O25" s="2320">
        <v>194110.18</v>
      </c>
      <c r="P25" s="2320">
        <v>334508.73300000001</v>
      </c>
      <c r="Q25" s="2320">
        <v>594481.69999999995</v>
      </c>
      <c r="R25" s="2320">
        <v>304569.84999999998</v>
      </c>
      <c r="S25" s="2320">
        <v>248.33099999999999</v>
      </c>
      <c r="T25" s="2320" t="s">
        <v>171</v>
      </c>
      <c r="U25" s="2321">
        <v>2773927.392</v>
      </c>
      <c r="V25" s="2268"/>
      <c r="W25" s="2268"/>
    </row>
    <row r="26" spans="1:23" s="2318" customFormat="1" ht="20.100000000000001" customHeight="1">
      <c r="A26" s="2294"/>
      <c r="B26" s="2298" t="s">
        <v>1246</v>
      </c>
      <c r="C26" s="2319">
        <v>4290.0630000000001</v>
      </c>
      <c r="D26" s="2320">
        <v>67384.697</v>
      </c>
      <c r="E26" s="2320">
        <v>52938.739000000001</v>
      </c>
      <c r="F26" s="2320">
        <v>53804.605000000003</v>
      </c>
      <c r="G26" s="2320">
        <v>12689.232</v>
      </c>
      <c r="H26" s="2320">
        <v>5024.8180000000002</v>
      </c>
      <c r="I26" s="2320">
        <v>18497.760999999999</v>
      </c>
      <c r="J26" s="2320">
        <v>1215.6769999999999</v>
      </c>
      <c r="K26" s="2320">
        <v>193502.02499999999</v>
      </c>
      <c r="L26" s="2320">
        <v>3979.442</v>
      </c>
      <c r="M26" s="2320">
        <v>72326.736000000004</v>
      </c>
      <c r="N26" s="2320">
        <v>51475.728999999999</v>
      </c>
      <c r="O26" s="2320">
        <v>12840.723</v>
      </c>
      <c r="P26" s="2320">
        <v>12168.607</v>
      </c>
      <c r="Q26" s="2320">
        <v>70587.207999999999</v>
      </c>
      <c r="R26" s="2320">
        <v>142632.139</v>
      </c>
      <c r="S26" s="2320">
        <v>256.16300000000001</v>
      </c>
      <c r="T26" s="2320" t="s">
        <v>171</v>
      </c>
      <c r="U26" s="2321">
        <v>775614.36399999994</v>
      </c>
      <c r="V26" s="2268"/>
      <c r="W26" s="2268"/>
    </row>
    <row r="27" spans="1:23" s="2318" customFormat="1" ht="20.100000000000001" customHeight="1">
      <c r="A27" s="2294"/>
      <c r="B27" s="2298" t="s">
        <v>1247</v>
      </c>
      <c r="C27" s="2319">
        <v>4662.3190000000004</v>
      </c>
      <c r="D27" s="2320">
        <v>8852.3359999999993</v>
      </c>
      <c r="E27" s="2320">
        <v>28767.472000000002</v>
      </c>
      <c r="F27" s="2320">
        <v>117524.954</v>
      </c>
      <c r="G27" s="2320">
        <v>60807.205999999998</v>
      </c>
      <c r="H27" s="2320">
        <v>16161.394</v>
      </c>
      <c r="I27" s="2320">
        <v>3097.9279999999999</v>
      </c>
      <c r="J27" s="2320">
        <v>19764.023000000001</v>
      </c>
      <c r="K27" s="2320">
        <v>3054077.7680000002</v>
      </c>
      <c r="L27" s="2320">
        <v>5700.817</v>
      </c>
      <c r="M27" s="2320">
        <v>451430.424</v>
      </c>
      <c r="N27" s="2320">
        <v>854515.348</v>
      </c>
      <c r="O27" s="2320">
        <v>34977.690999999999</v>
      </c>
      <c r="P27" s="2320">
        <v>4732.9160000000002</v>
      </c>
      <c r="Q27" s="2320">
        <v>314294.24800000002</v>
      </c>
      <c r="R27" s="2320">
        <v>53559.574000000001</v>
      </c>
      <c r="S27" s="2320">
        <v>141.977</v>
      </c>
      <c r="T27" s="2320" t="s">
        <v>171</v>
      </c>
      <c r="U27" s="2321">
        <v>5033068.3949999996</v>
      </c>
      <c r="V27" s="2268"/>
      <c r="W27" s="2268"/>
    </row>
    <row r="28" spans="1:23" s="2318" customFormat="1" ht="20.100000000000001" customHeight="1">
      <c r="A28" s="2294" t="s">
        <v>1248</v>
      </c>
      <c r="B28" s="2298" t="s">
        <v>1249</v>
      </c>
      <c r="C28" s="2319">
        <v>3532.4630000000002</v>
      </c>
      <c r="D28" s="2320">
        <v>6519.1769999999997</v>
      </c>
      <c r="E28" s="2320">
        <v>8014.585</v>
      </c>
      <c r="F28" s="2320">
        <v>134575.679</v>
      </c>
      <c r="G28" s="2320">
        <v>2697.7910000000002</v>
      </c>
      <c r="H28" s="2320">
        <v>4012.6579999999999</v>
      </c>
      <c r="I28" s="2320">
        <v>2054.5230000000001</v>
      </c>
      <c r="J28" s="2320">
        <v>544.70299999999997</v>
      </c>
      <c r="K28" s="2320">
        <v>52143.599000000002</v>
      </c>
      <c r="L28" s="2320">
        <v>3343.587</v>
      </c>
      <c r="M28" s="2320">
        <v>10101.550999999999</v>
      </c>
      <c r="N28" s="2320">
        <v>50639.446000000004</v>
      </c>
      <c r="O28" s="2320">
        <v>2316.0129999999999</v>
      </c>
      <c r="P28" s="2320">
        <v>929.81200000000001</v>
      </c>
      <c r="Q28" s="2320">
        <v>17845.351999999999</v>
      </c>
      <c r="R28" s="2320">
        <v>20624.058000000001</v>
      </c>
      <c r="S28" s="2320">
        <v>67.513999999999996</v>
      </c>
      <c r="T28" s="2320" t="s">
        <v>171</v>
      </c>
      <c r="U28" s="2321">
        <v>319962.511</v>
      </c>
      <c r="V28" s="2268"/>
      <c r="W28" s="2268"/>
    </row>
    <row r="29" spans="1:23" s="2318" customFormat="1" ht="20.100000000000001" customHeight="1">
      <c r="A29" s="2294"/>
      <c r="B29" s="2298" t="s">
        <v>1250</v>
      </c>
      <c r="C29" s="2319">
        <v>1927.664</v>
      </c>
      <c r="D29" s="2320">
        <v>13103.797</v>
      </c>
      <c r="E29" s="2320">
        <v>26482.343000000001</v>
      </c>
      <c r="F29" s="2320">
        <v>16064.416999999999</v>
      </c>
      <c r="G29" s="2320">
        <v>16458.223000000002</v>
      </c>
      <c r="H29" s="2320">
        <v>6880.8980000000001</v>
      </c>
      <c r="I29" s="2320">
        <v>47189.612999999998</v>
      </c>
      <c r="J29" s="2320">
        <v>5835.777</v>
      </c>
      <c r="K29" s="2320">
        <v>98465.630999999994</v>
      </c>
      <c r="L29" s="2320">
        <v>3471.681</v>
      </c>
      <c r="M29" s="2320">
        <v>142002.27600000001</v>
      </c>
      <c r="N29" s="2320">
        <v>71801.354999999996</v>
      </c>
      <c r="O29" s="2320">
        <v>12299.186</v>
      </c>
      <c r="P29" s="2320">
        <v>57261.470999999998</v>
      </c>
      <c r="Q29" s="2320">
        <v>108169.56200000001</v>
      </c>
      <c r="R29" s="2320">
        <v>83852.994000000006</v>
      </c>
      <c r="S29" s="2320">
        <v>123.304</v>
      </c>
      <c r="T29" s="2320" t="s">
        <v>171</v>
      </c>
      <c r="U29" s="2321">
        <v>711390.19200000004</v>
      </c>
      <c r="V29" s="2268"/>
      <c r="W29" s="2268"/>
    </row>
    <row r="30" spans="1:23" s="2318" customFormat="1" ht="20.100000000000001" customHeight="1">
      <c r="A30" s="2294"/>
      <c r="B30" s="2298" t="s">
        <v>1251</v>
      </c>
      <c r="C30" s="2319">
        <v>11555.574000000001</v>
      </c>
      <c r="D30" s="2320">
        <v>85127.724000000002</v>
      </c>
      <c r="E30" s="2320">
        <v>44983.078999999998</v>
      </c>
      <c r="F30" s="2320">
        <v>78420.244999999995</v>
      </c>
      <c r="G30" s="2320">
        <v>15676.645</v>
      </c>
      <c r="H30" s="2320">
        <v>8916.11</v>
      </c>
      <c r="I30" s="2320">
        <v>17933.375</v>
      </c>
      <c r="J30" s="2320">
        <v>3484.9279999999999</v>
      </c>
      <c r="K30" s="2320">
        <v>361044.24699999997</v>
      </c>
      <c r="L30" s="2320">
        <v>2740.2930000000001</v>
      </c>
      <c r="M30" s="2320">
        <v>43506.661999999997</v>
      </c>
      <c r="N30" s="2320">
        <v>77686.225000000006</v>
      </c>
      <c r="O30" s="2320">
        <v>13828.504999999999</v>
      </c>
      <c r="P30" s="2320">
        <v>6635.915</v>
      </c>
      <c r="Q30" s="2320">
        <v>77767.714999999997</v>
      </c>
      <c r="R30" s="2320">
        <v>168229.59400000001</v>
      </c>
      <c r="S30" s="2320">
        <v>203.03200000000001</v>
      </c>
      <c r="T30" s="2320" t="s">
        <v>171</v>
      </c>
      <c r="U30" s="2321">
        <v>1017739.868</v>
      </c>
      <c r="V30" s="2268"/>
      <c r="W30" s="2268"/>
    </row>
    <row r="31" spans="1:23" s="2318" customFormat="1" ht="20.100000000000001" customHeight="1">
      <c r="A31" s="2294"/>
      <c r="B31" s="2298" t="s">
        <v>1252</v>
      </c>
      <c r="C31" s="2319">
        <v>1732.5709999999999</v>
      </c>
      <c r="D31" s="2320">
        <v>94757.498999999996</v>
      </c>
      <c r="E31" s="2320">
        <v>122076.999</v>
      </c>
      <c r="F31" s="2320">
        <v>44871.419000000002</v>
      </c>
      <c r="G31" s="2320">
        <v>47050.228999999999</v>
      </c>
      <c r="H31" s="2320">
        <v>17986.591</v>
      </c>
      <c r="I31" s="2320">
        <v>209898.90400000001</v>
      </c>
      <c r="J31" s="2320">
        <v>7274.9660000000003</v>
      </c>
      <c r="K31" s="2320">
        <v>272153.57799999998</v>
      </c>
      <c r="L31" s="2320">
        <v>15855.898999999999</v>
      </c>
      <c r="M31" s="2320">
        <v>67765.942999999999</v>
      </c>
      <c r="N31" s="2320">
        <v>266617.25</v>
      </c>
      <c r="O31" s="2320">
        <v>80700.053</v>
      </c>
      <c r="P31" s="2320">
        <v>7396.848</v>
      </c>
      <c r="Q31" s="2320">
        <v>228332.36499999999</v>
      </c>
      <c r="R31" s="2320">
        <v>202344.23199999999</v>
      </c>
      <c r="S31" s="2320">
        <v>23.995000000000001</v>
      </c>
      <c r="T31" s="2320" t="s">
        <v>171</v>
      </c>
      <c r="U31" s="2321">
        <v>1686839.341</v>
      </c>
      <c r="V31" s="2268"/>
      <c r="W31" s="2268"/>
    </row>
    <row r="32" spans="1:23" s="2318" customFormat="1" ht="20.100000000000001" customHeight="1">
      <c r="A32" s="2294"/>
      <c r="B32" s="2298" t="s">
        <v>1253</v>
      </c>
      <c r="C32" s="2319">
        <v>1643.3689999999999</v>
      </c>
      <c r="D32" s="2320">
        <v>19646.343000000001</v>
      </c>
      <c r="E32" s="2320">
        <v>4187.1530000000002</v>
      </c>
      <c r="F32" s="2320">
        <v>5294.4359999999997</v>
      </c>
      <c r="G32" s="2320">
        <v>354.48200000000003</v>
      </c>
      <c r="H32" s="2320">
        <v>768.59500000000003</v>
      </c>
      <c r="I32" s="2320">
        <v>93150.758000000002</v>
      </c>
      <c r="J32" s="2320">
        <v>14.561999999999999</v>
      </c>
      <c r="K32" s="2320">
        <v>8643.0720000000001</v>
      </c>
      <c r="L32" s="2320">
        <v>3520.6370000000002</v>
      </c>
      <c r="M32" s="2320">
        <v>2756.3319999999999</v>
      </c>
      <c r="N32" s="2320">
        <v>3377.91</v>
      </c>
      <c r="O32" s="2320">
        <v>5552.4030000000002</v>
      </c>
      <c r="P32" s="2320">
        <v>54440.896999999997</v>
      </c>
      <c r="Q32" s="2320">
        <v>13016.746999999999</v>
      </c>
      <c r="R32" s="2320">
        <v>170506.329</v>
      </c>
      <c r="S32" s="2320">
        <v>30.597999999999999</v>
      </c>
      <c r="T32" s="2320" t="s">
        <v>171</v>
      </c>
      <c r="U32" s="2321">
        <v>386904.62300000002</v>
      </c>
      <c r="V32" s="2268"/>
      <c r="W32" s="2268"/>
    </row>
    <row r="33" spans="1:23" s="2318" customFormat="1" ht="20.100000000000001" customHeight="1">
      <c r="A33" s="2294"/>
      <c r="B33" s="2298" t="s">
        <v>1254</v>
      </c>
      <c r="C33" s="2319">
        <v>279.48200000000003</v>
      </c>
      <c r="D33" s="2320">
        <v>732.57</v>
      </c>
      <c r="E33" s="2320">
        <v>1451.3510000000001</v>
      </c>
      <c r="F33" s="2320">
        <v>11053.35</v>
      </c>
      <c r="G33" s="2320">
        <v>442.09800000000001</v>
      </c>
      <c r="H33" s="2320">
        <v>367.27499999999998</v>
      </c>
      <c r="I33" s="2320">
        <v>156.65799999999999</v>
      </c>
      <c r="J33" s="2320">
        <v>58.478999999999999</v>
      </c>
      <c r="K33" s="2320">
        <v>41354.535000000003</v>
      </c>
      <c r="L33" s="2320">
        <v>638.35400000000004</v>
      </c>
      <c r="M33" s="2320">
        <v>2316.5569999999998</v>
      </c>
      <c r="N33" s="2320">
        <v>1019.024</v>
      </c>
      <c r="O33" s="2320">
        <v>459.17</v>
      </c>
      <c r="P33" s="2320">
        <v>686.44600000000003</v>
      </c>
      <c r="Q33" s="2320">
        <v>2247.2159999999999</v>
      </c>
      <c r="R33" s="2320">
        <v>2022.393</v>
      </c>
      <c r="S33" s="2320">
        <v>107.90900000000001</v>
      </c>
      <c r="T33" s="2320" t="s">
        <v>171</v>
      </c>
      <c r="U33" s="2321">
        <v>65392.866999999998</v>
      </c>
      <c r="V33" s="2268"/>
      <c r="W33" s="2268"/>
    </row>
    <row r="34" spans="1:23" s="2269" customFormat="1" ht="20.100000000000001" customHeight="1">
      <c r="A34" s="2294"/>
      <c r="B34" s="2298" t="s">
        <v>1255</v>
      </c>
      <c r="C34" s="2319">
        <v>8850.6779999999999</v>
      </c>
      <c r="D34" s="2320">
        <v>3132.2109999999998</v>
      </c>
      <c r="E34" s="2320">
        <v>2923.183</v>
      </c>
      <c r="F34" s="2320">
        <v>32508.547999999999</v>
      </c>
      <c r="G34" s="2320">
        <v>182.958</v>
      </c>
      <c r="H34" s="2320">
        <v>1585.884</v>
      </c>
      <c r="I34" s="2320">
        <v>70.602000000000004</v>
      </c>
      <c r="J34" s="2320">
        <v>376.58300000000003</v>
      </c>
      <c r="K34" s="2320">
        <v>110288.00199999999</v>
      </c>
      <c r="L34" s="2320">
        <v>857.03099999999995</v>
      </c>
      <c r="M34" s="2320">
        <v>49274.561000000002</v>
      </c>
      <c r="N34" s="2320">
        <v>6944.3950000000004</v>
      </c>
      <c r="O34" s="2320">
        <v>1414.5129999999999</v>
      </c>
      <c r="P34" s="2320">
        <v>533.03</v>
      </c>
      <c r="Q34" s="2320">
        <v>2326.1779999999999</v>
      </c>
      <c r="R34" s="2320">
        <v>22567.445</v>
      </c>
      <c r="S34" s="2320">
        <v>121.837</v>
      </c>
      <c r="T34" s="2320" t="s">
        <v>171</v>
      </c>
      <c r="U34" s="2321">
        <v>243957.639</v>
      </c>
      <c r="V34" s="2268"/>
      <c r="W34" s="2268"/>
    </row>
    <row r="35" spans="1:23" s="2269" customFormat="1" ht="20.100000000000001" customHeight="1">
      <c r="A35" s="2299" t="s">
        <v>906</v>
      </c>
      <c r="B35" s="2298" t="s">
        <v>1256</v>
      </c>
      <c r="C35" s="2322">
        <v>155.99600000000001</v>
      </c>
      <c r="D35" s="2323">
        <v>247.036</v>
      </c>
      <c r="E35" s="2323">
        <v>161.006</v>
      </c>
      <c r="F35" s="2323">
        <v>391.649</v>
      </c>
      <c r="G35" s="2323">
        <v>132.596</v>
      </c>
      <c r="H35" s="2323">
        <v>28.463000000000001</v>
      </c>
      <c r="I35" s="2323">
        <v>88.816999999999993</v>
      </c>
      <c r="J35" s="2323">
        <v>27.207000000000001</v>
      </c>
      <c r="K35" s="2323">
        <v>1409.2560000000001</v>
      </c>
      <c r="L35" s="2323">
        <v>297.221</v>
      </c>
      <c r="M35" s="2323">
        <v>501.30799999999999</v>
      </c>
      <c r="N35" s="2323">
        <v>565.55600000000004</v>
      </c>
      <c r="O35" s="2323">
        <v>490.74599999999998</v>
      </c>
      <c r="P35" s="2323">
        <v>1122.9010000000001</v>
      </c>
      <c r="Q35" s="2323">
        <v>576.726</v>
      </c>
      <c r="R35" s="2323">
        <v>1004.789</v>
      </c>
      <c r="S35" s="2323">
        <v>105.08199999999999</v>
      </c>
      <c r="T35" s="2323" t="s">
        <v>171</v>
      </c>
      <c r="U35" s="2324">
        <v>7306.3549999999996</v>
      </c>
      <c r="V35" s="2268"/>
      <c r="W35" s="2268"/>
    </row>
    <row r="36" spans="1:23" s="2269" customFormat="1" ht="21" customHeight="1">
      <c r="A36" s="3100" t="s">
        <v>1257</v>
      </c>
      <c r="B36" s="3101"/>
      <c r="C36" s="2329">
        <v>4106850.8939999999</v>
      </c>
      <c r="D36" s="2330">
        <v>1771782.331</v>
      </c>
      <c r="E36" s="2330">
        <v>1353740.73</v>
      </c>
      <c r="F36" s="2330">
        <v>2215447.9190000002</v>
      </c>
      <c r="G36" s="2330">
        <v>744368.42299999995</v>
      </c>
      <c r="H36" s="2330">
        <v>838558.69400000002</v>
      </c>
      <c r="I36" s="2330">
        <v>2754976.8289999999</v>
      </c>
      <c r="J36" s="2331">
        <v>331444.78399999999</v>
      </c>
      <c r="K36" s="2330">
        <v>12201098.672</v>
      </c>
      <c r="L36" s="2330">
        <v>1569108.3119999999</v>
      </c>
      <c r="M36" s="2330">
        <v>2584515.4920000001</v>
      </c>
      <c r="N36" s="2330">
        <v>4320468.3499999996</v>
      </c>
      <c r="O36" s="2330">
        <v>1881020.26</v>
      </c>
      <c r="P36" s="2330">
        <v>2969579.6910000001</v>
      </c>
      <c r="Q36" s="2330">
        <v>3663774.62</v>
      </c>
      <c r="R36" s="2330">
        <v>3134950.7119999998</v>
      </c>
      <c r="S36" s="2330">
        <v>486222.70699999999</v>
      </c>
      <c r="T36" s="2330" t="s">
        <v>171</v>
      </c>
      <c r="U36" s="2332">
        <v>46927909.420000002</v>
      </c>
      <c r="V36" s="2268"/>
      <c r="W36" s="2268"/>
    </row>
    <row r="37" spans="1:23" ht="5.0999999999999996" customHeight="1">
      <c r="A37" s="631"/>
      <c r="B37" s="631"/>
      <c r="C37" s="631"/>
      <c r="D37" s="631"/>
      <c r="E37" s="631"/>
      <c r="F37" s="631"/>
      <c r="G37" s="631"/>
      <c r="H37" s="631"/>
      <c r="I37" s="631"/>
      <c r="J37" s="631"/>
      <c r="K37" s="631"/>
      <c r="L37" s="631"/>
      <c r="M37" s="631"/>
      <c r="N37" s="631"/>
      <c r="O37" s="631"/>
      <c r="P37" s="631"/>
      <c r="Q37" s="631"/>
      <c r="R37" s="631"/>
      <c r="S37" s="631"/>
      <c r="T37" s="631"/>
      <c r="U37" s="631"/>
      <c r="W37" s="2268"/>
    </row>
    <row r="38" spans="1:23" ht="12.95" customHeight="1">
      <c r="A38" s="1949" t="s">
        <v>1268</v>
      </c>
      <c r="B38" s="631"/>
      <c r="C38" s="631"/>
      <c r="D38" s="1949"/>
      <c r="E38" s="631"/>
      <c r="F38" s="631"/>
      <c r="G38" s="1949"/>
      <c r="H38" s="631"/>
      <c r="I38" s="631"/>
      <c r="J38" s="631"/>
      <c r="K38" s="1949" t="s">
        <v>1269</v>
      </c>
      <c r="L38" s="631"/>
      <c r="M38" s="631"/>
      <c r="N38" s="631"/>
      <c r="O38" s="631"/>
      <c r="P38" s="631"/>
      <c r="Q38" s="631"/>
      <c r="R38" s="631"/>
      <c r="S38" s="631"/>
      <c r="T38" s="631"/>
      <c r="U38" s="631"/>
    </row>
    <row r="39" spans="1:23" s="309" customFormat="1" ht="6" customHeight="1">
      <c r="A39" s="631"/>
      <c r="B39" s="631"/>
      <c r="C39" s="631"/>
      <c r="D39" s="631"/>
      <c r="E39" s="631"/>
      <c r="F39" s="631"/>
      <c r="G39" s="631"/>
      <c r="H39" s="631"/>
      <c r="I39" s="631"/>
      <c r="J39" s="631"/>
      <c r="K39" s="631"/>
      <c r="L39" s="631"/>
      <c r="M39" s="631"/>
      <c r="N39" s="631"/>
      <c r="O39" s="631"/>
      <c r="P39" s="631"/>
      <c r="Q39" s="631"/>
      <c r="R39" s="631"/>
      <c r="S39" s="631"/>
      <c r="T39" s="631"/>
      <c r="U39" s="631"/>
    </row>
    <row r="40" spans="1:23">
      <c r="A40" s="631"/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6"/>
    </row>
    <row r="41" spans="1:23">
      <c r="C41" s="1520"/>
      <c r="D41" s="1520"/>
      <c r="E41" s="1520"/>
      <c r="F41" s="1520"/>
      <c r="G41" s="1520"/>
      <c r="H41" s="1520"/>
      <c r="I41" s="1520"/>
      <c r="J41" s="1520"/>
      <c r="K41" s="1520"/>
      <c r="L41" s="1520"/>
      <c r="M41" s="1520"/>
      <c r="N41" s="1520"/>
      <c r="O41" s="1520"/>
      <c r="P41" s="1520"/>
      <c r="Q41" s="1520"/>
      <c r="R41" s="1520"/>
      <c r="S41" s="1520"/>
      <c r="T41" s="1520"/>
      <c r="U41" s="1520"/>
    </row>
    <row r="42" spans="1:23">
      <c r="C42" s="1520"/>
      <c r="D42" s="1520"/>
      <c r="E42" s="1520"/>
      <c r="F42" s="1520"/>
      <c r="G42" s="1520"/>
      <c r="H42" s="1520"/>
      <c r="I42" s="1520"/>
      <c r="J42" s="1520"/>
      <c r="K42" s="1520"/>
      <c r="L42" s="1520"/>
      <c r="M42" s="1520"/>
      <c r="N42" s="1520"/>
      <c r="O42" s="1520"/>
      <c r="P42" s="1520"/>
      <c r="Q42" s="1520"/>
      <c r="R42" s="1520"/>
      <c r="S42" s="1520"/>
      <c r="T42" s="1520"/>
      <c r="U42" s="1520"/>
    </row>
    <row r="43" spans="1:23">
      <c r="C43" s="631"/>
      <c r="D43" s="631"/>
      <c r="E43" s="631"/>
      <c r="F43" s="631"/>
      <c r="G43" s="631"/>
      <c r="H43" s="631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631"/>
    </row>
    <row r="44" spans="1:23">
      <c r="U44" s="2152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3" type="noConversion"/>
  <printOptions horizontalCentered="1"/>
  <pageMargins left="0.94488188976377963" right="0.94488188976377963" top="1.1811023622047245" bottom="0.78740157480314965" header="1.1811023622047245" footer="0"/>
  <pageSetup paperSize="9" scale="79" firstPageNumber="72" orientation="portrait" useFirstPageNumber="1" r:id="rId1"/>
  <headerFooter differentOddEven="1" scaleWithDoc="0" alignWithMargins="0"/>
  <colBreaks count="1" manualBreakCount="1">
    <brk id="10" max="47" man="1"/>
  </col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43"/>
  <sheetViews>
    <sheetView showGridLines="0" view="pageBreakPreview" zoomScale="70" zoomScaleNormal="100" zoomScaleSheetLayoutView="7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3" style="1280" customWidth="1"/>
    <col min="2" max="2" width="9.875" style="1280" customWidth="1"/>
    <col min="3" max="3" width="9.625" style="1280" customWidth="1"/>
    <col min="4" max="8" width="8.75" style="1280" customWidth="1"/>
    <col min="9" max="9" width="9.25" style="1280" customWidth="1"/>
    <col min="10" max="10" width="8.75" style="1280" customWidth="1"/>
    <col min="11" max="11" width="9.625" style="1280" customWidth="1"/>
    <col min="12" max="17" width="9.25" style="1280" customWidth="1"/>
    <col min="18" max="19" width="8.75" style="1280" customWidth="1"/>
    <col min="20" max="20" width="7.625" style="1280" customWidth="1"/>
    <col min="21" max="21" width="10.125" style="1280" customWidth="1"/>
    <col min="22" max="23" width="7.875" style="1280" customWidth="1"/>
    <col min="24" max="24" width="10.375" style="1280" customWidth="1"/>
    <col min="25" max="25" width="9.875" style="1280" customWidth="1"/>
    <col min="26" max="16384" width="7.875" style="1280"/>
  </cols>
  <sheetData>
    <row r="1" spans="1:25" ht="18" customHeight="1">
      <c r="A1" s="2333" t="s">
        <v>1270</v>
      </c>
    </row>
    <row r="2" spans="1:25" s="1947" customFormat="1" ht="17.25">
      <c r="A2" s="1947" t="s">
        <v>1260</v>
      </c>
      <c r="G2" s="1947" t="s">
        <v>1271</v>
      </c>
    </row>
    <row r="3" spans="1:25" ht="17.25" customHeight="1">
      <c r="B3" s="307"/>
      <c r="K3" s="2334"/>
      <c r="P3" s="2031"/>
      <c r="R3" s="2031"/>
      <c r="S3" s="2031"/>
      <c r="T3" s="2031"/>
      <c r="U3" s="2335"/>
    </row>
    <row r="4" spans="1:25" s="307" customFormat="1" ht="21.95" customHeight="1">
      <c r="A4" s="3102" t="s">
        <v>1206</v>
      </c>
      <c r="B4" s="3103"/>
      <c r="C4" s="2305" t="s">
        <v>1207</v>
      </c>
      <c r="D4" s="2306" t="s">
        <v>1177</v>
      </c>
      <c r="E4" s="2306" t="s">
        <v>1178</v>
      </c>
      <c r="F4" s="2307" t="s">
        <v>1179</v>
      </c>
      <c r="G4" s="2307" t="s">
        <v>1180</v>
      </c>
      <c r="H4" s="2307" t="s">
        <v>1181</v>
      </c>
      <c r="I4" s="2306" t="s">
        <v>1182</v>
      </c>
      <c r="J4" s="2085" t="s">
        <v>1183</v>
      </c>
      <c r="K4" s="2308" t="s">
        <v>1184</v>
      </c>
      <c r="L4" s="2308" t="s">
        <v>1185</v>
      </c>
      <c r="M4" s="2308" t="s">
        <v>1186</v>
      </c>
      <c r="N4" s="2308" t="s">
        <v>1187</v>
      </c>
      <c r="O4" s="2309" t="s">
        <v>1188</v>
      </c>
      <c r="P4" s="2310" t="s">
        <v>1189</v>
      </c>
      <c r="Q4" s="2308" t="s">
        <v>1190</v>
      </c>
      <c r="R4" s="2310" t="s">
        <v>1191</v>
      </c>
      <c r="S4" s="2306" t="s">
        <v>1192</v>
      </c>
      <c r="T4" s="2306" t="s">
        <v>1193</v>
      </c>
      <c r="U4" s="2336" t="s">
        <v>1209</v>
      </c>
    </row>
    <row r="5" spans="1:25" s="2287" customFormat="1" ht="21.95" customHeight="1">
      <c r="A5" s="3104" t="s">
        <v>1223</v>
      </c>
      <c r="B5" s="3105"/>
      <c r="C5" s="2337">
        <v>14550104.562000001</v>
      </c>
      <c r="D5" s="2285">
        <v>5054429.9230000004</v>
      </c>
      <c r="E5" s="2338">
        <v>3580476.7379999999</v>
      </c>
      <c r="F5" s="2338">
        <v>4704934.4280000003</v>
      </c>
      <c r="G5" s="2338">
        <v>2249685.8629999999</v>
      </c>
      <c r="H5" s="2338">
        <v>2142124.2549999999</v>
      </c>
      <c r="I5" s="2338">
        <v>1648160.6170000001</v>
      </c>
      <c r="J5" s="1476">
        <v>645445.04</v>
      </c>
      <c r="K5" s="1476">
        <v>21128150.326000001</v>
      </c>
      <c r="L5" s="1476">
        <v>2332244.59</v>
      </c>
      <c r="M5" s="2338">
        <v>2434705.27</v>
      </c>
      <c r="N5" s="2338">
        <v>3250541.5529999998</v>
      </c>
      <c r="O5" s="2338">
        <v>2597581</v>
      </c>
      <c r="P5" s="2338">
        <v>2606962.6860000002</v>
      </c>
      <c r="Q5" s="2338">
        <v>3763328.2620000001</v>
      </c>
      <c r="R5" s="2338">
        <v>4863307.9529999997</v>
      </c>
      <c r="S5" s="2338">
        <v>1005271.129</v>
      </c>
      <c r="T5" s="2339" t="s">
        <v>171</v>
      </c>
      <c r="U5" s="2340">
        <v>78557454.194999993</v>
      </c>
      <c r="W5" s="2268"/>
      <c r="X5" s="2341"/>
      <c r="Y5" s="2342"/>
    </row>
    <row r="6" spans="1:25" s="309" customFormat="1" ht="21.95" customHeight="1">
      <c r="A6" s="3106" t="s">
        <v>1224</v>
      </c>
      <c r="B6" s="3107"/>
      <c r="C6" s="2343">
        <v>3701629.53</v>
      </c>
      <c r="D6" s="2344">
        <v>1301331.094</v>
      </c>
      <c r="E6" s="2344">
        <v>888038.92200000002</v>
      </c>
      <c r="F6" s="2344">
        <v>1045144.346</v>
      </c>
      <c r="G6" s="2344">
        <v>591575.21799999999</v>
      </c>
      <c r="H6" s="2344">
        <v>1187418.848</v>
      </c>
      <c r="I6" s="2344">
        <v>534259.99300000002</v>
      </c>
      <c r="J6" s="2344">
        <v>357567.054</v>
      </c>
      <c r="K6" s="2344">
        <v>6099209.5089999996</v>
      </c>
      <c r="L6" s="2344">
        <v>1534911.0919999999</v>
      </c>
      <c r="M6" s="2344">
        <v>1402837.57</v>
      </c>
      <c r="N6" s="2344">
        <v>1182007.7350000001</v>
      </c>
      <c r="O6" s="2344">
        <v>1100924.558</v>
      </c>
      <c r="P6" s="2344">
        <v>1363239.2009999999</v>
      </c>
      <c r="Q6" s="2344">
        <v>1757710.922</v>
      </c>
      <c r="R6" s="2344">
        <v>1486405.973</v>
      </c>
      <c r="S6" s="2344">
        <v>355349.44</v>
      </c>
      <c r="T6" s="2345" t="s">
        <v>171</v>
      </c>
      <c r="U6" s="2346">
        <v>25889561.004999999</v>
      </c>
      <c r="W6" s="2268"/>
      <c r="X6" s="2341"/>
      <c r="Y6" s="2342"/>
    </row>
    <row r="7" spans="1:25" s="309" customFormat="1" ht="21.95" customHeight="1">
      <c r="A7" s="3106" t="s">
        <v>1225</v>
      </c>
      <c r="B7" s="3107"/>
      <c r="C7" s="2343">
        <v>29004080.329</v>
      </c>
      <c r="D7" s="2344">
        <v>7952080.4029999999</v>
      </c>
      <c r="E7" s="2344">
        <v>5859762.4359999998</v>
      </c>
      <c r="F7" s="2344">
        <v>8063756.915</v>
      </c>
      <c r="G7" s="2344">
        <v>3393194.6490000002</v>
      </c>
      <c r="H7" s="2344">
        <v>4291035.1789999995</v>
      </c>
      <c r="I7" s="2344">
        <v>3487219.9160000002</v>
      </c>
      <c r="J7" s="2347">
        <v>302369.42300000001</v>
      </c>
      <c r="K7" s="2344">
        <v>40595688.545000002</v>
      </c>
      <c r="L7" s="2344">
        <v>6653749.0580000002</v>
      </c>
      <c r="M7" s="2344">
        <v>5624959.2719999999</v>
      </c>
      <c r="N7" s="2344">
        <v>7730813.6540000001</v>
      </c>
      <c r="O7" s="2344">
        <v>5329800.3859999999</v>
      </c>
      <c r="P7" s="2344">
        <v>5936873.5590000004</v>
      </c>
      <c r="Q7" s="2344">
        <v>9066817.1099999994</v>
      </c>
      <c r="R7" s="2344">
        <v>9407331.4069999997</v>
      </c>
      <c r="S7" s="2344">
        <v>2848905.13</v>
      </c>
      <c r="T7" s="2345" t="s">
        <v>171</v>
      </c>
      <c r="U7" s="2346">
        <v>155548437.37099999</v>
      </c>
      <c r="W7" s="2268"/>
      <c r="X7" s="2341"/>
      <c r="Y7" s="2342"/>
    </row>
    <row r="8" spans="1:25" s="2287" customFormat="1" ht="21.95" customHeight="1">
      <c r="A8" s="3106" t="s">
        <v>1226</v>
      </c>
      <c r="B8" s="3107"/>
      <c r="C8" s="2319">
        <v>19956.249</v>
      </c>
      <c r="D8" s="2320">
        <v>112181.008</v>
      </c>
      <c r="E8" s="2320">
        <v>85684.457999999999</v>
      </c>
      <c r="F8" s="2320">
        <v>166002.459</v>
      </c>
      <c r="G8" s="2320">
        <v>87213.918000000005</v>
      </c>
      <c r="H8" s="2320">
        <v>39500.017999999996</v>
      </c>
      <c r="I8" s="2320">
        <v>92992.68</v>
      </c>
      <c r="J8" s="2320">
        <v>91636.682000000001</v>
      </c>
      <c r="K8" s="2320">
        <v>2802835.071</v>
      </c>
      <c r="L8" s="2320">
        <v>791360.34199999995</v>
      </c>
      <c r="M8" s="2320">
        <v>956936.64099999995</v>
      </c>
      <c r="N8" s="2320">
        <v>2389390.798</v>
      </c>
      <c r="O8" s="2320">
        <v>1784019.662</v>
      </c>
      <c r="P8" s="2320">
        <v>3636894.4339999999</v>
      </c>
      <c r="Q8" s="2320">
        <v>2295339.7340000002</v>
      </c>
      <c r="R8" s="2320">
        <v>2414600.3769999999</v>
      </c>
      <c r="S8" s="2320">
        <v>1519100.7379999999</v>
      </c>
      <c r="T8" s="2320" t="s">
        <v>171</v>
      </c>
      <c r="U8" s="2321">
        <v>19285645.269000001</v>
      </c>
      <c r="W8" s="2268"/>
      <c r="X8" s="2341"/>
      <c r="Y8" s="2342"/>
    </row>
    <row r="9" spans="1:25" s="2287" customFormat="1" ht="21.95" customHeight="1">
      <c r="A9" s="3108" t="s">
        <v>1227</v>
      </c>
      <c r="B9" s="3109"/>
      <c r="C9" s="2348">
        <v>2003.6469999999999</v>
      </c>
      <c r="D9" s="2292">
        <v>20393.138999999999</v>
      </c>
      <c r="E9" s="2292">
        <v>16921.974999999999</v>
      </c>
      <c r="F9" s="2292">
        <v>86695.417000000001</v>
      </c>
      <c r="G9" s="2292">
        <v>3438.3220000000001</v>
      </c>
      <c r="H9" s="2292">
        <v>1175.4179999999999</v>
      </c>
      <c r="I9" s="2292">
        <v>13921.323</v>
      </c>
      <c r="J9" s="2292">
        <v>11587.986999999999</v>
      </c>
      <c r="K9" s="2292">
        <v>261889.97099999999</v>
      </c>
      <c r="L9" s="2292">
        <v>445443.42099999997</v>
      </c>
      <c r="M9" s="2292">
        <v>124484.522</v>
      </c>
      <c r="N9" s="2292">
        <v>339102.821</v>
      </c>
      <c r="O9" s="2292">
        <v>66668.217000000004</v>
      </c>
      <c r="P9" s="2292">
        <v>76744.966</v>
      </c>
      <c r="Q9" s="2292">
        <v>219136.894</v>
      </c>
      <c r="R9" s="2292">
        <v>61534.148000000001</v>
      </c>
      <c r="S9" s="2292">
        <v>7929.01</v>
      </c>
      <c r="T9" s="2291" t="s">
        <v>171</v>
      </c>
      <c r="U9" s="2349">
        <v>1759071.1980000001</v>
      </c>
      <c r="W9" s="2268"/>
      <c r="X9" s="2341"/>
      <c r="Y9" s="2342"/>
    </row>
    <row r="10" spans="1:25" s="2287" customFormat="1" ht="21.95" customHeight="1">
      <c r="A10" s="2294"/>
      <c r="B10" s="2295" t="s">
        <v>1228</v>
      </c>
      <c r="C10" s="2092">
        <v>1510903.0689999999</v>
      </c>
      <c r="D10" s="2093">
        <v>7053232.4009999996</v>
      </c>
      <c r="E10" s="2093">
        <v>5608375.699</v>
      </c>
      <c r="F10" s="2093">
        <v>11440330.413000001</v>
      </c>
      <c r="G10" s="2093">
        <v>2791762.7519999999</v>
      </c>
      <c r="H10" s="2093">
        <v>2355623.4109999998</v>
      </c>
      <c r="I10" s="2093">
        <v>27142626.186999999</v>
      </c>
      <c r="J10" s="2093">
        <v>1773473.102</v>
      </c>
      <c r="K10" s="2093">
        <v>69643238.447999999</v>
      </c>
      <c r="L10" s="2093">
        <v>5567811.9129999997</v>
      </c>
      <c r="M10" s="2093">
        <v>18868303.379999999</v>
      </c>
      <c r="N10" s="2093">
        <v>35367781.555</v>
      </c>
      <c r="O10" s="2093">
        <v>10959480.130999999</v>
      </c>
      <c r="P10" s="2093">
        <v>21044389.765999999</v>
      </c>
      <c r="Q10" s="2093">
        <v>27498700.449999999</v>
      </c>
      <c r="R10" s="2093">
        <v>17957739.916999999</v>
      </c>
      <c r="S10" s="2093">
        <v>308800.58100000001</v>
      </c>
      <c r="T10" s="2296" t="s">
        <v>171</v>
      </c>
      <c r="U10" s="2350">
        <v>266892573.17500001</v>
      </c>
      <c r="W10" s="2268"/>
      <c r="X10" s="2341"/>
      <c r="Y10" s="2342"/>
    </row>
    <row r="11" spans="1:25" s="309" customFormat="1" ht="20.100000000000001" customHeight="1">
      <c r="A11" s="2294"/>
      <c r="B11" s="2298" t="s">
        <v>1229</v>
      </c>
      <c r="C11" s="2351">
        <v>227207.00099999999</v>
      </c>
      <c r="D11" s="2289">
        <v>590743.40399999998</v>
      </c>
      <c r="E11" s="2289">
        <v>220300.37400000001</v>
      </c>
      <c r="F11" s="2289">
        <v>657765.17700000003</v>
      </c>
      <c r="G11" s="2289">
        <v>137720.60399999999</v>
      </c>
      <c r="H11" s="2289">
        <v>141432.82199999999</v>
      </c>
      <c r="I11" s="2289">
        <v>189743.454</v>
      </c>
      <c r="J11" s="2289">
        <v>117363.823</v>
      </c>
      <c r="K11" s="2289">
        <v>2824176.3289999999</v>
      </c>
      <c r="L11" s="2289">
        <v>521518.32900000003</v>
      </c>
      <c r="M11" s="2289">
        <v>1256590.872</v>
      </c>
      <c r="N11" s="2289">
        <v>1394486.8559999999</v>
      </c>
      <c r="O11" s="2289">
        <v>1662982.754</v>
      </c>
      <c r="P11" s="2289">
        <v>889927.16</v>
      </c>
      <c r="Q11" s="2289">
        <v>573158.63300000003</v>
      </c>
      <c r="R11" s="2289">
        <v>906128.69799999997</v>
      </c>
      <c r="S11" s="2289">
        <v>110501.68799999999</v>
      </c>
      <c r="T11" s="2288" t="s">
        <v>171</v>
      </c>
      <c r="U11" s="2352">
        <v>12421747.978</v>
      </c>
      <c r="W11" s="2268"/>
      <c r="X11" s="2341"/>
      <c r="Y11" s="2342"/>
    </row>
    <row r="12" spans="1:25" s="631" customFormat="1" ht="20.100000000000001" customHeight="1">
      <c r="A12" s="2294"/>
      <c r="B12" s="2298" t="s">
        <v>1230</v>
      </c>
      <c r="C12" s="2351">
        <v>14982.288</v>
      </c>
      <c r="D12" s="2289">
        <v>19976.401000000002</v>
      </c>
      <c r="E12" s="2289">
        <v>23859.134999999998</v>
      </c>
      <c r="F12" s="2289">
        <v>15231.535</v>
      </c>
      <c r="G12" s="2289">
        <v>44451.360999999997</v>
      </c>
      <c r="H12" s="2289">
        <v>19163.409</v>
      </c>
      <c r="I12" s="2289">
        <v>16025.013999999999</v>
      </c>
      <c r="J12" s="2289">
        <v>9409.473</v>
      </c>
      <c r="K12" s="2289">
        <v>328630.04499999998</v>
      </c>
      <c r="L12" s="2289">
        <v>121385.02899999999</v>
      </c>
      <c r="M12" s="2289">
        <v>147833.30900000001</v>
      </c>
      <c r="N12" s="2289">
        <v>88804.270999999993</v>
      </c>
      <c r="O12" s="2289">
        <v>114892.584</v>
      </c>
      <c r="P12" s="2289">
        <v>23035.859</v>
      </c>
      <c r="Q12" s="2289">
        <v>79635.606</v>
      </c>
      <c r="R12" s="2289">
        <v>130359.649</v>
      </c>
      <c r="S12" s="2289">
        <v>86519.153999999995</v>
      </c>
      <c r="T12" s="2288" t="s">
        <v>171</v>
      </c>
      <c r="U12" s="2352">
        <v>1284194.122</v>
      </c>
      <c r="W12" s="2268"/>
      <c r="X12" s="2341"/>
      <c r="Y12" s="2342"/>
    </row>
    <row r="13" spans="1:25" s="309" customFormat="1" ht="20.100000000000001" customHeight="1">
      <c r="A13" s="2294"/>
      <c r="B13" s="2298" t="s">
        <v>1231</v>
      </c>
      <c r="C13" s="2351">
        <v>93.716999999999999</v>
      </c>
      <c r="D13" s="2353">
        <v>4.1479999999999997</v>
      </c>
      <c r="E13" s="2353">
        <v>29.640999999999998</v>
      </c>
      <c r="F13" s="2353">
        <v>7.077</v>
      </c>
      <c r="G13" s="2353">
        <v>16839.125</v>
      </c>
      <c r="H13" s="2353">
        <v>66615.782000000007</v>
      </c>
      <c r="I13" s="2353" t="s">
        <v>171</v>
      </c>
      <c r="J13" s="2289" t="s">
        <v>171</v>
      </c>
      <c r="K13" s="2289">
        <v>2917.279</v>
      </c>
      <c r="L13" s="2289">
        <v>12.936</v>
      </c>
      <c r="M13" s="2289">
        <v>5592.8339999999998</v>
      </c>
      <c r="N13" s="2289">
        <v>15.885999999999999</v>
      </c>
      <c r="O13" s="2353" t="s">
        <v>171</v>
      </c>
      <c r="P13" s="2353" t="s">
        <v>171</v>
      </c>
      <c r="Q13" s="2353">
        <v>37621.288999999997</v>
      </c>
      <c r="R13" s="2353">
        <v>71980.903000000006</v>
      </c>
      <c r="S13" s="2289" t="s">
        <v>171</v>
      </c>
      <c r="T13" s="2288" t="s">
        <v>171</v>
      </c>
      <c r="U13" s="2352">
        <v>201730.617</v>
      </c>
      <c r="W13" s="2268"/>
      <c r="X13" s="2341"/>
      <c r="Y13" s="2342"/>
    </row>
    <row r="14" spans="1:25" s="631" customFormat="1" ht="20.100000000000001" customHeight="1">
      <c r="A14" s="2294" t="s">
        <v>1232</v>
      </c>
      <c r="B14" s="2298" t="s">
        <v>1233</v>
      </c>
      <c r="C14" s="2351">
        <v>106382.83900000001</v>
      </c>
      <c r="D14" s="2353">
        <v>247706.29800000001</v>
      </c>
      <c r="E14" s="2353">
        <v>714758.31400000001</v>
      </c>
      <c r="F14" s="2353">
        <v>37877.39</v>
      </c>
      <c r="G14" s="2353">
        <v>142664.96900000001</v>
      </c>
      <c r="H14" s="2353">
        <v>29764.749</v>
      </c>
      <c r="I14" s="2353">
        <v>655984.88600000006</v>
      </c>
      <c r="J14" s="2289">
        <v>23098.715</v>
      </c>
      <c r="K14" s="2289">
        <v>1427360.1529999999</v>
      </c>
      <c r="L14" s="2289">
        <v>13094.076999999999</v>
      </c>
      <c r="M14" s="2289">
        <v>183099.93100000001</v>
      </c>
      <c r="N14" s="2289">
        <v>161444.10399999999</v>
      </c>
      <c r="O14" s="2353">
        <v>608019.30599999998</v>
      </c>
      <c r="P14" s="2353">
        <v>166031.598</v>
      </c>
      <c r="Q14" s="2353">
        <v>3076331.2740000002</v>
      </c>
      <c r="R14" s="2353">
        <v>202799.519</v>
      </c>
      <c r="S14" s="2289">
        <v>542.64800000000002</v>
      </c>
      <c r="T14" s="2288" t="s">
        <v>171</v>
      </c>
      <c r="U14" s="2352">
        <v>7796960.7699999996</v>
      </c>
      <c r="W14" s="2268"/>
      <c r="X14" s="2341"/>
      <c r="Y14" s="2342"/>
    </row>
    <row r="15" spans="1:25" s="309" customFormat="1" ht="20.100000000000001" customHeight="1">
      <c r="A15" s="2294"/>
      <c r="B15" s="2298" t="s">
        <v>1234</v>
      </c>
      <c r="C15" s="2351">
        <v>314780.391</v>
      </c>
      <c r="D15" s="2289">
        <v>37921.427000000003</v>
      </c>
      <c r="E15" s="2289">
        <v>39256.656999999999</v>
      </c>
      <c r="F15" s="2289">
        <v>12148.031999999999</v>
      </c>
      <c r="G15" s="2289">
        <v>1608.14</v>
      </c>
      <c r="H15" s="2289">
        <v>2407.6709999999998</v>
      </c>
      <c r="I15" s="2289">
        <v>797.06700000000001</v>
      </c>
      <c r="J15" s="2289">
        <v>215.37799999999999</v>
      </c>
      <c r="K15" s="2289">
        <v>136465.36900000001</v>
      </c>
      <c r="L15" s="2289">
        <v>1275.087</v>
      </c>
      <c r="M15" s="2289">
        <v>4775.7969999999996</v>
      </c>
      <c r="N15" s="2289">
        <v>9499.6209999999992</v>
      </c>
      <c r="O15" s="2289">
        <v>13429.806</v>
      </c>
      <c r="P15" s="2289">
        <v>4623.4110000000001</v>
      </c>
      <c r="Q15" s="2289">
        <v>11030.027</v>
      </c>
      <c r="R15" s="2289">
        <v>5979.1589999999997</v>
      </c>
      <c r="S15" s="2289">
        <v>153.01599999999999</v>
      </c>
      <c r="T15" s="2288" t="s">
        <v>171</v>
      </c>
      <c r="U15" s="2352">
        <v>596366.05599999998</v>
      </c>
      <c r="W15" s="2268"/>
      <c r="X15" s="2341"/>
      <c r="Y15" s="2342"/>
    </row>
    <row r="16" spans="1:25" s="309" customFormat="1" ht="20.100000000000001" customHeight="1">
      <c r="A16" s="2294"/>
      <c r="B16" s="2298" t="s">
        <v>1235</v>
      </c>
      <c r="C16" s="2351">
        <v>21166.624</v>
      </c>
      <c r="D16" s="2289">
        <v>101682.83900000001</v>
      </c>
      <c r="E16" s="2289">
        <v>4204.3540000000003</v>
      </c>
      <c r="F16" s="2289">
        <v>6127.6080000000002</v>
      </c>
      <c r="G16" s="2289">
        <v>149.624</v>
      </c>
      <c r="H16" s="2289">
        <v>2815.7510000000002</v>
      </c>
      <c r="I16" s="2289">
        <v>314.37299999999999</v>
      </c>
      <c r="J16" s="2289">
        <v>2020.8109999999999</v>
      </c>
      <c r="K16" s="2289">
        <v>175946.97500000001</v>
      </c>
      <c r="L16" s="2289">
        <v>355.572</v>
      </c>
      <c r="M16" s="2289">
        <v>61599.616999999998</v>
      </c>
      <c r="N16" s="2289">
        <v>12643.325000000001</v>
      </c>
      <c r="O16" s="2289">
        <v>4568.3810000000003</v>
      </c>
      <c r="P16" s="2289">
        <v>503.49299999999999</v>
      </c>
      <c r="Q16" s="2289">
        <v>7251.6530000000002</v>
      </c>
      <c r="R16" s="2289">
        <v>63317.053999999996</v>
      </c>
      <c r="S16" s="2289">
        <v>6.55</v>
      </c>
      <c r="T16" s="2288" t="s">
        <v>171</v>
      </c>
      <c r="U16" s="2352">
        <v>464674.60399999999</v>
      </c>
      <c r="W16" s="2268"/>
      <c r="X16" s="2341"/>
      <c r="Y16" s="2342"/>
    </row>
    <row r="17" spans="1:25" s="309" customFormat="1" ht="20.100000000000001" customHeight="1">
      <c r="A17" s="2294"/>
      <c r="B17" s="2298" t="s">
        <v>1236</v>
      </c>
      <c r="C17" s="2351">
        <v>4158.1379999999999</v>
      </c>
      <c r="D17" s="2289">
        <v>47855.127</v>
      </c>
      <c r="E17" s="2289">
        <v>15180.833000000001</v>
      </c>
      <c r="F17" s="2289">
        <v>501921.45600000001</v>
      </c>
      <c r="G17" s="2289">
        <v>6069.5609999999997</v>
      </c>
      <c r="H17" s="2289">
        <v>4665.4549999999999</v>
      </c>
      <c r="I17" s="2289">
        <v>15747.075999999999</v>
      </c>
      <c r="J17" s="2289">
        <v>1338.9390000000001</v>
      </c>
      <c r="K17" s="2289">
        <v>502543.74</v>
      </c>
      <c r="L17" s="2289">
        <v>23171.282999999999</v>
      </c>
      <c r="M17" s="2289">
        <v>59445.502999999997</v>
      </c>
      <c r="N17" s="2289">
        <v>128079.83</v>
      </c>
      <c r="O17" s="2289">
        <v>266696.24800000002</v>
      </c>
      <c r="P17" s="2289">
        <v>24737.296999999999</v>
      </c>
      <c r="Q17" s="2289">
        <v>81556.778000000006</v>
      </c>
      <c r="R17" s="2289">
        <v>69687.085000000006</v>
      </c>
      <c r="S17" s="2289">
        <v>1546</v>
      </c>
      <c r="T17" s="2288" t="s">
        <v>171</v>
      </c>
      <c r="U17" s="2352">
        <v>1754400.3489999999</v>
      </c>
      <c r="W17" s="2268"/>
      <c r="X17" s="2341"/>
      <c r="Y17" s="2342"/>
    </row>
    <row r="18" spans="1:25" s="309" customFormat="1" ht="20.100000000000001" customHeight="1">
      <c r="A18" s="2294"/>
      <c r="B18" s="2298" t="s">
        <v>1237</v>
      </c>
      <c r="C18" s="2351">
        <v>37110.887999999999</v>
      </c>
      <c r="D18" s="2289">
        <v>29691.089</v>
      </c>
      <c r="E18" s="2289">
        <v>475282.79</v>
      </c>
      <c r="F18" s="2289">
        <v>49294.946000000004</v>
      </c>
      <c r="G18" s="2289">
        <v>47686.860999999997</v>
      </c>
      <c r="H18" s="2289">
        <v>549647.33200000005</v>
      </c>
      <c r="I18" s="2289">
        <v>594967.12800000003</v>
      </c>
      <c r="J18" s="2289">
        <v>364592.20500000002</v>
      </c>
      <c r="K18" s="2289">
        <v>1889286.111</v>
      </c>
      <c r="L18" s="2289">
        <v>25082.35</v>
      </c>
      <c r="M18" s="2289">
        <v>848317.89899999998</v>
      </c>
      <c r="N18" s="2289">
        <v>769159.21499999997</v>
      </c>
      <c r="O18" s="2289">
        <v>1077717.402</v>
      </c>
      <c r="P18" s="2289">
        <v>91466.766000000003</v>
      </c>
      <c r="Q18" s="2289">
        <v>361973.20699999999</v>
      </c>
      <c r="R18" s="2289">
        <v>776412.51800000004</v>
      </c>
      <c r="S18" s="2289">
        <v>22462.281999999999</v>
      </c>
      <c r="T18" s="2288" t="s">
        <v>171</v>
      </c>
      <c r="U18" s="2352">
        <v>8010150.9890000001</v>
      </c>
      <c r="W18" s="2268"/>
      <c r="X18" s="2341"/>
      <c r="Y18" s="2342"/>
    </row>
    <row r="19" spans="1:25" s="631" customFormat="1" ht="20.100000000000001" customHeight="1">
      <c r="A19" s="2294"/>
      <c r="B19" s="2298" t="s">
        <v>1238</v>
      </c>
      <c r="C19" s="2351">
        <v>197758.50700000001</v>
      </c>
      <c r="D19" s="2289">
        <v>24933.253000000001</v>
      </c>
      <c r="E19" s="2289">
        <v>37324.582000000002</v>
      </c>
      <c r="F19" s="2289">
        <v>89116.95</v>
      </c>
      <c r="G19" s="2289">
        <v>18773.189999999999</v>
      </c>
      <c r="H19" s="2289">
        <v>16606.080000000002</v>
      </c>
      <c r="I19" s="2289">
        <v>3189.9769999999999</v>
      </c>
      <c r="J19" s="2289">
        <v>3461.4349999999999</v>
      </c>
      <c r="K19" s="2289">
        <v>663156.86199999996</v>
      </c>
      <c r="L19" s="2289">
        <v>6521.73</v>
      </c>
      <c r="M19" s="2289">
        <v>30242.917000000001</v>
      </c>
      <c r="N19" s="2289">
        <v>48673.216999999997</v>
      </c>
      <c r="O19" s="2289">
        <v>7538.058</v>
      </c>
      <c r="P19" s="2289">
        <v>1935.53</v>
      </c>
      <c r="Q19" s="2289">
        <v>11861.102999999999</v>
      </c>
      <c r="R19" s="2289">
        <v>22898.839</v>
      </c>
      <c r="S19" s="2289">
        <v>1390.7329999999999</v>
      </c>
      <c r="T19" s="2288" t="s">
        <v>171</v>
      </c>
      <c r="U19" s="2352">
        <v>1185382.963</v>
      </c>
      <c r="W19" s="2268"/>
      <c r="X19" s="2341"/>
      <c r="Y19" s="2342"/>
    </row>
    <row r="20" spans="1:25" s="631" customFormat="1" ht="20.100000000000001" customHeight="1">
      <c r="A20" s="2294"/>
      <c r="B20" s="2298" t="s">
        <v>1239</v>
      </c>
      <c r="C20" s="2351">
        <v>3069.8270000000002</v>
      </c>
      <c r="D20" s="2289">
        <v>5904.2209999999995</v>
      </c>
      <c r="E20" s="2289">
        <v>12444.025</v>
      </c>
      <c r="F20" s="2289">
        <v>795733.73800000001</v>
      </c>
      <c r="G20" s="2289">
        <v>741.38800000000003</v>
      </c>
      <c r="H20" s="2289">
        <v>571.09299999999996</v>
      </c>
      <c r="I20" s="2289">
        <v>5875329.7699999996</v>
      </c>
      <c r="J20" s="2289">
        <v>396.52300000000002</v>
      </c>
      <c r="K20" s="2289">
        <v>37649.349000000002</v>
      </c>
      <c r="L20" s="2289">
        <v>1172.5060000000001</v>
      </c>
      <c r="M20" s="2289">
        <v>15648.084999999999</v>
      </c>
      <c r="N20" s="2289">
        <v>5248895.6569999997</v>
      </c>
      <c r="O20" s="2289">
        <v>4246.9480000000003</v>
      </c>
      <c r="P20" s="2289">
        <v>1975567.7209999999</v>
      </c>
      <c r="Q20" s="2289">
        <v>49940.357000000004</v>
      </c>
      <c r="R20" s="2289">
        <v>10247.233</v>
      </c>
      <c r="S20" s="2289">
        <v>35.493000000000002</v>
      </c>
      <c r="T20" s="2288" t="s">
        <v>171</v>
      </c>
      <c r="U20" s="2352">
        <v>14037593.934</v>
      </c>
      <c r="W20" s="2268"/>
      <c r="X20" s="2341"/>
      <c r="Y20" s="2342"/>
    </row>
    <row r="21" spans="1:25" s="309" customFormat="1" ht="20.100000000000001" customHeight="1">
      <c r="A21" s="2294" t="s">
        <v>1240</v>
      </c>
      <c r="B21" s="2298" t="s">
        <v>1241</v>
      </c>
      <c r="C21" s="2351">
        <v>41499.947999999997</v>
      </c>
      <c r="D21" s="2353">
        <v>265573.99900000001</v>
      </c>
      <c r="E21" s="2353">
        <v>190557.9</v>
      </c>
      <c r="F21" s="2353">
        <v>371618.41</v>
      </c>
      <c r="G21" s="2353">
        <v>71690.134000000005</v>
      </c>
      <c r="H21" s="2353">
        <v>225245.31099999999</v>
      </c>
      <c r="I21" s="2353">
        <v>10727844.511</v>
      </c>
      <c r="J21" s="2289">
        <v>166837.96400000001</v>
      </c>
      <c r="K21" s="2289">
        <v>6122298.6380000003</v>
      </c>
      <c r="L21" s="2289">
        <v>90513.592999999993</v>
      </c>
      <c r="M21" s="2289">
        <v>1825453.0109999999</v>
      </c>
      <c r="N21" s="2289">
        <v>4005244.8280000002</v>
      </c>
      <c r="O21" s="2353">
        <v>2108594.352</v>
      </c>
      <c r="P21" s="2353">
        <v>11187207.207</v>
      </c>
      <c r="Q21" s="2353">
        <v>2843567.4010000001</v>
      </c>
      <c r="R21" s="2353">
        <v>711848.995</v>
      </c>
      <c r="S21" s="2289">
        <v>28843.683000000001</v>
      </c>
      <c r="T21" s="2288" t="s">
        <v>171</v>
      </c>
      <c r="U21" s="2352">
        <v>40984439.884999998</v>
      </c>
      <c r="W21" s="2268"/>
      <c r="X21" s="2341"/>
      <c r="Y21" s="2342"/>
    </row>
    <row r="22" spans="1:25" s="631" customFormat="1" ht="20.100000000000001" customHeight="1">
      <c r="A22" s="2294"/>
      <c r="B22" s="2298" t="s">
        <v>1242</v>
      </c>
      <c r="C22" s="2351">
        <v>17328.286</v>
      </c>
      <c r="D22" s="2353">
        <v>14064.25</v>
      </c>
      <c r="E22" s="2353">
        <v>14559.376</v>
      </c>
      <c r="F22" s="2353">
        <v>383525.38199999998</v>
      </c>
      <c r="G22" s="2353">
        <v>2276.8209999999999</v>
      </c>
      <c r="H22" s="2353">
        <v>65269.707000000002</v>
      </c>
      <c r="I22" s="2353">
        <v>4732.8339999999998</v>
      </c>
      <c r="J22" s="2289">
        <v>51942.091999999997</v>
      </c>
      <c r="K22" s="2289">
        <v>1010212.687</v>
      </c>
      <c r="L22" s="2289">
        <v>113429.451</v>
      </c>
      <c r="M22" s="2289">
        <v>839219.39099999995</v>
      </c>
      <c r="N22" s="2289">
        <v>285679.49400000001</v>
      </c>
      <c r="O22" s="2353">
        <v>40827.947999999997</v>
      </c>
      <c r="P22" s="2353">
        <v>49449.889000000003</v>
      </c>
      <c r="Q22" s="2353">
        <v>47267.114999999998</v>
      </c>
      <c r="R22" s="2353">
        <v>9830.0540000000001</v>
      </c>
      <c r="S22" s="2289">
        <v>7739.3410000000003</v>
      </c>
      <c r="T22" s="2288" t="s">
        <v>171</v>
      </c>
      <c r="U22" s="2352">
        <v>2957354.1179999998</v>
      </c>
      <c r="W22" s="2268"/>
      <c r="X22" s="2341"/>
      <c r="Y22" s="2342"/>
    </row>
    <row r="23" spans="1:25" s="309" customFormat="1" ht="20.100000000000001" customHeight="1">
      <c r="A23" s="2294"/>
      <c r="B23" s="2298" t="s">
        <v>1243</v>
      </c>
      <c r="C23" s="2351">
        <v>45512.286</v>
      </c>
      <c r="D23" s="2289">
        <v>196728.212</v>
      </c>
      <c r="E23" s="2289">
        <v>213329.34599999999</v>
      </c>
      <c r="F23" s="2289">
        <v>268803.48100000003</v>
      </c>
      <c r="G23" s="2289">
        <v>323526.69400000002</v>
      </c>
      <c r="H23" s="2289">
        <v>400367.50099999999</v>
      </c>
      <c r="I23" s="2289">
        <v>591673.196</v>
      </c>
      <c r="J23" s="2289">
        <v>126701.666</v>
      </c>
      <c r="K23" s="2289">
        <v>2242760.8459999999</v>
      </c>
      <c r="L23" s="2289">
        <v>94301.240999999995</v>
      </c>
      <c r="M23" s="2289">
        <v>1163911.584</v>
      </c>
      <c r="N23" s="2289">
        <v>1136507.6980000001</v>
      </c>
      <c r="O23" s="2289">
        <v>252127.77900000001</v>
      </c>
      <c r="P23" s="2289">
        <v>371899.07199999999</v>
      </c>
      <c r="Q23" s="2289">
        <v>960156.65899999999</v>
      </c>
      <c r="R23" s="2289">
        <v>1085717.3470000001</v>
      </c>
      <c r="S23" s="2289">
        <v>5958.9579999999996</v>
      </c>
      <c r="T23" s="2288" t="s">
        <v>171</v>
      </c>
      <c r="U23" s="2352">
        <v>9479983.5659999996</v>
      </c>
      <c r="W23" s="2268"/>
      <c r="X23" s="2341"/>
      <c r="Y23" s="2342"/>
    </row>
    <row r="24" spans="1:25" s="309" customFormat="1" ht="20.100000000000001" customHeight="1">
      <c r="A24" s="2294"/>
      <c r="B24" s="2298" t="s">
        <v>1244</v>
      </c>
      <c r="C24" s="2351">
        <v>22692.272000000001</v>
      </c>
      <c r="D24" s="2289">
        <v>87313.656000000003</v>
      </c>
      <c r="E24" s="2289">
        <v>77271.861000000004</v>
      </c>
      <c r="F24" s="2289">
        <v>202620.269</v>
      </c>
      <c r="G24" s="2289">
        <v>22332.763999999999</v>
      </c>
      <c r="H24" s="2289">
        <v>36893.749000000003</v>
      </c>
      <c r="I24" s="2289">
        <v>171581.715</v>
      </c>
      <c r="J24" s="2289">
        <v>400851.424</v>
      </c>
      <c r="K24" s="2289">
        <v>1764804.091</v>
      </c>
      <c r="L24" s="2289">
        <v>3088865.0290000001</v>
      </c>
      <c r="M24" s="2289">
        <v>2361003.0520000001</v>
      </c>
      <c r="N24" s="2289">
        <v>887873.54299999995</v>
      </c>
      <c r="O24" s="2289">
        <v>593437.52300000004</v>
      </c>
      <c r="P24" s="2289">
        <v>555146.58600000001</v>
      </c>
      <c r="Q24" s="2289">
        <v>1052451.1580000001</v>
      </c>
      <c r="R24" s="2289">
        <v>446253.93</v>
      </c>
      <c r="S24" s="2289">
        <v>26705.561000000002</v>
      </c>
      <c r="T24" s="2288" t="s">
        <v>171</v>
      </c>
      <c r="U24" s="2352">
        <v>11798098.183</v>
      </c>
      <c r="W24" s="2268"/>
      <c r="X24" s="2341"/>
      <c r="Y24" s="2342"/>
    </row>
    <row r="25" spans="1:25" s="309" customFormat="1" ht="20.100000000000001" customHeight="1">
      <c r="A25" s="2294"/>
      <c r="B25" s="2298" t="s">
        <v>1245</v>
      </c>
      <c r="C25" s="2351">
        <v>12209.396000000001</v>
      </c>
      <c r="D25" s="2289">
        <v>1876308.2560000001</v>
      </c>
      <c r="E25" s="2289">
        <v>284163.39</v>
      </c>
      <c r="F25" s="2289">
        <v>1961717.68</v>
      </c>
      <c r="G25" s="2289">
        <v>45593.133999999998</v>
      </c>
      <c r="H25" s="2289">
        <v>49150.267</v>
      </c>
      <c r="I25" s="2289">
        <v>3905497.8629999999</v>
      </c>
      <c r="J25" s="2289">
        <v>39145.665999999997</v>
      </c>
      <c r="K25" s="2289">
        <v>1989369.8430000001</v>
      </c>
      <c r="L25" s="2289">
        <v>1032632.838</v>
      </c>
      <c r="M25" s="2289">
        <v>397056.201</v>
      </c>
      <c r="N25" s="2289">
        <v>4760849.1869999999</v>
      </c>
      <c r="O25" s="2289">
        <v>2359041.6690000002</v>
      </c>
      <c r="P25" s="2289">
        <v>4134279.827</v>
      </c>
      <c r="Q25" s="2289">
        <v>8559279.4989999998</v>
      </c>
      <c r="R25" s="2289">
        <v>3634606.6609999998</v>
      </c>
      <c r="S25" s="2289">
        <v>2646.6990000000001</v>
      </c>
      <c r="T25" s="2288" t="s">
        <v>171</v>
      </c>
      <c r="U25" s="2352">
        <v>35043548.075999998</v>
      </c>
      <c r="W25" s="2268"/>
      <c r="X25" s="2341"/>
      <c r="Y25" s="2342"/>
    </row>
    <row r="26" spans="1:25" s="309" customFormat="1" ht="20.100000000000001" customHeight="1">
      <c r="A26" s="2294"/>
      <c r="B26" s="2298" t="s">
        <v>1246</v>
      </c>
      <c r="C26" s="2351">
        <v>49165.165000000001</v>
      </c>
      <c r="D26" s="2289">
        <v>790408.30900000001</v>
      </c>
      <c r="E26" s="2289">
        <v>610077.13100000005</v>
      </c>
      <c r="F26" s="2289">
        <v>591608.91299999994</v>
      </c>
      <c r="G26" s="2289">
        <v>152763.897</v>
      </c>
      <c r="H26" s="2289">
        <v>52244.654999999999</v>
      </c>
      <c r="I26" s="2289">
        <v>203251.299</v>
      </c>
      <c r="J26" s="2289">
        <v>12602.370999999999</v>
      </c>
      <c r="K26" s="2289">
        <v>2107354.9029999999</v>
      </c>
      <c r="L26" s="2289">
        <v>36380.593000000001</v>
      </c>
      <c r="M26" s="2289">
        <v>799053.13399999996</v>
      </c>
      <c r="N26" s="2289">
        <v>564695.15300000005</v>
      </c>
      <c r="O26" s="2289">
        <v>138320.82399999999</v>
      </c>
      <c r="P26" s="2289">
        <v>135635.022</v>
      </c>
      <c r="Q26" s="2289">
        <v>796904.04599999997</v>
      </c>
      <c r="R26" s="2289">
        <v>1615638.9569999999</v>
      </c>
      <c r="S26" s="2289">
        <v>2888.1309999999999</v>
      </c>
      <c r="T26" s="2288" t="s">
        <v>171</v>
      </c>
      <c r="U26" s="2352">
        <v>8658992.5030000005</v>
      </c>
      <c r="W26" s="2268"/>
      <c r="X26" s="2341"/>
      <c r="Y26" s="2342"/>
    </row>
    <row r="27" spans="1:25" s="309" customFormat="1" ht="20.100000000000001" customHeight="1">
      <c r="A27" s="2294"/>
      <c r="B27" s="2298" t="s">
        <v>1247</v>
      </c>
      <c r="C27" s="2351">
        <v>57524.235999999997</v>
      </c>
      <c r="D27" s="2289">
        <v>102226.77899999999</v>
      </c>
      <c r="E27" s="2289">
        <v>293622.29700000002</v>
      </c>
      <c r="F27" s="2289">
        <v>1385963.7790000001</v>
      </c>
      <c r="G27" s="2289">
        <v>799169.41200000001</v>
      </c>
      <c r="H27" s="2289">
        <v>225366.32</v>
      </c>
      <c r="I27" s="2289">
        <v>37321.724000000002</v>
      </c>
      <c r="J27" s="2289">
        <v>254928.981</v>
      </c>
      <c r="K27" s="2289">
        <v>35973674.527999997</v>
      </c>
      <c r="L27" s="2289">
        <v>63910.326000000001</v>
      </c>
      <c r="M27" s="2289">
        <v>5269241.0020000003</v>
      </c>
      <c r="N27" s="2289">
        <v>10552175.411</v>
      </c>
      <c r="O27" s="2289">
        <v>450530.61099999998</v>
      </c>
      <c r="P27" s="2289">
        <v>55980.241000000002</v>
      </c>
      <c r="Q27" s="2289">
        <v>4026261.716</v>
      </c>
      <c r="R27" s="2289">
        <v>642572.30799999996</v>
      </c>
      <c r="S27" s="2289">
        <v>1638.9949999999999</v>
      </c>
      <c r="T27" s="2288" t="s">
        <v>171</v>
      </c>
      <c r="U27" s="2352">
        <v>60192108.666000001</v>
      </c>
      <c r="W27" s="2268"/>
      <c r="X27" s="2341"/>
      <c r="Y27" s="2342"/>
    </row>
    <row r="28" spans="1:25" s="309" customFormat="1" ht="20.100000000000001" customHeight="1">
      <c r="A28" s="2294" t="s">
        <v>1248</v>
      </c>
      <c r="B28" s="2298" t="s">
        <v>1249</v>
      </c>
      <c r="C28" s="2351">
        <v>42209.442000000003</v>
      </c>
      <c r="D28" s="2289">
        <v>74782.021999999997</v>
      </c>
      <c r="E28" s="2289">
        <v>92253.252999999997</v>
      </c>
      <c r="F28" s="2289">
        <v>1971475.335</v>
      </c>
      <c r="G28" s="2289">
        <v>30905.918000000001</v>
      </c>
      <c r="H28" s="2289">
        <v>48213.396000000001</v>
      </c>
      <c r="I28" s="2289">
        <v>20107.405999999999</v>
      </c>
      <c r="J28" s="2289">
        <v>5185.6109999999999</v>
      </c>
      <c r="K28" s="2289">
        <v>610609.64800000004</v>
      </c>
      <c r="L28" s="2289">
        <v>38626.36</v>
      </c>
      <c r="M28" s="2289">
        <v>97044.87</v>
      </c>
      <c r="N28" s="2289">
        <v>573036.49199999997</v>
      </c>
      <c r="O28" s="2289">
        <v>29450.048999999999</v>
      </c>
      <c r="P28" s="2289">
        <v>11340.433000000001</v>
      </c>
      <c r="Q28" s="2289">
        <v>195153.42600000001</v>
      </c>
      <c r="R28" s="2289">
        <v>248431.052</v>
      </c>
      <c r="S28" s="2289">
        <v>829.02700000000004</v>
      </c>
      <c r="T28" s="2288" t="s">
        <v>171</v>
      </c>
      <c r="U28" s="2352">
        <v>4089653.74</v>
      </c>
      <c r="W28" s="2268"/>
      <c r="X28" s="2341"/>
      <c r="Y28" s="2342"/>
    </row>
    <row r="29" spans="1:25" s="309" customFormat="1" ht="20.100000000000001" customHeight="1">
      <c r="A29" s="2294"/>
      <c r="B29" s="2298" t="s">
        <v>1250</v>
      </c>
      <c r="C29" s="2351">
        <v>20629.092000000001</v>
      </c>
      <c r="D29" s="2289">
        <v>145180.12</v>
      </c>
      <c r="E29" s="2289">
        <v>345496.69500000001</v>
      </c>
      <c r="F29" s="2289">
        <v>176560.19899999999</v>
      </c>
      <c r="G29" s="2289">
        <v>214136.20199999999</v>
      </c>
      <c r="H29" s="2289">
        <v>90055.695999999996</v>
      </c>
      <c r="I29" s="2289">
        <v>596598.94099999999</v>
      </c>
      <c r="J29" s="2289">
        <v>72778.088000000003</v>
      </c>
      <c r="K29" s="2289">
        <v>1102855.6780000001</v>
      </c>
      <c r="L29" s="2289">
        <v>36185.603000000003</v>
      </c>
      <c r="M29" s="2289">
        <v>1611293.548</v>
      </c>
      <c r="N29" s="2289">
        <v>912883.65300000005</v>
      </c>
      <c r="O29" s="2289">
        <v>147319.37</v>
      </c>
      <c r="P29" s="2289">
        <v>602365.20900000003</v>
      </c>
      <c r="Q29" s="2289">
        <v>1176768.085</v>
      </c>
      <c r="R29" s="2289">
        <v>966754.24</v>
      </c>
      <c r="S29" s="2289">
        <v>1363.3150000000001</v>
      </c>
      <c r="T29" s="2288" t="s">
        <v>171</v>
      </c>
      <c r="U29" s="2352">
        <v>8219223.7340000002</v>
      </c>
      <c r="W29" s="2268"/>
      <c r="X29" s="2341"/>
      <c r="Y29" s="2342"/>
    </row>
    <row r="30" spans="1:25" s="309" customFormat="1" ht="20.100000000000001" customHeight="1">
      <c r="A30" s="2294"/>
      <c r="B30" s="2298" t="s">
        <v>1251</v>
      </c>
      <c r="C30" s="2351">
        <v>130011.226</v>
      </c>
      <c r="D30" s="2289">
        <v>991814.49899999995</v>
      </c>
      <c r="E30" s="2289">
        <v>502109.69799999997</v>
      </c>
      <c r="F30" s="2289">
        <v>875680.34600000002</v>
      </c>
      <c r="G30" s="2289">
        <v>186909.84700000001</v>
      </c>
      <c r="H30" s="2289">
        <v>97275.819000000003</v>
      </c>
      <c r="I30" s="2289">
        <v>188376.973</v>
      </c>
      <c r="J30" s="2289">
        <v>34539.783000000003</v>
      </c>
      <c r="K30" s="2289">
        <v>4010473.0830000001</v>
      </c>
      <c r="L30" s="2289">
        <v>31258.121999999999</v>
      </c>
      <c r="M30" s="2289">
        <v>501182.47700000001</v>
      </c>
      <c r="N30" s="2289">
        <v>846540.64800000004</v>
      </c>
      <c r="O30" s="2289">
        <v>163722.85</v>
      </c>
      <c r="P30" s="2289">
        <v>69394.524999999994</v>
      </c>
      <c r="Q30" s="2289">
        <v>856409.23499999999</v>
      </c>
      <c r="R30" s="2289">
        <v>1902952.8759999999</v>
      </c>
      <c r="S30" s="2289">
        <v>2358.8919999999998</v>
      </c>
      <c r="T30" s="2288" t="s">
        <v>171</v>
      </c>
      <c r="U30" s="2352">
        <v>11391010.899</v>
      </c>
      <c r="W30" s="2268"/>
      <c r="X30" s="2341"/>
      <c r="Y30" s="2342"/>
    </row>
    <row r="31" spans="1:25" s="309" customFormat="1" ht="20.100000000000001" customHeight="1">
      <c r="A31" s="2294"/>
      <c r="B31" s="2298" t="s">
        <v>1252</v>
      </c>
      <c r="C31" s="2351">
        <v>17162.524000000001</v>
      </c>
      <c r="D31" s="2289">
        <v>1141996.5379999999</v>
      </c>
      <c r="E31" s="2289">
        <v>1344878.892</v>
      </c>
      <c r="F31" s="2289">
        <v>509997.18400000001</v>
      </c>
      <c r="G31" s="2289">
        <v>511515.41</v>
      </c>
      <c r="H31" s="2289">
        <v>197990.429</v>
      </c>
      <c r="I31" s="2289">
        <v>2302893.8139999998</v>
      </c>
      <c r="J31" s="2289">
        <v>80872.763999999996</v>
      </c>
      <c r="K31" s="2289">
        <v>2966597.73</v>
      </c>
      <c r="L31" s="2289">
        <v>171310.731</v>
      </c>
      <c r="M31" s="2289">
        <v>740918.11699999997</v>
      </c>
      <c r="N31" s="2289">
        <v>2851711.8689999999</v>
      </c>
      <c r="O31" s="2289">
        <v>841565.78099999996</v>
      </c>
      <c r="P31" s="2289">
        <v>74005.831999999995</v>
      </c>
      <c r="Q31" s="2289">
        <v>2495338.1320000002</v>
      </c>
      <c r="R31" s="2289">
        <v>2267549.7450000001</v>
      </c>
      <c r="S31" s="2289">
        <v>294.44099999999997</v>
      </c>
      <c r="T31" s="2288" t="s">
        <v>171</v>
      </c>
      <c r="U31" s="2352">
        <v>18516599.932999998</v>
      </c>
      <c r="W31" s="2268"/>
      <c r="X31" s="2341"/>
      <c r="Y31" s="2342"/>
    </row>
    <row r="32" spans="1:25" s="309" customFormat="1" ht="20.100000000000001" customHeight="1">
      <c r="A32" s="2294"/>
      <c r="B32" s="2298" t="s">
        <v>1253</v>
      </c>
      <c r="C32" s="2351">
        <v>20410.830000000002</v>
      </c>
      <c r="D32" s="2289">
        <v>213351.17199999999</v>
      </c>
      <c r="E32" s="2289">
        <v>48155.084999999999</v>
      </c>
      <c r="F32" s="2289">
        <v>54708.951000000001</v>
      </c>
      <c r="G32" s="2289">
        <v>5201.5469999999996</v>
      </c>
      <c r="H32" s="2289">
        <v>9410.7060000000001</v>
      </c>
      <c r="I32" s="2289">
        <v>1036885.6310000001</v>
      </c>
      <c r="J32" s="2289">
        <v>178.761</v>
      </c>
      <c r="K32" s="2289">
        <v>87955.120999999999</v>
      </c>
      <c r="L32" s="2289">
        <v>37092.106</v>
      </c>
      <c r="M32" s="2289">
        <v>25915.956999999999</v>
      </c>
      <c r="N32" s="2289">
        <v>35100.512999999999</v>
      </c>
      <c r="O32" s="2289">
        <v>46822.83</v>
      </c>
      <c r="P32" s="2289">
        <v>592840.22699999996</v>
      </c>
      <c r="Q32" s="2289">
        <v>144342.61900000001</v>
      </c>
      <c r="R32" s="2289">
        <v>1866979.8049999999</v>
      </c>
      <c r="S32" s="2289">
        <v>375.29500000000002</v>
      </c>
      <c r="T32" s="2288" t="s">
        <v>171</v>
      </c>
      <c r="U32" s="2352">
        <v>4225727.1560000004</v>
      </c>
      <c r="W32" s="2268"/>
      <c r="X32" s="2341"/>
      <c r="Y32" s="2342"/>
    </row>
    <row r="33" spans="1:25" s="309" customFormat="1" ht="20.100000000000001" customHeight="1">
      <c r="A33" s="2294"/>
      <c r="B33" s="2298" t="s">
        <v>1254</v>
      </c>
      <c r="C33" s="2351">
        <v>3231.962</v>
      </c>
      <c r="D33" s="2289">
        <v>8926.3919999999998</v>
      </c>
      <c r="E33" s="2289">
        <v>15525.518</v>
      </c>
      <c r="F33" s="2289">
        <v>115206.86500000001</v>
      </c>
      <c r="G33" s="2289">
        <v>5284.683</v>
      </c>
      <c r="H33" s="2289">
        <v>4067.4059999999999</v>
      </c>
      <c r="I33" s="2289">
        <v>1838.798</v>
      </c>
      <c r="J33" s="2289">
        <v>562.53399999999999</v>
      </c>
      <c r="K33" s="2289">
        <v>441143.95400000003</v>
      </c>
      <c r="L33" s="2289">
        <v>7699.1450000000004</v>
      </c>
      <c r="M33" s="2289">
        <v>25935.186000000002</v>
      </c>
      <c r="N33" s="2289">
        <v>9859.1370000000006</v>
      </c>
      <c r="O33" s="2289">
        <v>6184.6350000000002</v>
      </c>
      <c r="P33" s="2289">
        <v>7868.3810000000003</v>
      </c>
      <c r="Q33" s="2289">
        <v>23305.878000000001</v>
      </c>
      <c r="R33" s="2289">
        <v>21545.441999999999</v>
      </c>
      <c r="S33" s="2289">
        <v>1273.4169999999999</v>
      </c>
      <c r="T33" s="2288" t="s">
        <v>171</v>
      </c>
      <c r="U33" s="2352">
        <v>699459.33299999998</v>
      </c>
      <c r="W33" s="2268"/>
      <c r="X33" s="2341"/>
      <c r="Y33" s="2342"/>
    </row>
    <row r="34" spans="1:25" s="2287" customFormat="1" ht="20.100000000000001" customHeight="1">
      <c r="A34" s="2294"/>
      <c r="B34" s="2298" t="s">
        <v>1255</v>
      </c>
      <c r="C34" s="2351">
        <v>103130.435</v>
      </c>
      <c r="D34" s="2353">
        <v>35417.826000000001</v>
      </c>
      <c r="E34" s="2353">
        <v>31904.600999999999</v>
      </c>
      <c r="F34" s="2353">
        <v>401582.23599999998</v>
      </c>
      <c r="G34" s="2353">
        <v>2064.4929999999999</v>
      </c>
      <c r="H34" s="2353">
        <v>19730.43</v>
      </c>
      <c r="I34" s="2353">
        <v>864.24699999999996</v>
      </c>
      <c r="J34" s="2289">
        <v>4143.5749999999998</v>
      </c>
      <c r="K34" s="2289">
        <v>1209204.1440000001</v>
      </c>
      <c r="L34" s="2289">
        <v>8947.1669999999995</v>
      </c>
      <c r="M34" s="2353">
        <v>592825.43900000001</v>
      </c>
      <c r="N34" s="2353">
        <v>77816.296000000002</v>
      </c>
      <c r="O34" s="2353">
        <v>16003.540999999999</v>
      </c>
      <c r="P34" s="2353">
        <v>5920.6139999999996</v>
      </c>
      <c r="Q34" s="2353">
        <v>25050.105</v>
      </c>
      <c r="R34" s="2353">
        <v>266779.201</v>
      </c>
      <c r="S34" s="2289">
        <v>1417.633</v>
      </c>
      <c r="T34" s="2288" t="s">
        <v>171</v>
      </c>
      <c r="U34" s="2352">
        <v>2802801.983</v>
      </c>
      <c r="W34" s="2268"/>
      <c r="X34" s="2341"/>
      <c r="Y34" s="2342"/>
    </row>
    <row r="35" spans="1:25" s="2287" customFormat="1" ht="20.100000000000001" customHeight="1">
      <c r="A35" s="2299" t="s">
        <v>906</v>
      </c>
      <c r="B35" s="2298" t="s">
        <v>1256</v>
      </c>
      <c r="C35" s="2348">
        <v>1475.749</v>
      </c>
      <c r="D35" s="2292">
        <v>2722.1640000000002</v>
      </c>
      <c r="E35" s="2292">
        <v>1829.951</v>
      </c>
      <c r="F35" s="2292">
        <v>4037.4740000000002</v>
      </c>
      <c r="G35" s="2292">
        <v>1686.973</v>
      </c>
      <c r="H35" s="2292">
        <v>651.875</v>
      </c>
      <c r="I35" s="2292">
        <v>1058.49</v>
      </c>
      <c r="J35" s="2292">
        <v>304.52</v>
      </c>
      <c r="K35" s="2292">
        <v>15791.342000000001</v>
      </c>
      <c r="L35" s="2292">
        <v>3070.7089999999998</v>
      </c>
      <c r="M35" s="2292">
        <v>5103.6469999999999</v>
      </c>
      <c r="N35" s="2292">
        <v>6105.6509999999998</v>
      </c>
      <c r="O35" s="2292">
        <v>5438.8819999999996</v>
      </c>
      <c r="P35" s="2292">
        <v>13227.866</v>
      </c>
      <c r="Q35" s="2292">
        <v>6085.4489999999996</v>
      </c>
      <c r="R35" s="2292">
        <v>10468.647000000001</v>
      </c>
      <c r="S35" s="2292">
        <v>1309.6289999999999</v>
      </c>
      <c r="T35" s="2291" t="s">
        <v>171</v>
      </c>
      <c r="U35" s="2349">
        <v>80369.017999999996</v>
      </c>
      <c r="W35" s="2268"/>
      <c r="X35" s="2341"/>
      <c r="Y35" s="2342"/>
    </row>
    <row r="36" spans="1:25" s="2357" customFormat="1" ht="21.95" customHeight="1">
      <c r="A36" s="3100" t="s">
        <v>1257</v>
      </c>
      <c r="B36" s="3101"/>
      <c r="C36" s="2354">
        <v>48788677.386</v>
      </c>
      <c r="D36" s="2301">
        <v>21493647.967999998</v>
      </c>
      <c r="E36" s="2301">
        <v>16039260.228</v>
      </c>
      <c r="F36" s="2301">
        <v>25506863.978</v>
      </c>
      <c r="G36" s="2301">
        <v>9116870.7219999991</v>
      </c>
      <c r="H36" s="2301">
        <v>10016877.129000001</v>
      </c>
      <c r="I36" s="2301">
        <v>32919180.715999998</v>
      </c>
      <c r="J36" s="2355">
        <v>3182079.2880000002</v>
      </c>
      <c r="K36" s="2301">
        <v>140531011.87</v>
      </c>
      <c r="L36" s="2301">
        <v>17325520.416000001</v>
      </c>
      <c r="M36" s="2301">
        <v>29412226.655000001</v>
      </c>
      <c r="N36" s="2301">
        <v>50259638.115999997</v>
      </c>
      <c r="O36" s="2301">
        <v>21838473.954</v>
      </c>
      <c r="P36" s="2301">
        <v>34665104.612000003</v>
      </c>
      <c r="Q36" s="2301">
        <v>44601033.372000001</v>
      </c>
      <c r="R36" s="2301">
        <v>36190919.774999999</v>
      </c>
      <c r="S36" s="2301">
        <v>6045356.0279999999</v>
      </c>
      <c r="T36" s="2300" t="s">
        <v>171</v>
      </c>
      <c r="U36" s="2356">
        <v>547932742.21300006</v>
      </c>
      <c r="W36" s="2268"/>
      <c r="X36" s="2341"/>
      <c r="Y36" s="2342"/>
    </row>
    <row r="37" spans="1:25" ht="7.5" customHeight="1"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W37" s="2268"/>
    </row>
    <row r="38" spans="1:25" ht="15" customHeight="1">
      <c r="A38" s="1949" t="s">
        <v>1268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6"/>
    </row>
    <row r="41" spans="1:25">
      <c r="C41" s="2358"/>
      <c r="D41" s="2358"/>
      <c r="E41" s="2358"/>
      <c r="F41" s="2358"/>
      <c r="G41" s="2358"/>
      <c r="H41" s="2358"/>
      <c r="I41" s="2358"/>
      <c r="J41" s="2358"/>
      <c r="K41" s="2358"/>
      <c r="L41" s="2358"/>
      <c r="M41" s="2358"/>
      <c r="N41" s="2358"/>
      <c r="O41" s="2358"/>
      <c r="P41" s="2358"/>
      <c r="Q41" s="2358"/>
      <c r="R41" s="2358"/>
      <c r="S41" s="2358"/>
      <c r="T41" s="2358"/>
      <c r="U41" s="2358"/>
    </row>
    <row r="42" spans="1:25">
      <c r="C42" s="2303"/>
      <c r="D42" s="2303"/>
      <c r="E42" s="2303"/>
      <c r="F42" s="2303"/>
      <c r="G42" s="2303"/>
      <c r="H42" s="2303"/>
      <c r="I42" s="2303"/>
      <c r="J42" s="2303"/>
      <c r="K42" s="2303"/>
      <c r="L42" s="2303"/>
      <c r="M42" s="2303"/>
      <c r="N42" s="2303"/>
      <c r="O42" s="2303"/>
      <c r="P42" s="2303"/>
      <c r="Q42" s="2303"/>
      <c r="R42" s="2303"/>
      <c r="S42" s="2303"/>
      <c r="T42" s="2303"/>
      <c r="U42" s="2303"/>
    </row>
    <row r="43" spans="1:25">
      <c r="U43" s="2359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3" type="noConversion"/>
  <printOptions horizontalCentered="1"/>
  <pageMargins left="0.94488188976377963" right="0.94488188976377963" top="1.1811023622047245" bottom="0.78740157480314965" header="1.1811023622047245" footer="0"/>
  <pageSetup paperSize="9" scale="79" firstPageNumber="74" fitToWidth="0" fitToHeight="0" orientation="portrait" useFirstPageNumber="1" r:id="rId1"/>
  <headerFooter differentOddEven="1" scaleWithDoc="0" alignWithMargins="0"/>
  <colBreaks count="1" manualBreakCount="1">
    <brk id="11" max="37" man="1"/>
  </col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"/>
  <sheetViews>
    <sheetView view="pageBreakPreview" zoomScale="70" zoomScaleNormal="100" zoomScaleSheetLayoutView="70" workbookViewId="0"/>
  </sheetViews>
  <sheetFormatPr defaultColWidth="10" defaultRowHeight="13.5"/>
  <cols>
    <col min="1" max="16384" width="10" style="1944"/>
  </cols>
  <sheetData>
    <row r="4" spans="2:2" ht="27">
      <c r="B4" s="1943" t="s">
        <v>3</v>
      </c>
    </row>
  </sheetData>
  <phoneticPr fontId="3" type="noConversion"/>
  <printOptions horizontalCentered="1"/>
  <pageMargins left="1.0629921259842521" right="1.0629921259842521" top="1.1811023622047245" bottom="0.78740157480314965" header="0.51181102362204722" footer="0"/>
  <pageSetup paperSize="9" scale="90" firstPageNumber="38" orientation="portrait" r:id="rId1"/>
  <headerFooter differentOddEven="1"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48"/>
    <col min="3" max="3" width="6" style="1048" customWidth="1"/>
    <col min="4" max="4" width="7.125" style="1048" customWidth="1"/>
    <col min="5" max="5" width="19" style="1048" customWidth="1"/>
    <col min="6" max="6" width="33.75" style="1048" customWidth="1"/>
    <col min="7" max="16384" width="10" style="1048"/>
  </cols>
  <sheetData>
    <row r="1" spans="3:6" ht="206.25" customHeight="1"/>
    <row r="2" spans="3:6" ht="7.5" customHeight="1">
      <c r="C2" s="242" t="s">
        <v>0</v>
      </c>
      <c r="D2" s="242" t="s">
        <v>0</v>
      </c>
      <c r="E2" s="243" t="s">
        <v>0</v>
      </c>
      <c r="F2" s="244" t="s">
        <v>0</v>
      </c>
    </row>
    <row r="3" spans="3:6" ht="8.25" customHeight="1"/>
    <row r="4" spans="3:6" ht="39">
      <c r="D4" s="245" t="s">
        <v>1272</v>
      </c>
    </row>
    <row r="6" spans="3:6" ht="30" customHeight="1">
      <c r="E6" s="246" t="s">
        <v>1273</v>
      </c>
    </row>
    <row r="7" spans="3:6" ht="9.9499999999999993" customHeight="1">
      <c r="E7" s="246"/>
    </row>
    <row r="8" spans="3:6" ht="30" customHeight="1">
      <c r="E8" s="246" t="s">
        <v>1274</v>
      </c>
    </row>
    <row r="9" spans="3:6" ht="9.9499999999999993" customHeight="1"/>
    <row r="10" spans="3:6" ht="30" customHeight="1">
      <c r="E10" s="1945"/>
    </row>
    <row r="11" spans="3:6" ht="9.9499999999999993" customHeight="1"/>
    <row r="12" spans="3:6" ht="30" customHeight="1">
      <c r="E12" s="1945"/>
    </row>
    <row r="13" spans="3:6" ht="9.9499999999999993" customHeight="1"/>
    <row r="14" spans="3:6" ht="30" customHeight="1">
      <c r="E14" s="1945"/>
    </row>
    <row r="15" spans="3:6" ht="9.9499999999999993" customHeight="1"/>
    <row r="16" spans="3:6" ht="30" customHeight="1">
      <c r="E16" s="1945"/>
    </row>
  </sheetData>
  <phoneticPr fontId="3" type="noConversion"/>
  <printOptions horizontalCentered="1"/>
  <pageMargins left="1.0629921259842521" right="1.0629921259842521" top="1.1811023622047245" bottom="0.78740157480314965" header="0" footer="0"/>
  <pageSetup paperSize="9" scale="83" firstPageNumber="38" orientation="portrait" r:id="rId1"/>
  <headerFooter differentOddEven="1" scaleWithDoc="0"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23"/>
  <sheetViews>
    <sheetView showGridLines="0" view="pageBreakPreview" zoomScale="70" zoomScaleNormal="100" zoomScaleSheetLayoutView="7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0" defaultRowHeight="13.5"/>
  <cols>
    <col min="1" max="1" width="9.375" style="250" customWidth="1"/>
    <col min="2" max="4" width="7.875" style="250" customWidth="1"/>
    <col min="5" max="5" width="8.875" style="250" customWidth="1"/>
    <col min="6" max="6" width="5.25" style="250" customWidth="1"/>
    <col min="7" max="7" width="7.875" style="1670" customWidth="1"/>
    <col min="8" max="8" width="6.5" style="1670" customWidth="1"/>
    <col min="9" max="9" width="6.375" style="1670" customWidth="1"/>
    <col min="10" max="10" width="6.5" style="1670" customWidth="1"/>
    <col min="11" max="13" width="6.375" style="1670" customWidth="1"/>
    <col min="14" max="14" width="12" style="1670" bestFit="1" customWidth="1"/>
    <col min="15" max="15" width="7.875" style="250" customWidth="1"/>
    <col min="16" max="16" width="10.625" style="1279" bestFit="1" customWidth="1"/>
    <col min="17" max="17" width="12.875" style="2360" bestFit="1" customWidth="1"/>
    <col min="18" max="18" width="9.625" style="250" bestFit="1" customWidth="1"/>
    <col min="19" max="19" width="6.375" style="250" bestFit="1" customWidth="1"/>
    <col min="20" max="20" width="7.875" style="250" customWidth="1"/>
    <col min="21" max="21" width="6.25" style="250" bestFit="1" customWidth="1"/>
    <col min="22" max="23" width="15" style="250" bestFit="1" customWidth="1"/>
    <col min="24" max="24" width="14.875" style="250" customWidth="1"/>
    <col min="25" max="25" width="7.375" style="250" bestFit="1" customWidth="1"/>
    <col min="26" max="27" width="7.875" style="250" customWidth="1"/>
    <col min="28" max="28" width="1.125" style="250" customWidth="1"/>
    <col min="29" max="35" width="7.875" style="250" customWidth="1"/>
    <col min="36" max="36" width="7.75" style="250" customWidth="1"/>
    <col min="37" max="48" width="7.875" style="250" customWidth="1"/>
    <col min="49" max="49" width="4.75" style="250" customWidth="1"/>
    <col min="50" max="57" width="7.875" style="250" customWidth="1"/>
    <col min="58" max="58" width="5.75" style="250" customWidth="1"/>
    <col min="59" max="65" width="7.875" style="250" customWidth="1"/>
    <col min="66" max="66" width="4.125" style="250" customWidth="1"/>
    <col min="67" max="81" width="7.875" style="250" customWidth="1"/>
    <col min="82" max="82" width="6" style="250" customWidth="1"/>
    <col min="83" max="84" width="7.875" style="250" customWidth="1"/>
    <col min="85" max="85" width="6" style="250" customWidth="1"/>
    <col min="86" max="93" width="7.875" style="250" customWidth="1"/>
    <col min="94" max="94" width="2.875" style="250" customWidth="1"/>
    <col min="95" max="98" width="7.875" style="250" customWidth="1"/>
    <col min="99" max="99" width="2" style="250" customWidth="1"/>
    <col min="100" max="112" width="7.875" style="250" customWidth="1"/>
    <col min="113" max="113" width="2" style="250" customWidth="1"/>
    <col min="114" max="114" width="7.875" style="250" customWidth="1"/>
    <col min="115" max="115" width="3.625" style="250" customWidth="1"/>
    <col min="116" max="125" width="7.875" style="250" customWidth="1"/>
    <col min="126" max="126" width="5.5" style="250" customWidth="1"/>
    <col min="127" max="129" width="7.875" style="250" customWidth="1"/>
    <col min="130" max="130" width="7.125" style="250" customWidth="1"/>
    <col min="131" max="139" width="7.875" style="250" customWidth="1"/>
    <col min="140" max="140" width="6.375" style="250" customWidth="1"/>
    <col min="141" max="143" width="7.875" style="250" customWidth="1"/>
    <col min="144" max="144" width="1.875" style="250" customWidth="1"/>
    <col min="145" max="154" width="7.875" style="250" customWidth="1"/>
    <col min="155" max="155" width="1.125" style="250" customWidth="1"/>
    <col min="156" max="213" width="7.875" style="250" customWidth="1"/>
    <col min="214" max="246" width="10" style="250" customWidth="1"/>
    <col min="247" max="16375" width="7.875" style="250" customWidth="1"/>
    <col min="16376" max="16384" width="3.125" style="250" customWidth="1"/>
  </cols>
  <sheetData>
    <row r="1" spans="1:17" ht="20.25">
      <c r="A1" s="2333" t="s">
        <v>1275</v>
      </c>
      <c r="B1" s="307"/>
      <c r="C1" s="307"/>
      <c r="D1" s="307"/>
      <c r="E1" s="307"/>
      <c r="F1" s="307"/>
      <c r="G1" s="1916"/>
      <c r="H1" s="1916"/>
      <c r="I1" s="1916"/>
      <c r="J1" s="1916"/>
      <c r="K1" s="1916"/>
      <c r="L1" s="1916"/>
      <c r="M1" s="1916"/>
      <c r="N1" s="1916"/>
    </row>
    <row r="2" spans="1:17" s="252" customFormat="1" ht="17.25">
      <c r="A2" s="1947" t="s">
        <v>1276</v>
      </c>
      <c r="B2" s="1947"/>
      <c r="C2" s="1947"/>
      <c r="D2" s="1947"/>
      <c r="E2" s="1947"/>
      <c r="F2" s="1947"/>
      <c r="G2" s="2361"/>
      <c r="H2" s="2361"/>
      <c r="I2" s="2361"/>
      <c r="J2" s="2361"/>
      <c r="K2" s="2361"/>
      <c r="L2" s="2361"/>
      <c r="M2" s="2361"/>
      <c r="N2" s="2361"/>
      <c r="P2" s="1276"/>
      <c r="Q2" s="2362"/>
    </row>
    <row r="3" spans="1:17" ht="15" customHeight="1">
      <c r="A3" s="307"/>
      <c r="B3" s="307"/>
      <c r="C3" s="307"/>
      <c r="D3" s="307"/>
      <c r="E3" s="307"/>
      <c r="F3" s="307"/>
      <c r="G3" s="1916"/>
      <c r="H3" s="1916"/>
      <c r="I3" s="1916"/>
      <c r="J3" s="1916"/>
      <c r="K3" s="1916"/>
      <c r="L3" s="1916"/>
      <c r="M3" s="2363" t="s">
        <v>1277</v>
      </c>
      <c r="N3" s="1916"/>
      <c r="O3" s="2364"/>
      <c r="P3" s="2360"/>
      <c r="Q3" s="250"/>
    </row>
    <row r="4" spans="1:17" ht="18" customHeight="1">
      <c r="A4" s="3114" t="s">
        <v>65</v>
      </c>
      <c r="B4" s="3116" t="s">
        <v>1278</v>
      </c>
      <c r="C4" s="3118" t="s">
        <v>1279</v>
      </c>
      <c r="D4" s="3118" t="s">
        <v>1280</v>
      </c>
      <c r="E4" s="3120" t="s">
        <v>66</v>
      </c>
      <c r="F4" s="3120"/>
      <c r="G4" s="3110" t="s">
        <v>1281</v>
      </c>
      <c r="H4" s="2365" t="s">
        <v>67</v>
      </c>
      <c r="I4" s="2365" t="s">
        <v>68</v>
      </c>
      <c r="J4" s="2366" t="s">
        <v>69</v>
      </c>
      <c r="K4" s="2366" t="s">
        <v>69</v>
      </c>
      <c r="L4" s="3110" t="s">
        <v>1282</v>
      </c>
      <c r="M4" s="3112" t="s">
        <v>1283</v>
      </c>
      <c r="N4" s="1666"/>
    </row>
    <row r="5" spans="1:17" ht="16.5" customHeight="1">
      <c r="A5" s="3115"/>
      <c r="B5" s="3117"/>
      <c r="C5" s="3119"/>
      <c r="D5" s="3119"/>
      <c r="E5" s="3119"/>
      <c r="F5" s="3119"/>
      <c r="G5" s="3111"/>
      <c r="H5" s="2367" t="s">
        <v>72</v>
      </c>
      <c r="I5" s="2367" t="s">
        <v>73</v>
      </c>
      <c r="J5" s="2368" t="s">
        <v>72</v>
      </c>
      <c r="K5" s="2368" t="s">
        <v>73</v>
      </c>
      <c r="L5" s="3111"/>
      <c r="M5" s="3113"/>
      <c r="N5" s="1666"/>
    </row>
    <row r="6" spans="1:17" ht="21.95" customHeight="1">
      <c r="A6" s="2369">
        <v>2011</v>
      </c>
      <c r="B6" s="2370">
        <v>76648.650999999998</v>
      </c>
      <c r="C6" s="2371">
        <v>77179</v>
      </c>
      <c r="D6" s="2371">
        <v>73137</v>
      </c>
      <c r="E6" s="449" t="s">
        <v>1284</v>
      </c>
      <c r="F6" s="2372">
        <v>0.5</v>
      </c>
      <c r="G6" s="2371">
        <v>56722.986958711219</v>
      </c>
      <c r="H6" s="2371">
        <v>3511.650999999998</v>
      </c>
      <c r="I6" s="2373">
        <v>4.8014698442648704</v>
      </c>
      <c r="J6" s="2371">
        <v>4042</v>
      </c>
      <c r="K6" s="157">
        <v>5.5266144359216263</v>
      </c>
      <c r="L6" s="157">
        <v>77.557169365316085</v>
      </c>
      <c r="M6" s="158">
        <v>71.491872971104684</v>
      </c>
      <c r="N6" s="2374"/>
      <c r="O6" s="2375"/>
      <c r="P6" s="2376"/>
      <c r="Q6" s="2377"/>
    </row>
    <row r="7" spans="1:17" ht="21.95" customHeight="1">
      <c r="A7" s="2369">
        <v>2012</v>
      </c>
      <c r="B7" s="2370">
        <v>81805.576000000001</v>
      </c>
      <c r="C7" s="2371">
        <v>79972</v>
      </c>
      <c r="D7" s="2371">
        <v>75987</v>
      </c>
      <c r="E7" s="449" t="s">
        <v>1285</v>
      </c>
      <c r="F7" s="2372">
        <v>0.45833333333333331</v>
      </c>
      <c r="G7" s="2371">
        <v>58011.649469103526</v>
      </c>
      <c r="H7" s="2371">
        <v>5818.5760000000009</v>
      </c>
      <c r="I7" s="2373">
        <v>7.6573308592259224</v>
      </c>
      <c r="J7" s="2371">
        <v>3985</v>
      </c>
      <c r="K7" s="157">
        <v>5.2443181070446254</v>
      </c>
      <c r="L7" s="157">
        <v>76.344176594816915</v>
      </c>
      <c r="M7" s="158">
        <v>71.108338012370055</v>
      </c>
      <c r="N7" s="2374"/>
      <c r="O7" s="2375"/>
      <c r="P7" s="2376"/>
      <c r="Q7" s="2377"/>
    </row>
    <row r="8" spans="1:17" ht="21.95" customHeight="1">
      <c r="A8" s="2369">
        <v>2013</v>
      </c>
      <c r="B8" s="2370">
        <v>82296</v>
      </c>
      <c r="C8" s="2371">
        <v>80713</v>
      </c>
      <c r="D8" s="2371">
        <v>76522</v>
      </c>
      <c r="E8" s="449" t="s">
        <v>1286</v>
      </c>
      <c r="F8" s="2372">
        <v>0.45833333333333331</v>
      </c>
      <c r="G8" s="2371">
        <v>59035.145319634707</v>
      </c>
      <c r="H8" s="2371">
        <v>5774</v>
      </c>
      <c r="I8" s="2373">
        <v>7.545542458377982</v>
      </c>
      <c r="J8" s="2371">
        <v>4191</v>
      </c>
      <c r="K8" s="2378">
        <v>5.4768563288988794</v>
      </c>
      <c r="L8" s="2378">
        <v>77.147938265642182</v>
      </c>
      <c r="M8" s="2379">
        <v>67.880725546881578</v>
      </c>
      <c r="N8" s="2374"/>
      <c r="O8" s="2375"/>
      <c r="P8" s="2376"/>
      <c r="Q8" s="2377"/>
    </row>
    <row r="9" spans="1:17" s="1670" customFormat="1" ht="21.95" customHeight="1">
      <c r="A9" s="2369">
        <v>2014</v>
      </c>
      <c r="B9" s="151">
        <v>93216</v>
      </c>
      <c r="C9" s="152">
        <v>89357</v>
      </c>
      <c r="D9" s="152">
        <v>80153</v>
      </c>
      <c r="E9" s="449" t="s">
        <v>1287</v>
      </c>
      <c r="F9" s="2380">
        <v>0.45833333333333331</v>
      </c>
      <c r="G9" s="2371">
        <v>59585.719531621005</v>
      </c>
      <c r="H9" s="2371">
        <v>13062</v>
      </c>
      <c r="I9" s="2373">
        <v>16.296129949846545</v>
      </c>
      <c r="J9" s="2371">
        <v>9203</v>
      </c>
      <c r="K9" s="2378">
        <v>11.481647827931232</v>
      </c>
      <c r="L9" s="2378">
        <v>74.339046749533395</v>
      </c>
      <c r="M9" s="2379">
        <v>63.922369655507545</v>
      </c>
      <c r="N9" s="2381"/>
      <c r="O9" s="2382"/>
      <c r="P9" s="2383"/>
      <c r="Q9" s="2384"/>
    </row>
    <row r="10" spans="1:17" s="12" customFormat="1" ht="21.95" customHeight="1">
      <c r="A10" s="2369">
        <v>2015</v>
      </c>
      <c r="B10" s="2385">
        <v>94102</v>
      </c>
      <c r="C10" s="2386">
        <v>87926</v>
      </c>
      <c r="D10" s="152">
        <v>78790</v>
      </c>
      <c r="E10" s="449" t="s">
        <v>1288</v>
      </c>
      <c r="F10" s="154">
        <v>0.45833333333333331</v>
      </c>
      <c r="G10" s="155">
        <v>60284.382725246578</v>
      </c>
      <c r="H10" s="155">
        <v>15312</v>
      </c>
      <c r="I10" s="156">
        <v>19.43393831704531</v>
      </c>
      <c r="J10" s="155">
        <v>9136</v>
      </c>
      <c r="K10" s="157">
        <v>11.595380124381267</v>
      </c>
      <c r="L10" s="157">
        <v>76.512733500757179</v>
      </c>
      <c r="M10" s="158">
        <v>61.735942005226285</v>
      </c>
      <c r="O10" s="2387"/>
    </row>
    <row r="11" spans="1:17" s="12" customFormat="1" ht="21.95" customHeight="1">
      <c r="A11" s="2369">
        <v>2016</v>
      </c>
      <c r="B11" s="2385">
        <v>100179.5</v>
      </c>
      <c r="C11" s="2386">
        <v>92395</v>
      </c>
      <c r="D11" s="152">
        <v>85183</v>
      </c>
      <c r="E11" s="449" t="s">
        <v>1289</v>
      </c>
      <c r="F11" s="154">
        <v>0.70833333333333337</v>
      </c>
      <c r="G11" s="155">
        <v>61694.251078169298</v>
      </c>
      <c r="H11" s="155">
        <v>14996.5</v>
      </c>
      <c r="I11" s="156">
        <v>17.605038564032728</v>
      </c>
      <c r="J11" s="155">
        <v>7142</v>
      </c>
      <c r="K11" s="157">
        <v>8.3843020320956061</v>
      </c>
      <c r="L11" s="157">
        <v>72.425543920934103</v>
      </c>
      <c r="M11" s="158">
        <v>58.27603686325201</v>
      </c>
      <c r="O11" s="2387"/>
    </row>
    <row r="12" spans="1:17" s="12" customFormat="1" ht="21.95" customHeight="1">
      <c r="A12" s="2369">
        <v>2017</v>
      </c>
      <c r="B12" s="2385">
        <v>116657</v>
      </c>
      <c r="C12" s="2386">
        <v>96095</v>
      </c>
      <c r="D12" s="152">
        <v>85133</v>
      </c>
      <c r="E12" s="449" t="s">
        <v>1290</v>
      </c>
      <c r="F12" s="154">
        <v>0.41666666666666669</v>
      </c>
      <c r="G12" s="155">
        <v>63188.368492713475</v>
      </c>
      <c r="H12" s="155">
        <v>31524</v>
      </c>
      <c r="I12" s="156">
        <v>37.02911914298803</v>
      </c>
      <c r="J12" s="155">
        <v>10962</v>
      </c>
      <c r="K12" s="157">
        <v>12.876322930003642</v>
      </c>
      <c r="L12" s="157">
        <v>74.223119698252702</v>
      </c>
      <c r="M12" s="158">
        <v>54.049819115513145</v>
      </c>
      <c r="O12" s="2387"/>
    </row>
    <row r="13" spans="1:17" s="12" customFormat="1" ht="21.95" customHeight="1">
      <c r="A13" s="2369">
        <v>2018</v>
      </c>
      <c r="B13" s="2370">
        <v>117205</v>
      </c>
      <c r="C13" s="2371">
        <v>99570</v>
      </c>
      <c r="D13" s="2371">
        <v>92478</v>
      </c>
      <c r="E13" s="449" t="s">
        <v>1291</v>
      </c>
      <c r="F13" s="2372">
        <v>0.70833333333333337</v>
      </c>
      <c r="G13" s="2371">
        <v>65142.295274399556</v>
      </c>
      <c r="H13" s="2371">
        <v>24727</v>
      </c>
      <c r="I13" s="2373">
        <v>26.738251259759078</v>
      </c>
      <c r="J13" s="2371">
        <v>7092</v>
      </c>
      <c r="K13" s="2378">
        <v>7.6688509699604221</v>
      </c>
      <c r="L13" s="2378">
        <v>70.440856500356361</v>
      </c>
      <c r="M13" s="2379">
        <v>54.699292355484467</v>
      </c>
      <c r="O13" s="2387"/>
    </row>
    <row r="14" spans="1:17" s="12" customFormat="1" ht="21.95" customHeight="1">
      <c r="A14" s="2369">
        <v>2019</v>
      </c>
      <c r="B14" s="2370">
        <v>122973</v>
      </c>
      <c r="C14" s="2371">
        <v>96389</v>
      </c>
      <c r="D14" s="2371">
        <v>90314</v>
      </c>
      <c r="E14" s="449" t="s">
        <v>1292</v>
      </c>
      <c r="F14" s="2372">
        <v>0.70833333333333337</v>
      </c>
      <c r="G14" s="2371">
        <v>64274.007534246579</v>
      </c>
      <c r="H14" s="2371">
        <v>32659</v>
      </c>
      <c r="I14" s="2373">
        <v>36.161613924751421</v>
      </c>
      <c r="J14" s="2371">
        <v>6075</v>
      </c>
      <c r="K14" s="2378">
        <v>6.7265318776712366</v>
      </c>
      <c r="L14" s="2378">
        <v>71.154054681672278</v>
      </c>
      <c r="M14" s="2379">
        <v>51.271156913892739</v>
      </c>
      <c r="O14" s="2387"/>
    </row>
    <row r="15" spans="1:17" s="1358" customFormat="1" ht="21.95" customHeight="1">
      <c r="A15" s="2388">
        <v>2020</v>
      </c>
      <c r="B15" s="151">
        <v>127819</v>
      </c>
      <c r="C15" s="152">
        <v>97951</v>
      </c>
      <c r="D15" s="152">
        <v>89091</v>
      </c>
      <c r="E15" s="153" t="s">
        <v>1293</v>
      </c>
      <c r="F15" s="154">
        <v>0.625</v>
      </c>
      <c r="G15" s="155">
        <v>62859.990892531874</v>
      </c>
      <c r="H15" s="155">
        <v>38728</v>
      </c>
      <c r="I15" s="156">
        <v>43.470159724326813</v>
      </c>
      <c r="J15" s="155">
        <v>8860</v>
      </c>
      <c r="K15" s="157">
        <v>9.9448878113389672</v>
      </c>
      <c r="L15" s="157">
        <v>70.55018820015367</v>
      </c>
      <c r="M15" s="158">
        <v>48.651791030342203</v>
      </c>
      <c r="O15" s="2389"/>
    </row>
    <row r="16" spans="1:17" s="1358" customFormat="1" ht="21.95" customHeight="1">
      <c r="A16" s="2388">
        <v>2021</v>
      </c>
      <c r="B16" s="2390">
        <v>131330</v>
      </c>
      <c r="C16" s="152">
        <v>100739</v>
      </c>
      <c r="D16" s="2391">
        <v>91141</v>
      </c>
      <c r="E16" s="153" t="s">
        <v>109</v>
      </c>
      <c r="F16" s="154">
        <v>0.75</v>
      </c>
      <c r="G16" s="155">
        <v>65845.83222576484</v>
      </c>
      <c r="H16" s="155">
        <v>40189</v>
      </c>
      <c r="I16" s="156">
        <v>44.095412602451148</v>
      </c>
      <c r="J16" s="155">
        <v>9598</v>
      </c>
      <c r="K16" s="157">
        <v>10.530935583326933</v>
      </c>
      <c r="L16" s="157">
        <v>72.234643180953157</v>
      </c>
      <c r="M16" s="158">
        <v>49.123628316457413</v>
      </c>
      <c r="O16" s="2389"/>
    </row>
    <row r="17" spans="1:24" s="1358" customFormat="1" ht="23.1" customHeight="1">
      <c r="A17" s="2392" t="s">
        <v>108</v>
      </c>
      <c r="B17" s="2393">
        <v>131330</v>
      </c>
      <c r="C17" s="2394">
        <v>100739</v>
      </c>
      <c r="D17" s="2394">
        <v>91141</v>
      </c>
      <c r="E17" s="2395" t="s">
        <v>109</v>
      </c>
      <c r="F17" s="2396">
        <v>0.75</v>
      </c>
      <c r="G17" s="2394">
        <v>65845.83222576484</v>
      </c>
      <c r="H17" s="2394">
        <v>40189</v>
      </c>
      <c r="I17" s="2397">
        <v>44.095412602451148</v>
      </c>
      <c r="J17" s="2394">
        <v>9598</v>
      </c>
      <c r="K17" s="2397">
        <v>10.530935583326933</v>
      </c>
      <c r="L17" s="2397">
        <v>72.246115607426773</v>
      </c>
      <c r="M17" s="2398">
        <v>49.131430213015093</v>
      </c>
      <c r="O17" s="2389"/>
      <c r="U17" s="2399"/>
      <c r="V17" s="2400"/>
      <c r="W17" s="2400"/>
      <c r="X17" s="2400"/>
    </row>
    <row r="18" spans="1:24" s="1358" customFormat="1" ht="23.1" customHeight="1">
      <c r="A18" s="2401" t="s">
        <v>111</v>
      </c>
      <c r="B18" s="2402">
        <v>134158</v>
      </c>
      <c r="C18" s="155">
        <v>103554</v>
      </c>
      <c r="D18" s="155">
        <v>90708</v>
      </c>
      <c r="E18" s="2403" t="s">
        <v>112</v>
      </c>
      <c r="F18" s="154">
        <v>0.70833333333333337</v>
      </c>
      <c r="G18" s="155">
        <v>71738.721774193546</v>
      </c>
      <c r="H18" s="155">
        <v>43450</v>
      </c>
      <c r="I18" s="157">
        <v>47.900956916699741</v>
      </c>
      <c r="J18" s="155">
        <v>12846</v>
      </c>
      <c r="K18" s="157">
        <v>14.161926180711735</v>
      </c>
      <c r="L18" s="157">
        <v>79.087535580316555</v>
      </c>
      <c r="M18" s="158">
        <v>53.528460090455724</v>
      </c>
      <c r="O18" s="2389"/>
    </row>
    <row r="19" spans="1:24" s="1358" customFormat="1" ht="23.1" customHeight="1">
      <c r="A19" s="2404" t="s">
        <v>114</v>
      </c>
      <c r="B19" s="2405">
        <v>137938</v>
      </c>
      <c r="C19" s="2406">
        <v>105628</v>
      </c>
      <c r="D19" s="2406">
        <v>94509</v>
      </c>
      <c r="E19" s="2407" t="s">
        <v>75</v>
      </c>
      <c r="F19" s="2408">
        <v>0.45833333333333331</v>
      </c>
      <c r="G19" s="2406">
        <v>67852.967870314722</v>
      </c>
      <c r="H19" s="2406">
        <v>43429</v>
      </c>
      <c r="I19" s="2409">
        <v>45.952237353056326</v>
      </c>
      <c r="J19" s="2406">
        <v>11119</v>
      </c>
      <c r="K19" s="2409">
        <v>11.765017088319631</v>
      </c>
      <c r="L19" s="2409">
        <v>71.795244760091336</v>
      </c>
      <c r="M19" s="2410">
        <v>49.162546678625716</v>
      </c>
      <c r="O19" s="2389"/>
    </row>
    <row r="20" spans="1:24" s="1358" customFormat="1" ht="23.1" customHeight="1">
      <c r="A20" s="2411" t="s">
        <v>1742</v>
      </c>
      <c r="B20" s="2412">
        <v>134020</v>
      </c>
      <c r="C20" s="2413">
        <v>107631</v>
      </c>
      <c r="D20" s="2413">
        <v>89397</v>
      </c>
      <c r="E20" s="2414" t="s">
        <v>1301</v>
      </c>
      <c r="F20" s="2415">
        <v>0.41666666666666669</v>
      </c>
      <c r="G20" s="2413">
        <v>73645.566119489245</v>
      </c>
      <c r="H20" s="2413">
        <v>44623</v>
      </c>
      <c r="I20" s="2416">
        <v>49.915545264382473</v>
      </c>
      <c r="J20" s="2413">
        <v>18234</v>
      </c>
      <c r="K20" s="2416">
        <v>20.39665760595993</v>
      </c>
      <c r="L20" s="2416">
        <v>82.380355179132678</v>
      </c>
      <c r="M20" s="2417">
        <v>55.343703791839509</v>
      </c>
      <c r="O20" s="2389"/>
    </row>
    <row r="21" spans="1:24" s="1358" customFormat="1" ht="23.1" customHeight="1">
      <c r="A21" s="2401" t="s">
        <v>1302</v>
      </c>
      <c r="B21" s="2402">
        <v>133069</v>
      </c>
      <c r="C21" s="155">
        <v>100103</v>
      </c>
      <c r="D21" s="155">
        <v>87351</v>
      </c>
      <c r="E21" s="2403" t="s">
        <v>1743</v>
      </c>
      <c r="F21" s="154">
        <v>0.70833333333333337</v>
      </c>
      <c r="G21" s="155">
        <v>72154.020735565486</v>
      </c>
      <c r="H21" s="155">
        <v>45718</v>
      </c>
      <c r="I21" s="157">
        <v>52.338267449714373</v>
      </c>
      <c r="J21" s="155">
        <v>12752</v>
      </c>
      <c r="K21" s="157">
        <v>14.59857357099518</v>
      </c>
      <c r="L21" s="157">
        <v>82.602398067069046</v>
      </c>
      <c r="M21" s="158">
        <v>54.023290231987481</v>
      </c>
      <c r="O21" s="2389"/>
    </row>
    <row r="22" spans="1:24" s="1358" customFormat="1" ht="23.1" customHeight="1">
      <c r="A22" s="2401" t="s">
        <v>1303</v>
      </c>
      <c r="B22" s="2402">
        <v>133561</v>
      </c>
      <c r="C22" s="155">
        <v>89033</v>
      </c>
      <c r="D22" s="155">
        <v>78233</v>
      </c>
      <c r="E22" s="2403" t="s">
        <v>1744</v>
      </c>
      <c r="F22" s="154">
        <v>0.41666666666666669</v>
      </c>
      <c r="G22" s="155">
        <v>66746.173552150532</v>
      </c>
      <c r="H22" s="155">
        <v>55328</v>
      </c>
      <c r="I22" s="157">
        <v>70.722073805171732</v>
      </c>
      <c r="J22" s="155">
        <v>10800</v>
      </c>
      <c r="K22" s="157">
        <v>13.80491608400547</v>
      </c>
      <c r="L22" s="157">
        <v>85.317159705176252</v>
      </c>
      <c r="M22" s="158">
        <v>49.929827964826444</v>
      </c>
      <c r="O22" s="2389"/>
    </row>
    <row r="23" spans="1:24" s="2418" customFormat="1" ht="23.1" customHeight="1">
      <c r="A23" s="2401" t="s">
        <v>1304</v>
      </c>
      <c r="B23" s="2402">
        <v>133680</v>
      </c>
      <c r="C23" s="155">
        <v>84457</v>
      </c>
      <c r="D23" s="155">
        <v>71879</v>
      </c>
      <c r="E23" s="2403" t="s">
        <v>1745</v>
      </c>
      <c r="F23" s="154">
        <v>0.70833333333333337</v>
      </c>
      <c r="G23" s="155">
        <v>62303.985584305556</v>
      </c>
      <c r="H23" s="155">
        <v>61801</v>
      </c>
      <c r="I23" s="157">
        <v>85.979215069770035</v>
      </c>
      <c r="J23" s="155">
        <v>12578</v>
      </c>
      <c r="K23" s="157">
        <v>17.498852237788505</v>
      </c>
      <c r="L23" s="157">
        <v>86.678982156548585</v>
      </c>
      <c r="M23" s="158">
        <v>46.524359510549004</v>
      </c>
      <c r="O23" s="2419"/>
    </row>
    <row r="24" spans="1:24" s="1358" customFormat="1" ht="23.1" customHeight="1">
      <c r="A24" s="2401" t="s">
        <v>1305</v>
      </c>
      <c r="B24" s="2402">
        <v>133917</v>
      </c>
      <c r="C24" s="155">
        <v>84474</v>
      </c>
      <c r="D24" s="155">
        <v>73134</v>
      </c>
      <c r="E24" s="2403" t="s">
        <v>1746</v>
      </c>
      <c r="F24" s="154">
        <v>0.70833333333333337</v>
      </c>
      <c r="G24" s="155">
        <v>62071.008475672046</v>
      </c>
      <c r="H24" s="155">
        <v>60783</v>
      </c>
      <c r="I24" s="157">
        <v>83.111822134711616</v>
      </c>
      <c r="J24" s="155">
        <v>11340</v>
      </c>
      <c r="K24" s="157">
        <v>15.505783903519566</v>
      </c>
      <c r="L24" s="157">
        <v>84.872984488298258</v>
      </c>
      <c r="M24" s="158">
        <v>46.300904274470795</v>
      </c>
      <c r="O24" s="2389"/>
    </row>
    <row r="25" spans="1:24" s="1358" customFormat="1" ht="23.1" customHeight="1">
      <c r="A25" s="2401" t="s">
        <v>1306</v>
      </c>
      <c r="B25" s="2402">
        <v>134092</v>
      </c>
      <c r="C25" s="155">
        <v>94364</v>
      </c>
      <c r="D25" s="155">
        <v>84739</v>
      </c>
      <c r="E25" s="2403" t="s">
        <v>1747</v>
      </c>
      <c r="F25" s="154">
        <v>0.70833333333333337</v>
      </c>
      <c r="G25" s="155">
        <v>66092.862043194458</v>
      </c>
      <c r="H25" s="155">
        <v>49353</v>
      </c>
      <c r="I25" s="157">
        <v>58.241187646774215</v>
      </c>
      <c r="J25" s="155">
        <v>9625</v>
      </c>
      <c r="K25" s="157">
        <v>11.358406400830786</v>
      </c>
      <c r="L25" s="157">
        <v>77.995801275911276</v>
      </c>
      <c r="M25" s="158">
        <v>49.236038277111902</v>
      </c>
      <c r="O25" s="2389"/>
    </row>
    <row r="26" spans="1:24" s="1358" customFormat="1" ht="23.1" customHeight="1">
      <c r="A26" s="2401" t="s">
        <v>1307</v>
      </c>
      <c r="B26" s="2402">
        <v>134239</v>
      </c>
      <c r="C26" s="155">
        <v>99716</v>
      </c>
      <c r="D26" s="155">
        <v>92990</v>
      </c>
      <c r="E26" s="2403" t="s">
        <v>1748</v>
      </c>
      <c r="F26" s="154">
        <v>0.70833333333333337</v>
      </c>
      <c r="G26" s="155">
        <v>73961.567575403227</v>
      </c>
      <c r="H26" s="155">
        <v>41249</v>
      </c>
      <c r="I26" s="157">
        <v>44.358533175610283</v>
      </c>
      <c r="J26" s="155">
        <v>6726</v>
      </c>
      <c r="K26" s="157">
        <v>7.2330358103021828</v>
      </c>
      <c r="L26" s="157">
        <v>79.537119663838297</v>
      </c>
      <c r="M26" s="158">
        <v>55.0756727319215</v>
      </c>
      <c r="O26" s="2389"/>
    </row>
    <row r="27" spans="1:24" s="1358" customFormat="1" ht="23.1" customHeight="1">
      <c r="A27" s="2401" t="s">
        <v>1308</v>
      </c>
      <c r="B27" s="2402">
        <v>134417</v>
      </c>
      <c r="C27" s="155">
        <v>100691</v>
      </c>
      <c r="D27" s="155">
        <v>89263</v>
      </c>
      <c r="E27" s="2403" t="s">
        <v>1749</v>
      </c>
      <c r="F27" s="154">
        <v>0.70833333333333337</v>
      </c>
      <c r="G27" s="155">
        <v>72532.206534543016</v>
      </c>
      <c r="H27" s="155">
        <v>45154</v>
      </c>
      <c r="I27" s="157">
        <v>50.585348912763408</v>
      </c>
      <c r="J27" s="155">
        <v>11428</v>
      </c>
      <c r="K27" s="157">
        <v>12.802616985761178</v>
      </c>
      <c r="L27" s="157">
        <v>81.256743034116056</v>
      </c>
      <c r="M27" s="158">
        <v>53.849378859698476</v>
      </c>
      <c r="O27" s="2389"/>
    </row>
    <row r="28" spans="1:24" s="1358" customFormat="1" ht="23.1" customHeight="1">
      <c r="A28" s="2401" t="s">
        <v>1309</v>
      </c>
      <c r="B28" s="2402">
        <v>134719</v>
      </c>
      <c r="C28" s="155">
        <v>91923</v>
      </c>
      <c r="D28" s="155">
        <v>82122</v>
      </c>
      <c r="E28" s="2403" t="s">
        <v>1750</v>
      </c>
      <c r="F28" s="154">
        <v>0.70833333333333337</v>
      </c>
      <c r="G28" s="155">
        <v>64317.097170416659</v>
      </c>
      <c r="H28" s="155">
        <v>52597</v>
      </c>
      <c r="I28" s="157">
        <v>64.047392903241516</v>
      </c>
      <c r="J28" s="155">
        <v>9801</v>
      </c>
      <c r="K28" s="157">
        <v>11.934682545481113</v>
      </c>
      <c r="L28" s="157">
        <v>78.318961021914532</v>
      </c>
      <c r="M28" s="158">
        <v>47.724282042264846</v>
      </c>
      <c r="O28" s="2389"/>
    </row>
    <row r="29" spans="1:24" s="1358" customFormat="1" ht="23.1" customHeight="1">
      <c r="A29" s="2420" t="s">
        <v>1310</v>
      </c>
      <c r="B29" s="2421">
        <v>134768</v>
      </c>
      <c r="C29" s="2422">
        <v>86098</v>
      </c>
      <c r="D29" s="2422">
        <v>72544</v>
      </c>
      <c r="E29" s="2423" t="s">
        <v>1751</v>
      </c>
      <c r="F29" s="2424">
        <v>0.41666666666666669</v>
      </c>
      <c r="G29" s="2422">
        <v>61479.884669086015</v>
      </c>
      <c r="H29" s="2422">
        <v>62224</v>
      </c>
      <c r="I29" s="2425">
        <v>85.774150860167623</v>
      </c>
      <c r="J29" s="2422">
        <v>13554</v>
      </c>
      <c r="K29" s="2425">
        <v>18.683833259814733</v>
      </c>
      <c r="L29" s="2425">
        <v>84.74840740665806</v>
      </c>
      <c r="M29" s="2426">
        <v>45.195544476285839</v>
      </c>
      <c r="O29" s="2389"/>
    </row>
    <row r="30" spans="1:24" s="1358" customFormat="1" ht="23.1" customHeight="1">
      <c r="A30" s="2420" t="s">
        <v>1311</v>
      </c>
      <c r="B30" s="2421">
        <v>136268</v>
      </c>
      <c r="C30" s="2422">
        <v>92682</v>
      </c>
      <c r="D30" s="2422">
        <v>82117</v>
      </c>
      <c r="E30" s="2423" t="s">
        <v>1752</v>
      </c>
      <c r="F30" s="2424">
        <v>0.70833333333333337</v>
      </c>
      <c r="G30" s="2422">
        <v>64191.398167083331</v>
      </c>
      <c r="H30" s="2422">
        <v>54151</v>
      </c>
      <c r="I30" s="2425">
        <v>65.943714456202741</v>
      </c>
      <c r="J30" s="2422">
        <v>10565</v>
      </c>
      <c r="K30" s="2425">
        <v>12.865789057077098</v>
      </c>
      <c r="L30" s="2425">
        <v>78.170656705777532</v>
      </c>
      <c r="M30" s="2426">
        <v>47.10668629738857</v>
      </c>
      <c r="O30" s="2389"/>
    </row>
    <row r="31" spans="1:24" s="1358" customFormat="1" ht="23.1" customHeight="1">
      <c r="A31" s="2427" t="s">
        <v>111</v>
      </c>
      <c r="B31" s="2428">
        <v>137938</v>
      </c>
      <c r="C31" s="2429">
        <v>105628</v>
      </c>
      <c r="D31" s="2429">
        <v>94509</v>
      </c>
      <c r="E31" s="2430" t="s">
        <v>75</v>
      </c>
      <c r="F31" s="2431">
        <v>0.45833333333333331</v>
      </c>
      <c r="G31" s="2429">
        <v>74688.122206528235</v>
      </c>
      <c r="H31" s="2429">
        <v>43429</v>
      </c>
      <c r="I31" s="2432">
        <v>45.952237353056326</v>
      </c>
      <c r="J31" s="2429">
        <v>11119</v>
      </c>
      <c r="K31" s="2432">
        <v>11.765017088319631</v>
      </c>
      <c r="L31" s="2432">
        <v>79.027523523186403</v>
      </c>
      <c r="M31" s="2433">
        <v>54.114925397740222</v>
      </c>
      <c r="O31" s="2389"/>
    </row>
    <row r="32" spans="1:24" ht="4.5" customHeight="1">
      <c r="A32" s="2434"/>
      <c r="B32" s="2435"/>
      <c r="C32" s="2435"/>
      <c r="D32" s="2435"/>
      <c r="E32" s="2435"/>
      <c r="F32" s="2435"/>
      <c r="G32" s="2436"/>
      <c r="H32" s="2437"/>
      <c r="I32" s="2436"/>
      <c r="J32" s="2436"/>
      <c r="K32" s="2436"/>
      <c r="L32" s="2436"/>
      <c r="M32" s="2436"/>
      <c r="N32" s="2438"/>
      <c r="O32" s="1670"/>
      <c r="P32" s="2376"/>
      <c r="Q32" s="2377"/>
    </row>
    <row r="33" spans="1:25" ht="14.25" customHeight="1">
      <c r="A33" s="2439" t="s">
        <v>1294</v>
      </c>
      <c r="B33" s="2439"/>
      <c r="C33" s="2439"/>
      <c r="D33" s="2439"/>
      <c r="E33" s="2439"/>
      <c r="F33" s="2439"/>
      <c r="G33" s="2440"/>
      <c r="H33" s="2440"/>
      <c r="I33" s="2440"/>
      <c r="J33" s="2440"/>
      <c r="K33" s="2440"/>
      <c r="L33" s="2440"/>
      <c r="M33" s="2440"/>
      <c r="N33" s="1916"/>
      <c r="O33" s="1670"/>
      <c r="P33" s="2376"/>
      <c r="Q33" s="2377"/>
    </row>
    <row r="34" spans="1:25" s="638" customFormat="1" ht="12" customHeight="1">
      <c r="A34" s="2441" t="s">
        <v>1295</v>
      </c>
      <c r="B34" s="2439"/>
      <c r="C34" s="2439"/>
      <c r="D34" s="2439"/>
      <c r="E34" s="2439"/>
      <c r="F34" s="2439"/>
      <c r="G34" s="2440"/>
      <c r="H34" s="2440"/>
      <c r="I34" s="2440"/>
      <c r="J34" s="2440"/>
      <c r="K34" s="2440"/>
      <c r="L34" s="2440"/>
      <c r="M34" s="2440"/>
      <c r="N34" s="1890"/>
      <c r="O34" s="1798"/>
      <c r="P34" s="2376"/>
      <c r="Q34" s="2377"/>
    </row>
    <row r="35" spans="1:25" s="638" customFormat="1" ht="12" customHeight="1">
      <c r="A35" s="2439" t="s">
        <v>1296</v>
      </c>
      <c r="B35" s="2439"/>
      <c r="C35" s="2439"/>
      <c r="D35" s="2439"/>
      <c r="E35" s="2439"/>
      <c r="F35" s="2439"/>
      <c r="G35" s="2440"/>
      <c r="H35" s="2440"/>
      <c r="I35" s="2440"/>
      <c r="J35" s="2440"/>
      <c r="K35" s="2440"/>
      <c r="L35" s="2440"/>
      <c r="M35" s="2440"/>
      <c r="N35" s="1890"/>
      <c r="O35" s="1798"/>
      <c r="P35" s="2442"/>
      <c r="Q35" s="2377"/>
    </row>
    <row r="36" spans="1:25" s="638" customFormat="1" ht="12" customHeight="1">
      <c r="A36" s="2439" t="s">
        <v>1297</v>
      </c>
      <c r="B36" s="2439"/>
      <c r="C36" s="2439"/>
      <c r="D36" s="2439"/>
      <c r="E36" s="2439"/>
      <c r="F36" s="2439"/>
      <c r="G36" s="2440"/>
      <c r="H36" s="2440"/>
      <c r="I36" s="2440"/>
      <c r="J36" s="2440"/>
      <c r="K36" s="2440"/>
      <c r="L36" s="2440"/>
      <c r="M36" s="2440"/>
      <c r="N36" s="1890"/>
      <c r="O36" s="1798"/>
      <c r="P36" s="2376"/>
      <c r="Q36" s="2377"/>
    </row>
    <row r="37" spans="1:25" s="638" customFormat="1" ht="12" customHeight="1">
      <c r="A37" s="2439" t="s">
        <v>1298</v>
      </c>
      <c r="B37" s="2439"/>
      <c r="C37" s="2439"/>
      <c r="D37" s="2439"/>
      <c r="E37" s="2439"/>
      <c r="F37" s="2439"/>
      <c r="G37" s="2440"/>
      <c r="H37" s="2440"/>
      <c r="I37" s="2440"/>
      <c r="J37" s="2440"/>
      <c r="K37" s="2440"/>
      <c r="L37" s="2440"/>
      <c r="M37" s="2440"/>
      <c r="N37" s="1890"/>
      <c r="P37" s="2376"/>
      <c r="Q37" s="2377"/>
    </row>
    <row r="38" spans="1:25" s="638" customFormat="1" ht="12" customHeight="1">
      <c r="A38" s="2439" t="s">
        <v>1299</v>
      </c>
      <c r="B38" s="2439"/>
      <c r="C38" s="2439"/>
      <c r="D38" s="2439"/>
      <c r="E38" s="2439"/>
      <c r="F38" s="2439"/>
      <c r="G38" s="2440"/>
      <c r="H38" s="2440"/>
      <c r="I38" s="2440"/>
      <c r="J38" s="2440"/>
      <c r="K38" s="2440"/>
      <c r="L38" s="2440"/>
      <c r="M38" s="2440"/>
      <c r="N38" s="1890"/>
      <c r="P38" s="2376"/>
      <c r="Q38" s="2377"/>
    </row>
    <row r="39" spans="1:25" s="638" customFormat="1" ht="12" customHeight="1">
      <c r="A39" s="2439"/>
      <c r="B39" s="2439"/>
      <c r="C39" s="2439"/>
      <c r="D39" s="2439"/>
      <c r="E39" s="2439"/>
      <c r="F39" s="2439"/>
      <c r="G39" s="2440"/>
      <c r="H39" s="2440"/>
      <c r="I39" s="2440"/>
      <c r="J39" s="2440"/>
      <c r="K39" s="2440"/>
      <c r="L39" s="2440"/>
      <c r="M39" s="2440"/>
      <c r="N39" s="1890"/>
      <c r="P39" s="2376"/>
      <c r="Q39" s="2377"/>
    </row>
    <row r="40" spans="1:25" ht="5.0999999999999996" customHeight="1"/>
    <row r="41" spans="1:25" s="249" customFormat="1" ht="12" customHeight="1">
      <c r="A41" s="250"/>
      <c r="B41" s="250"/>
      <c r="C41" s="250"/>
      <c r="D41" s="250"/>
      <c r="E41" s="250"/>
      <c r="F41" s="250"/>
      <c r="G41" s="1670"/>
      <c r="H41" s="1670"/>
      <c r="I41" s="1670"/>
      <c r="J41" s="1670"/>
      <c r="K41" s="1670"/>
      <c r="L41" s="1670"/>
      <c r="M41" s="1670"/>
      <c r="N41" s="1670"/>
      <c r="O41" s="250"/>
      <c r="P41" s="1279"/>
      <c r="Q41" s="2360"/>
      <c r="R41" s="250"/>
      <c r="S41" s="250"/>
      <c r="T41" s="250"/>
    </row>
    <row r="42" spans="1:25" s="249" customFormat="1" ht="12" customHeight="1">
      <c r="A42" s="250"/>
      <c r="B42" s="250"/>
      <c r="C42" s="250"/>
      <c r="D42" s="250"/>
      <c r="E42" s="250"/>
      <c r="F42" s="250"/>
      <c r="G42" s="1670"/>
      <c r="H42" s="1670"/>
      <c r="I42" s="1670"/>
      <c r="J42" s="1670"/>
      <c r="K42" s="1670"/>
      <c r="L42" s="1670"/>
      <c r="M42" s="1670"/>
      <c r="N42" s="1670"/>
      <c r="O42" s="250"/>
      <c r="P42" s="1279"/>
      <c r="Q42" s="2360"/>
      <c r="R42" s="250"/>
      <c r="S42" s="250"/>
      <c r="T42" s="250"/>
      <c r="V42" s="2443"/>
      <c r="W42" s="2443"/>
      <c r="Y42" s="2444"/>
    </row>
    <row r="43" spans="1:25" s="249" customFormat="1" ht="12" customHeight="1">
      <c r="A43" s="250"/>
      <c r="B43" s="250"/>
      <c r="C43" s="250"/>
      <c r="D43" s="250"/>
      <c r="E43" s="250"/>
      <c r="F43" s="250"/>
      <c r="G43" s="1670"/>
      <c r="H43" s="1670"/>
      <c r="I43" s="1670"/>
      <c r="J43" s="1670"/>
      <c r="K43" s="1670"/>
      <c r="L43" s="1670"/>
      <c r="M43" s="1670"/>
      <c r="N43" s="1670"/>
      <c r="O43" s="250"/>
      <c r="P43" s="1279"/>
      <c r="Q43" s="2360"/>
      <c r="R43" s="250"/>
      <c r="S43" s="250"/>
      <c r="T43" s="250"/>
      <c r="V43" s="2443"/>
      <c r="W43" s="2443"/>
      <c r="Y43" s="2444"/>
    </row>
    <row r="44" spans="1:25" s="249" customFormat="1" ht="12" customHeight="1">
      <c r="A44" s="250"/>
      <c r="B44" s="250"/>
      <c r="C44" s="250"/>
      <c r="D44" s="250"/>
      <c r="E44" s="250"/>
      <c r="F44" s="250"/>
      <c r="G44" s="1670"/>
      <c r="H44" s="1670"/>
      <c r="I44" s="1670"/>
      <c r="J44" s="1670"/>
      <c r="K44" s="1670"/>
      <c r="L44" s="1670"/>
      <c r="M44" s="1670"/>
      <c r="N44" s="1670"/>
      <c r="O44" s="250"/>
      <c r="P44" s="1279"/>
      <c r="Q44" s="2360"/>
      <c r="R44" s="250"/>
      <c r="S44" s="250"/>
      <c r="T44" s="250"/>
      <c r="V44" s="2443"/>
      <c r="W44" s="2443"/>
      <c r="Y44" s="2444"/>
    </row>
    <row r="45" spans="1:25" s="249" customFormat="1" ht="12" customHeight="1">
      <c r="A45" s="250"/>
      <c r="B45" s="250"/>
      <c r="C45" s="250"/>
      <c r="D45" s="250"/>
      <c r="E45" s="250"/>
      <c r="F45" s="250"/>
      <c r="G45" s="1670"/>
      <c r="H45" s="1670"/>
      <c r="I45" s="1670"/>
      <c r="J45" s="1670"/>
      <c r="K45" s="1670"/>
      <c r="L45" s="1670"/>
      <c r="M45" s="1670"/>
      <c r="N45" s="1670"/>
      <c r="O45" s="250"/>
      <c r="P45" s="1279"/>
      <c r="Q45" s="2360"/>
      <c r="R45" s="250"/>
      <c r="S45" s="250"/>
      <c r="T45" s="250"/>
      <c r="V45" s="2443"/>
      <c r="W45" s="2443"/>
      <c r="Y45" s="2444"/>
    </row>
    <row r="46" spans="1:25" s="249" customFormat="1" ht="12" customHeight="1">
      <c r="A46" s="250"/>
      <c r="B46" s="250"/>
      <c r="C46" s="250"/>
      <c r="D46" s="250"/>
      <c r="E46" s="250"/>
      <c r="F46" s="250"/>
      <c r="G46" s="1670"/>
      <c r="H46" s="1670"/>
      <c r="I46" s="1670"/>
      <c r="J46" s="1670"/>
      <c r="K46" s="1670"/>
      <c r="L46" s="1670"/>
      <c r="M46" s="1670"/>
      <c r="N46" s="1670"/>
      <c r="O46" s="250"/>
      <c r="P46" s="1279"/>
      <c r="Q46" s="2360"/>
      <c r="R46" s="250"/>
      <c r="S46" s="250"/>
      <c r="T46" s="250"/>
      <c r="V46" s="2443"/>
      <c r="W46" s="2443"/>
      <c r="Y46" s="2444"/>
    </row>
    <row r="47" spans="1:25" s="249" customFormat="1" ht="12" customHeight="1">
      <c r="A47" s="250"/>
      <c r="B47" s="250"/>
      <c r="C47" s="250"/>
      <c r="D47" s="250"/>
      <c r="E47" s="250"/>
      <c r="F47" s="250"/>
      <c r="G47" s="1670"/>
      <c r="H47" s="1670"/>
      <c r="I47" s="1670"/>
      <c r="J47" s="1670"/>
      <c r="K47" s="1670"/>
      <c r="L47" s="1670"/>
      <c r="M47" s="1670"/>
      <c r="N47" s="1670"/>
      <c r="O47" s="250"/>
      <c r="P47" s="1279"/>
      <c r="Q47" s="2360"/>
      <c r="R47" s="250"/>
      <c r="S47" s="250"/>
      <c r="T47" s="250"/>
      <c r="V47" s="2443"/>
      <c r="W47" s="2443"/>
      <c r="Y47" s="2444"/>
    </row>
    <row r="48" spans="1:25" s="249" customFormat="1" ht="12" customHeight="1">
      <c r="A48" s="250"/>
      <c r="B48" s="250"/>
      <c r="C48" s="250"/>
      <c r="D48" s="250"/>
      <c r="E48" s="250"/>
      <c r="F48" s="250"/>
      <c r="G48" s="1670"/>
      <c r="H48" s="1670"/>
      <c r="I48" s="1670"/>
      <c r="J48" s="1670"/>
      <c r="K48" s="1670"/>
      <c r="L48" s="1670"/>
      <c r="M48" s="1670"/>
      <c r="N48" s="1670"/>
      <c r="O48" s="250"/>
      <c r="P48" s="1279"/>
      <c r="Q48" s="2360"/>
      <c r="R48" s="250"/>
      <c r="S48" s="250"/>
      <c r="T48" s="250"/>
      <c r="V48" s="2443"/>
      <c r="W48" s="2443"/>
      <c r="Y48" s="2444"/>
    </row>
    <row r="49" spans="1:25" s="249" customFormat="1" ht="12" customHeight="1">
      <c r="A49" s="250"/>
      <c r="B49" s="250"/>
      <c r="C49" s="250"/>
      <c r="D49" s="250"/>
      <c r="E49" s="250"/>
      <c r="F49" s="250"/>
      <c r="G49" s="1670"/>
      <c r="H49" s="1670"/>
      <c r="I49" s="1670"/>
      <c r="J49" s="1670"/>
      <c r="K49" s="1670"/>
      <c r="L49" s="1670"/>
      <c r="M49" s="1670"/>
      <c r="N49" s="1670"/>
      <c r="O49" s="250"/>
      <c r="P49" s="1279"/>
      <c r="Q49" s="2360"/>
      <c r="R49" s="250"/>
      <c r="S49" s="250"/>
      <c r="T49" s="250"/>
      <c r="V49" s="2443"/>
      <c r="W49" s="2443"/>
      <c r="Y49" s="2444"/>
    </row>
    <row r="50" spans="1:25" s="249" customFormat="1" ht="12" customHeight="1">
      <c r="A50" s="250"/>
      <c r="B50" s="250"/>
      <c r="C50" s="250"/>
      <c r="D50" s="250"/>
      <c r="E50" s="250"/>
      <c r="F50" s="250"/>
      <c r="G50" s="1670"/>
      <c r="H50" s="1670"/>
      <c r="I50" s="1670"/>
      <c r="J50" s="1670"/>
      <c r="K50" s="1670"/>
      <c r="L50" s="1670"/>
      <c r="M50" s="1670"/>
      <c r="N50" s="1670"/>
      <c r="O50" s="250"/>
      <c r="P50" s="1279"/>
      <c r="Q50" s="2360"/>
      <c r="R50" s="250"/>
      <c r="S50" s="250"/>
      <c r="T50" s="250"/>
      <c r="V50" s="2443"/>
      <c r="W50" s="2443"/>
      <c r="Y50" s="2444"/>
    </row>
    <row r="51" spans="1:25" s="249" customFormat="1" ht="12" customHeight="1">
      <c r="A51" s="250"/>
      <c r="B51" s="250"/>
      <c r="C51" s="250"/>
      <c r="D51" s="250"/>
      <c r="E51" s="250"/>
      <c r="F51" s="250"/>
      <c r="G51" s="1670"/>
      <c r="H51" s="1670"/>
      <c r="I51" s="1670"/>
      <c r="J51" s="1670"/>
      <c r="K51" s="1670"/>
      <c r="L51" s="1670"/>
      <c r="M51" s="1670"/>
      <c r="N51" s="1670"/>
      <c r="O51" s="250"/>
      <c r="P51" s="1279"/>
      <c r="Q51" s="2360"/>
      <c r="R51" s="250"/>
      <c r="S51" s="250"/>
      <c r="T51" s="250"/>
      <c r="V51" s="2443"/>
      <c r="W51" s="2443"/>
      <c r="Y51" s="2444"/>
    </row>
    <row r="52" spans="1:25" s="249" customFormat="1" ht="12" customHeight="1">
      <c r="A52" s="250"/>
      <c r="B52" s="250"/>
      <c r="C52" s="250"/>
      <c r="D52" s="250"/>
      <c r="E52" s="250"/>
      <c r="F52" s="250"/>
      <c r="G52" s="1670"/>
      <c r="H52" s="1670"/>
      <c r="I52" s="1670"/>
      <c r="J52" s="1670"/>
      <c r="K52" s="1670"/>
      <c r="L52" s="1670"/>
      <c r="M52" s="1670"/>
      <c r="N52" s="1670"/>
      <c r="O52" s="250"/>
      <c r="P52" s="1279"/>
      <c r="Q52" s="2360"/>
      <c r="R52" s="250"/>
      <c r="S52" s="250"/>
      <c r="T52" s="250"/>
      <c r="V52" s="2443"/>
      <c r="W52" s="2443"/>
      <c r="Y52" s="2444"/>
    </row>
    <row r="53" spans="1:25" s="249" customFormat="1" ht="12" customHeight="1">
      <c r="A53" s="250"/>
      <c r="B53" s="250"/>
      <c r="C53" s="250"/>
      <c r="D53" s="250"/>
      <c r="E53" s="250"/>
      <c r="F53" s="250"/>
      <c r="G53" s="1670"/>
      <c r="H53" s="1670"/>
      <c r="I53" s="1670"/>
      <c r="J53" s="1670"/>
      <c r="K53" s="1670"/>
      <c r="L53" s="1670"/>
      <c r="M53" s="1670"/>
      <c r="N53" s="1670"/>
      <c r="O53" s="250"/>
      <c r="P53" s="1279"/>
      <c r="Q53" s="2360"/>
      <c r="R53" s="250"/>
      <c r="S53" s="250"/>
      <c r="T53" s="250"/>
      <c r="V53" s="2443"/>
      <c r="W53" s="2443"/>
      <c r="Y53" s="2444"/>
    </row>
    <row r="54" spans="1:25" s="249" customFormat="1" ht="12" customHeight="1">
      <c r="A54" s="250"/>
      <c r="B54" s="250"/>
      <c r="C54" s="250"/>
      <c r="D54" s="250"/>
      <c r="E54" s="250"/>
      <c r="F54" s="250"/>
      <c r="G54" s="1670"/>
      <c r="H54" s="1670"/>
      <c r="I54" s="1670"/>
      <c r="J54" s="1670"/>
      <c r="K54" s="1670"/>
      <c r="L54" s="1670"/>
      <c r="M54" s="1670"/>
      <c r="N54" s="1670"/>
      <c r="O54" s="250"/>
      <c r="P54" s="1279"/>
      <c r="Q54" s="2360"/>
      <c r="R54" s="250"/>
      <c r="S54" s="250"/>
      <c r="T54" s="250"/>
      <c r="V54" s="2443"/>
      <c r="W54" s="2443"/>
      <c r="Y54" s="2444"/>
    </row>
    <row r="55" spans="1:25" s="249" customFormat="1" ht="12" customHeight="1">
      <c r="A55" s="250"/>
      <c r="B55" s="250"/>
      <c r="C55" s="250"/>
      <c r="D55" s="250"/>
      <c r="E55" s="250"/>
      <c r="F55" s="250"/>
      <c r="G55" s="1670"/>
      <c r="H55" s="1670"/>
      <c r="I55" s="1670"/>
      <c r="J55" s="1670"/>
      <c r="K55" s="1670"/>
      <c r="L55" s="1670"/>
      <c r="M55" s="1670"/>
      <c r="N55" s="1670"/>
      <c r="O55" s="250"/>
      <c r="P55" s="1279"/>
      <c r="Q55" s="2360"/>
      <c r="R55" s="250"/>
      <c r="S55" s="250"/>
      <c r="T55" s="250"/>
      <c r="V55" s="2443"/>
      <c r="W55" s="2443"/>
      <c r="Y55" s="2444"/>
    </row>
    <row r="56" spans="1:25" s="249" customFormat="1" ht="12" customHeight="1">
      <c r="A56" s="250"/>
      <c r="B56" s="250"/>
      <c r="C56" s="250"/>
      <c r="D56" s="250"/>
      <c r="E56" s="250"/>
      <c r="F56" s="250"/>
      <c r="G56" s="1670"/>
      <c r="H56" s="1670"/>
      <c r="I56" s="1670"/>
      <c r="J56" s="1670"/>
      <c r="K56" s="1670"/>
      <c r="L56" s="1670"/>
      <c r="M56" s="1670"/>
      <c r="N56" s="1670"/>
      <c r="O56" s="250"/>
      <c r="P56" s="1279"/>
      <c r="Q56" s="2360"/>
      <c r="R56" s="250"/>
      <c r="S56" s="250"/>
      <c r="T56" s="250"/>
      <c r="V56" s="2443"/>
      <c r="W56" s="2443"/>
      <c r="Y56" s="2444"/>
    </row>
    <row r="57" spans="1:25" s="249" customFormat="1" ht="12" customHeight="1">
      <c r="A57" s="250"/>
      <c r="B57" s="250"/>
      <c r="C57" s="250"/>
      <c r="D57" s="250"/>
      <c r="E57" s="250"/>
      <c r="F57" s="250"/>
      <c r="G57" s="1670"/>
      <c r="H57" s="1670"/>
      <c r="I57" s="1670"/>
      <c r="J57" s="1670"/>
      <c r="K57" s="1670"/>
      <c r="L57" s="1670"/>
      <c r="M57" s="1670"/>
      <c r="N57" s="1670"/>
      <c r="O57" s="250"/>
      <c r="P57" s="1279"/>
      <c r="Q57" s="2360"/>
      <c r="R57" s="250"/>
      <c r="S57" s="250"/>
      <c r="T57" s="250"/>
      <c r="V57" s="2443"/>
      <c r="W57" s="2443"/>
      <c r="Y57" s="2444"/>
    </row>
    <row r="58" spans="1:25" s="249" customFormat="1" ht="12" customHeight="1">
      <c r="A58" s="250"/>
      <c r="B58" s="250"/>
      <c r="C58" s="250"/>
      <c r="D58" s="250"/>
      <c r="E58" s="250"/>
      <c r="F58" s="250"/>
      <c r="G58" s="1670"/>
      <c r="H58" s="1670"/>
      <c r="I58" s="1670"/>
      <c r="J58" s="1670"/>
      <c r="K58" s="1670"/>
      <c r="L58" s="1670"/>
      <c r="M58" s="1670"/>
      <c r="N58" s="1670"/>
      <c r="O58" s="250"/>
      <c r="P58" s="1279"/>
      <c r="Q58" s="2360"/>
      <c r="R58" s="250"/>
      <c r="S58" s="250"/>
      <c r="T58" s="250"/>
      <c r="V58" s="2443"/>
      <c r="W58" s="2443"/>
      <c r="Y58" s="2444"/>
    </row>
    <row r="59" spans="1:25" s="249" customFormat="1" ht="12" customHeight="1">
      <c r="A59" s="250"/>
      <c r="B59" s="250"/>
      <c r="C59" s="250"/>
      <c r="D59" s="250"/>
      <c r="E59" s="250"/>
      <c r="F59" s="250"/>
      <c r="G59" s="1670"/>
      <c r="H59" s="1670"/>
      <c r="I59" s="1670"/>
      <c r="J59" s="1670"/>
      <c r="K59" s="1670"/>
      <c r="L59" s="1670"/>
      <c r="M59" s="1670"/>
      <c r="N59" s="1670"/>
      <c r="O59" s="250"/>
      <c r="P59" s="1279"/>
      <c r="Q59" s="2360"/>
      <c r="R59" s="250"/>
      <c r="S59" s="250"/>
      <c r="T59" s="250"/>
      <c r="V59" s="2443"/>
      <c r="W59" s="2443"/>
      <c r="Y59" s="2444"/>
    </row>
    <row r="60" spans="1:25" s="249" customFormat="1" ht="12" customHeight="1">
      <c r="A60" s="250"/>
      <c r="B60" s="250"/>
      <c r="C60" s="250"/>
      <c r="D60" s="250"/>
      <c r="E60" s="250"/>
      <c r="F60" s="250"/>
      <c r="G60" s="1670"/>
      <c r="H60" s="1670"/>
      <c r="I60" s="1670"/>
      <c r="J60" s="1670"/>
      <c r="K60" s="1670"/>
      <c r="L60" s="1670"/>
      <c r="M60" s="1670"/>
      <c r="N60" s="1670"/>
      <c r="O60" s="250"/>
      <c r="P60" s="1279"/>
      <c r="Q60" s="2360"/>
      <c r="R60" s="250"/>
      <c r="S60" s="250"/>
      <c r="T60" s="250"/>
      <c r="V60" s="2443"/>
      <c r="W60" s="2443"/>
      <c r="Y60" s="2444"/>
    </row>
    <row r="61" spans="1:25" s="249" customFormat="1" ht="12" customHeight="1">
      <c r="A61" s="250"/>
      <c r="B61" s="250"/>
      <c r="C61" s="250"/>
      <c r="D61" s="250"/>
      <c r="E61" s="250"/>
      <c r="F61" s="250"/>
      <c r="G61" s="1670"/>
      <c r="H61" s="1670"/>
      <c r="I61" s="1670"/>
      <c r="J61" s="1670"/>
      <c r="K61" s="1670"/>
      <c r="L61" s="1670"/>
      <c r="M61" s="1670"/>
      <c r="N61" s="1670"/>
      <c r="O61" s="250"/>
      <c r="P61" s="1279"/>
      <c r="Q61" s="2360"/>
      <c r="R61" s="250"/>
      <c r="S61" s="250"/>
      <c r="T61" s="250"/>
      <c r="V61" s="2443"/>
      <c r="W61" s="2443"/>
      <c r="Y61" s="2444"/>
    </row>
    <row r="62" spans="1:25" s="249" customFormat="1" ht="12" customHeight="1">
      <c r="A62" s="250"/>
      <c r="B62" s="250"/>
      <c r="C62" s="250"/>
      <c r="D62" s="250"/>
      <c r="E62" s="250"/>
      <c r="F62" s="250"/>
      <c r="G62" s="1670"/>
      <c r="H62" s="1670"/>
      <c r="I62" s="1670"/>
      <c r="J62" s="1670"/>
      <c r="K62" s="1670"/>
      <c r="L62" s="1670"/>
      <c r="M62" s="1670"/>
      <c r="N62" s="1670"/>
      <c r="O62" s="250"/>
      <c r="P62" s="1279"/>
      <c r="Q62" s="2360"/>
      <c r="R62" s="250"/>
      <c r="S62" s="250"/>
      <c r="T62" s="250"/>
      <c r="V62" s="2443"/>
      <c r="W62" s="2443"/>
      <c r="Y62" s="2444"/>
    </row>
    <row r="63" spans="1:25" s="249" customFormat="1" ht="12" customHeight="1">
      <c r="A63" s="250"/>
      <c r="B63" s="250"/>
      <c r="C63" s="250"/>
      <c r="D63" s="250"/>
      <c r="E63" s="250"/>
      <c r="F63" s="250"/>
      <c r="G63" s="1670"/>
      <c r="H63" s="1670"/>
      <c r="I63" s="1670"/>
      <c r="J63" s="1670"/>
      <c r="K63" s="1670"/>
      <c r="L63" s="1670"/>
      <c r="M63" s="1670"/>
      <c r="N63" s="1670"/>
      <c r="O63" s="250"/>
      <c r="P63" s="1279"/>
      <c r="Q63" s="2360"/>
      <c r="R63" s="250"/>
      <c r="S63" s="250"/>
      <c r="T63" s="250"/>
      <c r="V63" s="2443"/>
      <c r="W63" s="2443"/>
      <c r="Y63" s="2444"/>
    </row>
    <row r="64" spans="1:25" s="249" customFormat="1" ht="12" customHeight="1">
      <c r="A64" s="250"/>
      <c r="B64" s="250"/>
      <c r="C64" s="250"/>
      <c r="D64" s="250"/>
      <c r="E64" s="250"/>
      <c r="F64" s="250"/>
      <c r="G64" s="1670"/>
      <c r="H64" s="1670"/>
      <c r="I64" s="1670"/>
      <c r="J64" s="1670"/>
      <c r="K64" s="1670"/>
      <c r="L64" s="1670"/>
      <c r="M64" s="1670"/>
      <c r="N64" s="1670"/>
      <c r="O64" s="250"/>
      <c r="P64" s="1279"/>
      <c r="Q64" s="2360"/>
      <c r="R64" s="250"/>
      <c r="S64" s="250"/>
      <c r="T64" s="250"/>
      <c r="V64" s="2443"/>
      <c r="W64" s="2443"/>
      <c r="Y64" s="2444"/>
    </row>
    <row r="65" spans="1:25" s="249" customFormat="1" ht="12" customHeight="1">
      <c r="A65" s="250"/>
      <c r="B65" s="250"/>
      <c r="C65" s="250"/>
      <c r="D65" s="250"/>
      <c r="E65" s="250"/>
      <c r="F65" s="250"/>
      <c r="G65" s="1670"/>
      <c r="H65" s="1670"/>
      <c r="I65" s="1670"/>
      <c r="J65" s="1670"/>
      <c r="K65" s="1670"/>
      <c r="L65" s="1670"/>
      <c r="M65" s="1670"/>
      <c r="N65" s="1670"/>
      <c r="O65" s="250"/>
      <c r="P65" s="1279"/>
      <c r="Q65" s="2360"/>
      <c r="R65" s="250"/>
      <c r="S65" s="250"/>
      <c r="T65" s="250"/>
      <c r="V65" s="2443"/>
      <c r="W65" s="2443"/>
      <c r="Y65" s="2444"/>
    </row>
    <row r="66" spans="1:25" s="249" customFormat="1" ht="12" customHeight="1">
      <c r="A66" s="250"/>
      <c r="B66" s="250"/>
      <c r="C66" s="250"/>
      <c r="D66" s="250"/>
      <c r="E66" s="250"/>
      <c r="F66" s="250"/>
      <c r="G66" s="1670"/>
      <c r="H66" s="1670"/>
      <c r="I66" s="1670"/>
      <c r="J66" s="1670"/>
      <c r="K66" s="1670"/>
      <c r="L66" s="1670"/>
      <c r="M66" s="1670"/>
      <c r="N66" s="1670"/>
      <c r="O66" s="250"/>
      <c r="P66" s="1279"/>
      <c r="Q66" s="2360"/>
      <c r="R66" s="250"/>
      <c r="S66" s="250"/>
      <c r="T66" s="250"/>
      <c r="V66" s="2443"/>
      <c r="W66" s="2443"/>
      <c r="Y66" s="2444"/>
    </row>
    <row r="67" spans="1:25" s="249" customFormat="1" ht="12" customHeight="1">
      <c r="A67" s="250"/>
      <c r="B67" s="250"/>
      <c r="C67" s="250"/>
      <c r="D67" s="250"/>
      <c r="E67" s="250"/>
      <c r="F67" s="250"/>
      <c r="G67" s="1670"/>
      <c r="H67" s="1670"/>
      <c r="I67" s="1670"/>
      <c r="J67" s="1670"/>
      <c r="K67" s="1670"/>
      <c r="L67" s="1670"/>
      <c r="M67" s="1670"/>
      <c r="N67" s="1670"/>
      <c r="O67" s="250"/>
      <c r="P67" s="1279"/>
      <c r="Q67" s="2360"/>
      <c r="R67" s="250"/>
      <c r="S67" s="250"/>
      <c r="T67" s="250"/>
      <c r="V67" s="2443"/>
      <c r="W67" s="2443"/>
      <c r="Y67" s="2444"/>
    </row>
    <row r="68" spans="1:25" s="249" customFormat="1" ht="12" customHeight="1">
      <c r="A68" s="250"/>
      <c r="B68" s="250"/>
      <c r="C68" s="250"/>
      <c r="D68" s="250"/>
      <c r="E68" s="250"/>
      <c r="F68" s="250"/>
      <c r="G68" s="1670"/>
      <c r="H68" s="1670"/>
      <c r="I68" s="1670"/>
      <c r="J68" s="1670"/>
      <c r="K68" s="1670"/>
      <c r="L68" s="1670"/>
      <c r="M68" s="1670"/>
      <c r="N68" s="1670"/>
      <c r="O68" s="250"/>
      <c r="P68" s="1279"/>
      <c r="Q68" s="2360"/>
      <c r="R68" s="250"/>
      <c r="S68" s="250"/>
      <c r="T68" s="250"/>
      <c r="V68" s="2443"/>
      <c r="W68" s="2443"/>
      <c r="Y68" s="2444"/>
    </row>
    <row r="69" spans="1:25" s="249" customFormat="1" ht="12" customHeight="1">
      <c r="A69" s="250"/>
      <c r="B69" s="250"/>
      <c r="C69" s="250"/>
      <c r="D69" s="250"/>
      <c r="E69" s="250"/>
      <c r="F69" s="250"/>
      <c r="G69" s="1670"/>
      <c r="H69" s="1670"/>
      <c r="I69" s="1670"/>
      <c r="J69" s="1670"/>
      <c r="K69" s="1670"/>
      <c r="L69" s="1670"/>
      <c r="M69" s="1670"/>
      <c r="N69" s="1670"/>
      <c r="O69" s="250"/>
      <c r="P69" s="1279"/>
      <c r="Q69" s="2360"/>
      <c r="R69" s="250"/>
      <c r="S69" s="250"/>
      <c r="T69" s="250"/>
      <c r="V69" s="2443"/>
      <c r="W69" s="2443"/>
      <c r="Y69" s="2444"/>
    </row>
    <row r="70" spans="1:25" s="249" customFormat="1" ht="12" customHeight="1">
      <c r="A70" s="250"/>
      <c r="B70" s="250"/>
      <c r="C70" s="250"/>
      <c r="D70" s="250"/>
      <c r="E70" s="250"/>
      <c r="F70" s="250"/>
      <c r="G70" s="1670"/>
      <c r="H70" s="1670"/>
      <c r="I70" s="1670"/>
      <c r="J70" s="1670"/>
      <c r="K70" s="1670"/>
      <c r="L70" s="1670"/>
      <c r="M70" s="1670"/>
      <c r="N70" s="1670"/>
      <c r="O70" s="250"/>
      <c r="P70" s="1279"/>
      <c r="Q70" s="2360"/>
      <c r="R70" s="250"/>
      <c r="S70" s="250"/>
      <c r="T70" s="250"/>
      <c r="V70" s="2443"/>
      <c r="W70" s="2443"/>
      <c r="Y70" s="2444"/>
    </row>
    <row r="71" spans="1:25" s="249" customFormat="1" ht="12" customHeight="1">
      <c r="A71" s="250"/>
      <c r="B71" s="250"/>
      <c r="C71" s="250"/>
      <c r="D71" s="250"/>
      <c r="E71" s="250"/>
      <c r="F71" s="250"/>
      <c r="G71" s="1670"/>
      <c r="H71" s="1670"/>
      <c r="I71" s="1670"/>
      <c r="J71" s="1670"/>
      <c r="K71" s="1670"/>
      <c r="L71" s="1670"/>
      <c r="M71" s="1670"/>
      <c r="N71" s="1670"/>
      <c r="O71" s="250"/>
      <c r="P71" s="1279"/>
      <c r="Q71" s="2360"/>
      <c r="R71" s="250"/>
      <c r="S71" s="250"/>
      <c r="T71" s="250"/>
      <c r="V71" s="2443"/>
      <c r="W71" s="2443"/>
      <c r="Y71" s="2444"/>
    </row>
    <row r="72" spans="1:25" s="249" customFormat="1" ht="12" customHeight="1">
      <c r="A72" s="250"/>
      <c r="B72" s="250"/>
      <c r="C72" s="250"/>
      <c r="D72" s="250"/>
      <c r="E72" s="250"/>
      <c r="F72" s="250"/>
      <c r="G72" s="1670"/>
      <c r="H72" s="1670"/>
      <c r="I72" s="1670"/>
      <c r="J72" s="1670"/>
      <c r="K72" s="1670"/>
      <c r="L72" s="1670"/>
      <c r="M72" s="1670"/>
      <c r="N72" s="1670"/>
      <c r="O72" s="250"/>
      <c r="P72" s="1279"/>
      <c r="Q72" s="2360"/>
      <c r="R72" s="250"/>
      <c r="S72" s="250"/>
      <c r="T72" s="250"/>
      <c r="V72" s="2443"/>
      <c r="W72" s="2443"/>
      <c r="Y72" s="2444"/>
    </row>
    <row r="73" spans="1:25" s="249" customFormat="1" ht="12" customHeight="1">
      <c r="A73" s="250"/>
      <c r="B73" s="250"/>
      <c r="C73" s="250"/>
      <c r="D73" s="250"/>
      <c r="E73" s="250"/>
      <c r="F73" s="250"/>
      <c r="G73" s="1670"/>
      <c r="H73" s="1670"/>
      <c r="I73" s="1670"/>
      <c r="J73" s="1670"/>
      <c r="K73" s="1670"/>
      <c r="L73" s="1670"/>
      <c r="M73" s="1670"/>
      <c r="N73" s="1670"/>
      <c r="O73" s="250"/>
      <c r="P73" s="1279"/>
      <c r="Q73" s="2360"/>
      <c r="R73" s="250"/>
      <c r="S73" s="250"/>
      <c r="T73" s="250"/>
      <c r="V73" s="2443"/>
      <c r="W73" s="2443"/>
      <c r="Y73" s="2444"/>
    </row>
    <row r="74" spans="1:25" s="249" customFormat="1" ht="12" customHeight="1">
      <c r="A74" s="250"/>
      <c r="B74" s="250"/>
      <c r="C74" s="250"/>
      <c r="D74" s="250"/>
      <c r="E74" s="250"/>
      <c r="F74" s="250"/>
      <c r="G74" s="1670"/>
      <c r="H74" s="1670"/>
      <c r="I74" s="1670"/>
      <c r="J74" s="1670"/>
      <c r="K74" s="1670"/>
      <c r="L74" s="1670"/>
      <c r="M74" s="1670"/>
      <c r="N74" s="1670"/>
      <c r="O74" s="250"/>
      <c r="P74" s="1279"/>
      <c r="Q74" s="2360"/>
      <c r="R74" s="250"/>
      <c r="S74" s="250"/>
      <c r="T74" s="250"/>
      <c r="V74" s="2443"/>
      <c r="W74" s="2443"/>
      <c r="Y74" s="2444"/>
    </row>
    <row r="75" spans="1:25" s="249" customFormat="1" ht="12" customHeight="1">
      <c r="A75" s="250"/>
      <c r="B75" s="250"/>
      <c r="C75" s="250"/>
      <c r="D75" s="250"/>
      <c r="E75" s="250"/>
      <c r="F75" s="250"/>
      <c r="G75" s="1670"/>
      <c r="H75" s="1670"/>
      <c r="I75" s="1670"/>
      <c r="J75" s="1670"/>
      <c r="K75" s="1670"/>
      <c r="L75" s="1670"/>
      <c r="M75" s="1670"/>
      <c r="N75" s="1670"/>
      <c r="O75" s="250"/>
      <c r="P75" s="1279"/>
      <c r="Q75" s="2360"/>
      <c r="R75" s="250"/>
      <c r="S75" s="250"/>
      <c r="T75" s="250"/>
      <c r="V75" s="2443"/>
      <c r="W75" s="2443"/>
      <c r="Y75" s="2444"/>
    </row>
    <row r="76" spans="1:25" s="249" customFormat="1" ht="12" customHeight="1">
      <c r="A76" s="250"/>
      <c r="B76" s="250"/>
      <c r="C76" s="250"/>
      <c r="D76" s="250"/>
      <c r="E76" s="250"/>
      <c r="F76" s="250"/>
      <c r="G76" s="1670"/>
      <c r="H76" s="1670"/>
      <c r="I76" s="1670"/>
      <c r="J76" s="1670"/>
      <c r="K76" s="1670"/>
      <c r="L76" s="1670"/>
      <c r="M76" s="1670"/>
      <c r="N76" s="1670"/>
      <c r="O76" s="250"/>
      <c r="P76" s="1279"/>
      <c r="Q76" s="2360"/>
      <c r="R76" s="250"/>
      <c r="S76" s="250"/>
      <c r="T76" s="250"/>
      <c r="V76" s="2443"/>
      <c r="W76" s="2443"/>
      <c r="Y76" s="2444"/>
    </row>
    <row r="77" spans="1:25" s="249" customFormat="1" ht="12" customHeight="1">
      <c r="A77" s="250"/>
      <c r="B77" s="250"/>
      <c r="C77" s="250"/>
      <c r="D77" s="250"/>
      <c r="E77" s="250"/>
      <c r="F77" s="250"/>
      <c r="G77" s="1670"/>
      <c r="H77" s="1670"/>
      <c r="I77" s="1670"/>
      <c r="J77" s="1670"/>
      <c r="K77" s="1670"/>
      <c r="L77" s="1670"/>
      <c r="M77" s="1670"/>
      <c r="N77" s="1670"/>
      <c r="O77" s="250"/>
      <c r="P77" s="1279"/>
      <c r="Q77" s="2360"/>
      <c r="R77" s="250"/>
      <c r="S77" s="250"/>
      <c r="T77" s="250"/>
      <c r="V77" s="2443"/>
      <c r="W77" s="2443"/>
      <c r="Y77" s="2444"/>
    </row>
    <row r="78" spans="1:25" s="249" customFormat="1" ht="12" customHeight="1">
      <c r="A78" s="250"/>
      <c r="B78" s="250"/>
      <c r="C78" s="250"/>
      <c r="D78" s="250"/>
      <c r="E78" s="250"/>
      <c r="F78" s="250"/>
      <c r="G78" s="1670"/>
      <c r="H78" s="1670"/>
      <c r="I78" s="1670"/>
      <c r="J78" s="1670"/>
      <c r="K78" s="1670"/>
      <c r="L78" s="1670"/>
      <c r="M78" s="1670"/>
      <c r="N78" s="1670"/>
      <c r="O78" s="250"/>
      <c r="P78" s="1279"/>
      <c r="Q78" s="2360"/>
      <c r="R78" s="250"/>
      <c r="S78" s="250"/>
      <c r="T78" s="250"/>
      <c r="V78" s="2443"/>
      <c r="W78" s="2443"/>
      <c r="Y78" s="2444"/>
    </row>
    <row r="79" spans="1:25" s="249" customFormat="1" ht="12" customHeight="1">
      <c r="A79" s="250"/>
      <c r="B79" s="250"/>
      <c r="C79" s="250"/>
      <c r="D79" s="250"/>
      <c r="E79" s="250"/>
      <c r="F79" s="250"/>
      <c r="G79" s="1670"/>
      <c r="H79" s="1670"/>
      <c r="I79" s="1670"/>
      <c r="J79" s="1670"/>
      <c r="K79" s="1670"/>
      <c r="L79" s="1670"/>
      <c r="M79" s="1670"/>
      <c r="N79" s="1670"/>
      <c r="O79" s="250"/>
      <c r="P79" s="1279"/>
      <c r="Q79" s="2360"/>
      <c r="R79" s="250"/>
      <c r="S79" s="250"/>
      <c r="T79" s="250"/>
      <c r="V79" s="2443"/>
      <c r="W79" s="2443"/>
      <c r="Y79" s="2444"/>
    </row>
    <row r="80" spans="1:25" s="249" customFormat="1" ht="12" customHeight="1">
      <c r="A80" s="250"/>
      <c r="B80" s="250"/>
      <c r="C80" s="250"/>
      <c r="D80" s="250"/>
      <c r="E80" s="250"/>
      <c r="F80" s="250"/>
      <c r="G80" s="1670"/>
      <c r="H80" s="1670"/>
      <c r="I80" s="1670"/>
      <c r="J80" s="1670"/>
      <c r="K80" s="1670"/>
      <c r="L80" s="1670"/>
      <c r="M80" s="1670"/>
      <c r="N80" s="1670"/>
      <c r="O80" s="250"/>
      <c r="P80" s="1279"/>
      <c r="Q80" s="2360"/>
      <c r="R80" s="250"/>
      <c r="S80" s="250"/>
      <c r="T80" s="250"/>
      <c r="V80" s="2443"/>
      <c r="W80" s="2443"/>
      <c r="Y80" s="2444"/>
    </row>
    <row r="81" spans="1:25" s="249" customFormat="1" ht="12" customHeight="1">
      <c r="A81" s="250"/>
      <c r="B81" s="250"/>
      <c r="C81" s="250"/>
      <c r="D81" s="250"/>
      <c r="E81" s="250"/>
      <c r="F81" s="250"/>
      <c r="G81" s="1670"/>
      <c r="H81" s="1670"/>
      <c r="I81" s="1670"/>
      <c r="J81" s="1670"/>
      <c r="K81" s="1670"/>
      <c r="L81" s="1670"/>
      <c r="M81" s="1670"/>
      <c r="N81" s="1670"/>
      <c r="O81" s="250"/>
      <c r="P81" s="1279"/>
      <c r="Q81" s="2360"/>
      <c r="R81" s="250"/>
      <c r="S81" s="250"/>
      <c r="T81" s="250"/>
      <c r="V81" s="2443"/>
      <c r="W81" s="2443"/>
      <c r="Y81" s="2444"/>
    </row>
    <row r="82" spans="1:25" s="249" customFormat="1" ht="12" customHeight="1">
      <c r="A82" s="250"/>
      <c r="B82" s="250"/>
      <c r="C82" s="250"/>
      <c r="D82" s="250"/>
      <c r="E82" s="250"/>
      <c r="F82" s="250"/>
      <c r="G82" s="1670"/>
      <c r="H82" s="1670"/>
      <c r="I82" s="1670"/>
      <c r="J82" s="1670"/>
      <c r="K82" s="1670"/>
      <c r="L82" s="1670"/>
      <c r="M82" s="1670"/>
      <c r="N82" s="1670"/>
      <c r="O82" s="250"/>
      <c r="P82" s="1279"/>
      <c r="Q82" s="2360"/>
      <c r="R82" s="250"/>
      <c r="S82" s="250"/>
      <c r="T82" s="250"/>
      <c r="V82" s="2443"/>
      <c r="W82" s="2443"/>
      <c r="Y82" s="2444"/>
    </row>
    <row r="83" spans="1:25" s="249" customFormat="1" ht="12" customHeight="1">
      <c r="A83" s="250"/>
      <c r="B83" s="250"/>
      <c r="C83" s="250"/>
      <c r="D83" s="250"/>
      <c r="E83" s="250"/>
      <c r="F83" s="250"/>
      <c r="G83" s="1670"/>
      <c r="H83" s="1670"/>
      <c r="I83" s="1670"/>
      <c r="J83" s="1670"/>
      <c r="K83" s="1670"/>
      <c r="L83" s="1670"/>
      <c r="M83" s="1670"/>
      <c r="N83" s="1670"/>
      <c r="O83" s="250"/>
      <c r="P83" s="1279"/>
      <c r="Q83" s="2360"/>
      <c r="R83" s="250"/>
      <c r="S83" s="250"/>
      <c r="T83" s="250"/>
      <c r="V83" s="2443"/>
      <c r="W83" s="2443"/>
      <c r="Y83" s="2444"/>
    </row>
    <row r="84" spans="1:25" s="249" customFormat="1" ht="12" customHeight="1">
      <c r="A84" s="250"/>
      <c r="B84" s="250"/>
      <c r="C84" s="250"/>
      <c r="D84" s="250"/>
      <c r="E84" s="250"/>
      <c r="F84" s="250"/>
      <c r="G84" s="1670"/>
      <c r="H84" s="1670"/>
      <c r="I84" s="1670"/>
      <c r="J84" s="1670"/>
      <c r="K84" s="1670"/>
      <c r="L84" s="1670"/>
      <c r="M84" s="1670"/>
      <c r="N84" s="1670"/>
      <c r="O84" s="250"/>
      <c r="P84" s="1279"/>
      <c r="Q84" s="2360"/>
      <c r="R84" s="250"/>
      <c r="S84" s="250"/>
      <c r="T84" s="250"/>
      <c r="V84" s="2443"/>
      <c r="W84" s="2443"/>
      <c r="Y84" s="2444"/>
    </row>
    <row r="85" spans="1:25" s="249" customFormat="1" ht="12" customHeight="1">
      <c r="A85" s="250"/>
      <c r="B85" s="250"/>
      <c r="C85" s="250"/>
      <c r="D85" s="250"/>
      <c r="E85" s="250"/>
      <c r="F85" s="250"/>
      <c r="G85" s="1670"/>
      <c r="H85" s="1670"/>
      <c r="I85" s="1670"/>
      <c r="J85" s="1670"/>
      <c r="K85" s="1670"/>
      <c r="L85" s="1670"/>
      <c r="M85" s="1670"/>
      <c r="N85" s="1670"/>
      <c r="O85" s="250"/>
      <c r="P85" s="1279"/>
      <c r="Q85" s="2360"/>
      <c r="R85" s="250"/>
      <c r="S85" s="250"/>
      <c r="T85" s="250"/>
      <c r="V85" s="2443"/>
      <c r="W85" s="2443"/>
      <c r="Y85" s="2444"/>
    </row>
    <row r="86" spans="1:25" s="249" customFormat="1" ht="12" customHeight="1">
      <c r="A86" s="250"/>
      <c r="B86" s="250"/>
      <c r="C86" s="250"/>
      <c r="D86" s="250"/>
      <c r="E86" s="250"/>
      <c r="F86" s="250"/>
      <c r="G86" s="1670"/>
      <c r="H86" s="1670"/>
      <c r="I86" s="1670"/>
      <c r="J86" s="1670"/>
      <c r="K86" s="1670"/>
      <c r="L86" s="1670"/>
      <c r="M86" s="1670"/>
      <c r="N86" s="1670"/>
      <c r="O86" s="250"/>
      <c r="P86" s="1279"/>
      <c r="Q86" s="2360"/>
      <c r="R86" s="250"/>
      <c r="S86" s="250"/>
      <c r="T86" s="250"/>
      <c r="V86" s="2443"/>
      <c r="W86" s="2443"/>
      <c r="Y86" s="2444"/>
    </row>
    <row r="87" spans="1:25" s="249" customFormat="1" ht="12" customHeight="1">
      <c r="A87" s="250"/>
      <c r="B87" s="250"/>
      <c r="C87" s="250"/>
      <c r="D87" s="250"/>
      <c r="E87" s="250"/>
      <c r="F87" s="250"/>
      <c r="G87" s="1670"/>
      <c r="H87" s="1670"/>
      <c r="I87" s="1670"/>
      <c r="J87" s="1670"/>
      <c r="K87" s="1670"/>
      <c r="L87" s="1670"/>
      <c r="M87" s="1670"/>
      <c r="N87" s="1670"/>
      <c r="O87" s="250"/>
      <c r="P87" s="1279"/>
      <c r="Q87" s="2360"/>
      <c r="R87" s="250"/>
      <c r="S87" s="250"/>
      <c r="T87" s="250"/>
      <c r="V87" s="2443"/>
      <c r="W87" s="2443"/>
      <c r="Y87" s="2444"/>
    </row>
    <row r="88" spans="1:25" s="249" customFormat="1" ht="12" customHeight="1">
      <c r="A88" s="250"/>
      <c r="B88" s="250"/>
      <c r="C88" s="250"/>
      <c r="D88" s="250"/>
      <c r="E88" s="250"/>
      <c r="F88" s="250"/>
      <c r="G88" s="1670"/>
      <c r="H88" s="1670"/>
      <c r="I88" s="1670"/>
      <c r="J88" s="1670"/>
      <c r="K88" s="1670"/>
      <c r="L88" s="1670"/>
      <c r="M88" s="1670"/>
      <c r="N88" s="1670"/>
      <c r="O88" s="250"/>
      <c r="P88" s="1279"/>
      <c r="Q88" s="2360"/>
      <c r="R88" s="250"/>
      <c r="S88" s="250"/>
      <c r="T88" s="250"/>
      <c r="V88" s="2443"/>
      <c r="W88" s="2443"/>
      <c r="Y88" s="2444"/>
    </row>
    <row r="89" spans="1:25" s="249" customFormat="1" ht="12" customHeight="1">
      <c r="A89" s="250"/>
      <c r="B89" s="250"/>
      <c r="C89" s="250"/>
      <c r="D89" s="250"/>
      <c r="E89" s="250"/>
      <c r="F89" s="250"/>
      <c r="G89" s="1670"/>
      <c r="H89" s="1670"/>
      <c r="I89" s="1670"/>
      <c r="J89" s="1670"/>
      <c r="K89" s="1670"/>
      <c r="L89" s="1670"/>
      <c r="M89" s="1670"/>
      <c r="N89" s="1670"/>
      <c r="O89" s="250"/>
      <c r="P89" s="1279"/>
      <c r="Q89" s="2360"/>
      <c r="R89" s="250"/>
      <c r="S89" s="250"/>
      <c r="T89" s="250"/>
      <c r="V89" s="2443"/>
      <c r="W89" s="2443"/>
      <c r="Y89" s="2444"/>
    </row>
    <row r="90" spans="1:25" s="249" customFormat="1" ht="12" customHeight="1">
      <c r="A90" s="250"/>
      <c r="B90" s="250"/>
      <c r="C90" s="250"/>
      <c r="D90" s="250"/>
      <c r="E90" s="250"/>
      <c r="F90" s="250"/>
      <c r="G90" s="1670"/>
      <c r="H90" s="1670"/>
      <c r="I90" s="1670"/>
      <c r="J90" s="1670"/>
      <c r="K90" s="1670"/>
      <c r="L90" s="1670"/>
      <c r="M90" s="1670"/>
      <c r="N90" s="1670"/>
      <c r="O90" s="250"/>
      <c r="P90" s="1279"/>
      <c r="Q90" s="2360"/>
      <c r="R90" s="250"/>
      <c r="S90" s="250"/>
      <c r="T90" s="250"/>
      <c r="V90" s="2443"/>
      <c r="W90" s="2443"/>
      <c r="Y90" s="2444"/>
    </row>
    <row r="91" spans="1:25" s="249" customFormat="1" ht="12" customHeight="1">
      <c r="A91" s="250"/>
      <c r="B91" s="250"/>
      <c r="C91" s="250"/>
      <c r="D91" s="250"/>
      <c r="E91" s="250"/>
      <c r="F91" s="250"/>
      <c r="G91" s="1670"/>
      <c r="H91" s="1670"/>
      <c r="I91" s="1670"/>
      <c r="J91" s="1670"/>
      <c r="K91" s="1670"/>
      <c r="L91" s="1670"/>
      <c r="M91" s="1670"/>
      <c r="N91" s="1670"/>
      <c r="O91" s="250"/>
      <c r="P91" s="1279"/>
      <c r="Q91" s="2360"/>
      <c r="R91" s="250"/>
      <c r="S91" s="250"/>
      <c r="T91" s="250"/>
      <c r="V91" s="2443"/>
      <c r="W91" s="2443"/>
      <c r="Y91" s="2444"/>
    </row>
    <row r="92" spans="1:25" s="249" customFormat="1" ht="12" customHeight="1">
      <c r="A92" s="250"/>
      <c r="B92" s="250"/>
      <c r="C92" s="250"/>
      <c r="D92" s="250"/>
      <c r="E92" s="250"/>
      <c r="F92" s="250"/>
      <c r="G92" s="1670"/>
      <c r="H92" s="1670"/>
      <c r="I92" s="1670"/>
      <c r="J92" s="1670"/>
      <c r="K92" s="1670"/>
      <c r="L92" s="1670"/>
      <c r="M92" s="1670"/>
      <c r="N92" s="1670"/>
      <c r="O92" s="250"/>
      <c r="P92" s="1279"/>
      <c r="Q92" s="2360"/>
      <c r="R92" s="250"/>
      <c r="S92" s="250"/>
      <c r="T92" s="250"/>
      <c r="V92" s="2443"/>
      <c r="W92" s="2443"/>
      <c r="Y92" s="2444"/>
    </row>
    <row r="93" spans="1:25" s="249" customFormat="1" ht="12" customHeight="1">
      <c r="A93" s="250"/>
      <c r="B93" s="250"/>
      <c r="C93" s="250"/>
      <c r="D93" s="250"/>
      <c r="E93" s="250"/>
      <c r="F93" s="250"/>
      <c r="G93" s="1670"/>
      <c r="H93" s="1670"/>
      <c r="I93" s="1670"/>
      <c r="J93" s="1670"/>
      <c r="K93" s="1670"/>
      <c r="L93" s="1670"/>
      <c r="M93" s="1670"/>
      <c r="N93" s="1670"/>
      <c r="O93" s="250"/>
      <c r="P93" s="1279"/>
      <c r="Q93" s="2360"/>
      <c r="R93" s="250"/>
      <c r="S93" s="250"/>
      <c r="T93" s="250"/>
      <c r="V93" s="2443"/>
      <c r="W93" s="2443"/>
      <c r="Y93" s="2444"/>
    </row>
    <row r="94" spans="1:25" s="249" customFormat="1" ht="12" customHeight="1">
      <c r="A94" s="250"/>
      <c r="B94" s="250"/>
      <c r="C94" s="250"/>
      <c r="D94" s="250"/>
      <c r="E94" s="250"/>
      <c r="F94" s="250"/>
      <c r="G94" s="1670"/>
      <c r="H94" s="1670"/>
      <c r="I94" s="1670"/>
      <c r="J94" s="1670"/>
      <c r="K94" s="1670"/>
      <c r="L94" s="1670"/>
      <c r="M94" s="1670"/>
      <c r="N94" s="1670"/>
      <c r="O94" s="250"/>
      <c r="P94" s="1279"/>
      <c r="Q94" s="2360"/>
      <c r="R94" s="250"/>
      <c r="S94" s="250"/>
      <c r="T94" s="250"/>
      <c r="V94" s="2443"/>
      <c r="W94" s="2443"/>
      <c r="Y94" s="2444"/>
    </row>
    <row r="95" spans="1:25" s="249" customFormat="1" ht="12" customHeight="1">
      <c r="A95" s="250"/>
      <c r="B95" s="250"/>
      <c r="C95" s="250"/>
      <c r="D95" s="250"/>
      <c r="E95" s="250"/>
      <c r="F95" s="250"/>
      <c r="G95" s="1670"/>
      <c r="H95" s="1670"/>
      <c r="I95" s="1670"/>
      <c r="J95" s="1670"/>
      <c r="K95" s="1670"/>
      <c r="L95" s="1670"/>
      <c r="M95" s="1670"/>
      <c r="N95" s="1670"/>
      <c r="O95" s="250"/>
      <c r="P95" s="1279"/>
      <c r="Q95" s="2360"/>
      <c r="R95" s="250"/>
      <c r="S95" s="250"/>
      <c r="T95" s="250"/>
      <c r="V95" s="2443"/>
      <c r="W95" s="2443"/>
      <c r="Y95" s="2444"/>
    </row>
    <row r="96" spans="1:25" s="249" customFormat="1" ht="12" customHeight="1">
      <c r="A96" s="250"/>
      <c r="B96" s="250"/>
      <c r="C96" s="250"/>
      <c r="D96" s="250"/>
      <c r="E96" s="250"/>
      <c r="F96" s="250"/>
      <c r="G96" s="1670"/>
      <c r="H96" s="1670"/>
      <c r="I96" s="1670"/>
      <c r="J96" s="1670"/>
      <c r="K96" s="1670"/>
      <c r="L96" s="1670"/>
      <c r="M96" s="1670"/>
      <c r="N96" s="1670"/>
      <c r="O96" s="250"/>
      <c r="P96" s="1279"/>
      <c r="Q96" s="2360"/>
      <c r="R96" s="250"/>
      <c r="S96" s="250"/>
      <c r="T96" s="250"/>
      <c r="V96" s="2443"/>
      <c r="W96" s="2443"/>
      <c r="Y96" s="2444"/>
    </row>
    <row r="97" spans="1:25" s="249" customFormat="1" ht="12" customHeight="1">
      <c r="A97" s="250"/>
      <c r="B97" s="250"/>
      <c r="C97" s="250"/>
      <c r="D97" s="250"/>
      <c r="E97" s="250"/>
      <c r="F97" s="250"/>
      <c r="G97" s="1670"/>
      <c r="H97" s="1670"/>
      <c r="I97" s="1670"/>
      <c r="J97" s="1670"/>
      <c r="K97" s="1670"/>
      <c r="L97" s="1670"/>
      <c r="M97" s="1670"/>
      <c r="N97" s="1670"/>
      <c r="O97" s="250"/>
      <c r="P97" s="1279"/>
      <c r="Q97" s="2360"/>
      <c r="R97" s="250"/>
      <c r="S97" s="250"/>
      <c r="T97" s="250"/>
      <c r="V97" s="2443"/>
      <c r="W97" s="2443"/>
      <c r="Y97" s="2444"/>
    </row>
    <row r="98" spans="1:25" s="249" customFormat="1" ht="12" customHeight="1">
      <c r="A98" s="250"/>
      <c r="B98" s="250"/>
      <c r="C98" s="250"/>
      <c r="D98" s="250"/>
      <c r="E98" s="250"/>
      <c r="F98" s="250"/>
      <c r="G98" s="1670"/>
      <c r="H98" s="1670"/>
      <c r="I98" s="1670"/>
      <c r="J98" s="1670"/>
      <c r="K98" s="1670"/>
      <c r="L98" s="1670"/>
      <c r="M98" s="1670"/>
      <c r="N98" s="1670"/>
      <c r="O98" s="250"/>
      <c r="P98" s="1279"/>
      <c r="Q98" s="2360"/>
      <c r="R98" s="250"/>
      <c r="S98" s="250"/>
      <c r="T98" s="250"/>
      <c r="V98" s="2443"/>
      <c r="W98" s="2443"/>
      <c r="Y98" s="2444"/>
    </row>
    <row r="99" spans="1:25" s="249" customFormat="1" ht="12" customHeight="1">
      <c r="A99" s="250"/>
      <c r="B99" s="250"/>
      <c r="C99" s="250"/>
      <c r="D99" s="250"/>
      <c r="E99" s="250"/>
      <c r="F99" s="250"/>
      <c r="G99" s="1670"/>
      <c r="H99" s="1670"/>
      <c r="I99" s="1670"/>
      <c r="J99" s="1670"/>
      <c r="K99" s="1670"/>
      <c r="L99" s="1670"/>
      <c r="M99" s="1670"/>
      <c r="N99" s="1670"/>
      <c r="O99" s="250"/>
      <c r="P99" s="1279"/>
      <c r="Q99" s="2360"/>
      <c r="R99" s="250"/>
      <c r="S99" s="250"/>
      <c r="T99" s="250"/>
      <c r="V99" s="2443"/>
      <c r="W99" s="2443"/>
      <c r="Y99" s="2444"/>
    </row>
    <row r="100" spans="1:25" s="249" customFormat="1" ht="12" customHeight="1">
      <c r="A100" s="250"/>
      <c r="B100" s="250"/>
      <c r="C100" s="250"/>
      <c r="D100" s="250"/>
      <c r="E100" s="250"/>
      <c r="F100" s="250"/>
      <c r="G100" s="1670"/>
      <c r="H100" s="1670"/>
      <c r="I100" s="1670"/>
      <c r="J100" s="1670"/>
      <c r="K100" s="1670"/>
      <c r="L100" s="1670"/>
      <c r="M100" s="1670"/>
      <c r="N100" s="1670"/>
      <c r="O100" s="250"/>
      <c r="P100" s="1279"/>
      <c r="Q100" s="2360"/>
      <c r="R100" s="250"/>
      <c r="S100" s="250"/>
      <c r="T100" s="250"/>
      <c r="V100" s="2443"/>
      <c r="W100" s="2443"/>
      <c r="Y100" s="2444"/>
    </row>
    <row r="101" spans="1:25" s="249" customFormat="1" ht="12" customHeight="1">
      <c r="A101" s="250"/>
      <c r="B101" s="250"/>
      <c r="C101" s="250"/>
      <c r="D101" s="250"/>
      <c r="E101" s="250"/>
      <c r="F101" s="250"/>
      <c r="G101" s="1670"/>
      <c r="H101" s="1670"/>
      <c r="I101" s="1670"/>
      <c r="J101" s="1670"/>
      <c r="K101" s="1670"/>
      <c r="L101" s="1670"/>
      <c r="M101" s="1670"/>
      <c r="N101" s="1670"/>
      <c r="O101" s="250"/>
      <c r="P101" s="1279"/>
      <c r="Q101" s="2360"/>
      <c r="R101" s="250"/>
      <c r="S101" s="250"/>
      <c r="T101" s="250"/>
      <c r="V101" s="2443"/>
      <c r="W101" s="2443"/>
      <c r="Y101" s="2444"/>
    </row>
    <row r="102" spans="1:25" s="249" customFormat="1" ht="12" customHeight="1">
      <c r="A102" s="250"/>
      <c r="B102" s="250"/>
      <c r="C102" s="250"/>
      <c r="D102" s="250"/>
      <c r="E102" s="250"/>
      <c r="F102" s="250"/>
      <c r="G102" s="1670"/>
      <c r="H102" s="1670"/>
      <c r="I102" s="1670"/>
      <c r="J102" s="1670"/>
      <c r="K102" s="1670"/>
      <c r="L102" s="1670"/>
      <c r="M102" s="1670"/>
      <c r="N102" s="1670"/>
      <c r="O102" s="250"/>
      <c r="P102" s="1279"/>
      <c r="Q102" s="2360"/>
      <c r="R102" s="250"/>
      <c r="S102" s="250"/>
      <c r="T102" s="250"/>
      <c r="V102" s="2443"/>
      <c r="W102" s="2443"/>
      <c r="Y102" s="2444"/>
    </row>
    <row r="103" spans="1:25" s="249" customFormat="1" ht="12" customHeight="1">
      <c r="A103" s="250"/>
      <c r="B103" s="250"/>
      <c r="C103" s="250"/>
      <c r="D103" s="250"/>
      <c r="E103" s="250"/>
      <c r="F103" s="250"/>
      <c r="G103" s="1670"/>
      <c r="H103" s="1670"/>
      <c r="I103" s="1670"/>
      <c r="J103" s="1670"/>
      <c r="K103" s="1670"/>
      <c r="L103" s="1670"/>
      <c r="M103" s="1670"/>
      <c r="N103" s="1670"/>
      <c r="O103" s="250"/>
      <c r="P103" s="1279"/>
      <c r="Q103" s="2360"/>
      <c r="R103" s="250"/>
      <c r="S103" s="250"/>
      <c r="T103" s="250"/>
      <c r="V103" s="2443"/>
      <c r="W103" s="2443"/>
      <c r="Y103" s="2444"/>
    </row>
    <row r="104" spans="1:25" s="249" customFormat="1" ht="12" customHeight="1">
      <c r="A104" s="250"/>
      <c r="B104" s="250"/>
      <c r="C104" s="250"/>
      <c r="D104" s="250"/>
      <c r="E104" s="250"/>
      <c r="F104" s="250"/>
      <c r="G104" s="1670"/>
      <c r="H104" s="1670"/>
      <c r="I104" s="1670"/>
      <c r="J104" s="1670"/>
      <c r="K104" s="1670"/>
      <c r="L104" s="1670"/>
      <c r="M104" s="1670"/>
      <c r="N104" s="1670"/>
      <c r="O104" s="250"/>
      <c r="P104" s="1279"/>
      <c r="Q104" s="2360"/>
      <c r="R104" s="250"/>
      <c r="S104" s="250"/>
      <c r="T104" s="250"/>
      <c r="V104" s="2443"/>
      <c r="W104" s="2443"/>
      <c r="Y104" s="2444"/>
    </row>
    <row r="105" spans="1:25" s="249" customFormat="1" ht="12" customHeight="1">
      <c r="A105" s="250"/>
      <c r="B105" s="250"/>
      <c r="C105" s="250"/>
      <c r="D105" s="250"/>
      <c r="E105" s="250"/>
      <c r="F105" s="250"/>
      <c r="G105" s="1670"/>
      <c r="H105" s="1670"/>
      <c r="I105" s="1670"/>
      <c r="J105" s="1670"/>
      <c r="K105" s="1670"/>
      <c r="L105" s="1670"/>
      <c r="M105" s="1670"/>
      <c r="N105" s="1670"/>
      <c r="O105" s="250"/>
      <c r="P105" s="1279"/>
      <c r="Q105" s="2360"/>
      <c r="R105" s="250"/>
      <c r="S105" s="250"/>
      <c r="T105" s="250"/>
      <c r="V105" s="2443"/>
      <c r="W105" s="2443"/>
      <c r="Y105" s="2444"/>
    </row>
    <row r="106" spans="1:25" s="249" customFormat="1" ht="12" customHeight="1">
      <c r="A106" s="250"/>
      <c r="B106" s="250"/>
      <c r="C106" s="250"/>
      <c r="D106" s="250"/>
      <c r="E106" s="250"/>
      <c r="F106" s="250"/>
      <c r="G106" s="1670"/>
      <c r="H106" s="1670"/>
      <c r="I106" s="1670"/>
      <c r="J106" s="1670"/>
      <c r="K106" s="1670"/>
      <c r="L106" s="1670"/>
      <c r="M106" s="1670"/>
      <c r="N106" s="1670"/>
      <c r="O106" s="250"/>
      <c r="P106" s="1279"/>
      <c r="Q106" s="2360"/>
      <c r="R106" s="250"/>
      <c r="S106" s="250"/>
      <c r="T106" s="250"/>
      <c r="V106" s="2443"/>
      <c r="W106" s="2443"/>
      <c r="Y106" s="2444"/>
    </row>
    <row r="107" spans="1:25" s="249" customFormat="1" ht="12" customHeight="1">
      <c r="A107" s="250"/>
      <c r="B107" s="250"/>
      <c r="C107" s="250"/>
      <c r="D107" s="250"/>
      <c r="E107" s="250"/>
      <c r="F107" s="250"/>
      <c r="G107" s="1670"/>
      <c r="H107" s="1670"/>
      <c r="I107" s="1670"/>
      <c r="J107" s="1670"/>
      <c r="K107" s="1670"/>
      <c r="L107" s="1670"/>
      <c r="M107" s="1670"/>
      <c r="N107" s="1670"/>
      <c r="O107" s="250"/>
      <c r="P107" s="1279"/>
      <c r="Q107" s="2360"/>
      <c r="R107" s="250"/>
      <c r="S107" s="250"/>
      <c r="T107" s="250"/>
      <c r="V107" s="2443"/>
      <c r="W107" s="2443"/>
      <c r="Y107" s="2444"/>
    </row>
    <row r="108" spans="1:25" s="249" customFormat="1" ht="12" customHeight="1">
      <c r="A108" s="250"/>
      <c r="B108" s="250"/>
      <c r="C108" s="250"/>
      <c r="D108" s="250"/>
      <c r="E108" s="250"/>
      <c r="F108" s="250"/>
      <c r="G108" s="1670"/>
      <c r="H108" s="1670"/>
      <c r="I108" s="1670"/>
      <c r="J108" s="1670"/>
      <c r="K108" s="1670"/>
      <c r="L108" s="1670"/>
      <c r="M108" s="1670"/>
      <c r="N108" s="1670"/>
      <c r="O108" s="250"/>
      <c r="P108" s="1279"/>
      <c r="Q108" s="2360"/>
      <c r="R108" s="250"/>
      <c r="S108" s="250"/>
      <c r="T108" s="250"/>
      <c r="V108" s="2443"/>
      <c r="W108" s="2443"/>
      <c r="Y108" s="2444"/>
    </row>
    <row r="109" spans="1:25" s="249" customFormat="1" ht="12" customHeight="1">
      <c r="A109" s="250"/>
      <c r="B109" s="250"/>
      <c r="C109" s="250"/>
      <c r="D109" s="250"/>
      <c r="E109" s="250"/>
      <c r="F109" s="250"/>
      <c r="G109" s="1670"/>
      <c r="H109" s="1670"/>
      <c r="I109" s="1670"/>
      <c r="J109" s="1670"/>
      <c r="K109" s="1670"/>
      <c r="L109" s="1670"/>
      <c r="M109" s="1670"/>
      <c r="N109" s="1670"/>
      <c r="O109" s="250"/>
      <c r="P109" s="1279"/>
      <c r="Q109" s="2360"/>
      <c r="R109" s="250"/>
      <c r="S109" s="250"/>
      <c r="T109" s="250"/>
      <c r="V109" s="2443"/>
      <c r="W109" s="2443"/>
      <c r="Y109" s="2444"/>
    </row>
    <row r="110" spans="1:25" s="249" customFormat="1" ht="12" customHeight="1">
      <c r="A110" s="250"/>
      <c r="B110" s="250"/>
      <c r="C110" s="250"/>
      <c r="D110" s="250"/>
      <c r="E110" s="250"/>
      <c r="F110" s="250"/>
      <c r="G110" s="1670"/>
      <c r="H110" s="1670"/>
      <c r="I110" s="1670"/>
      <c r="J110" s="1670"/>
      <c r="K110" s="1670"/>
      <c r="L110" s="1670"/>
      <c r="M110" s="1670"/>
      <c r="N110" s="1670"/>
      <c r="O110" s="250"/>
      <c r="P110" s="1279"/>
      <c r="Q110" s="2360"/>
      <c r="R110" s="250"/>
      <c r="S110" s="250"/>
      <c r="T110" s="250"/>
      <c r="V110" s="2443"/>
      <c r="W110" s="2443"/>
      <c r="Y110" s="2444"/>
    </row>
    <row r="111" spans="1:25" s="249" customFormat="1" ht="12" customHeight="1">
      <c r="A111" s="250"/>
      <c r="B111" s="250"/>
      <c r="C111" s="250"/>
      <c r="D111" s="250"/>
      <c r="E111" s="250"/>
      <c r="F111" s="250"/>
      <c r="G111" s="1670"/>
      <c r="H111" s="1670"/>
      <c r="I111" s="1670"/>
      <c r="J111" s="1670"/>
      <c r="K111" s="1670"/>
      <c r="L111" s="1670"/>
      <c r="M111" s="1670"/>
      <c r="N111" s="1670"/>
      <c r="O111" s="250"/>
      <c r="P111" s="1279"/>
      <c r="Q111" s="2360"/>
      <c r="R111" s="250"/>
      <c r="S111" s="250"/>
      <c r="T111" s="250"/>
      <c r="V111" s="2443"/>
      <c r="W111" s="2443"/>
      <c r="Y111" s="2444"/>
    </row>
    <row r="112" spans="1:25" s="249" customFormat="1" ht="12" customHeight="1">
      <c r="A112" s="250"/>
      <c r="B112" s="250"/>
      <c r="C112" s="250"/>
      <c r="D112" s="250"/>
      <c r="E112" s="250"/>
      <c r="F112" s="250"/>
      <c r="G112" s="1670"/>
      <c r="H112" s="1670"/>
      <c r="I112" s="1670"/>
      <c r="J112" s="1670"/>
      <c r="K112" s="1670"/>
      <c r="L112" s="1670"/>
      <c r="M112" s="1670"/>
      <c r="N112" s="1670"/>
      <c r="O112" s="250"/>
      <c r="P112" s="1279"/>
      <c r="Q112" s="2360"/>
      <c r="R112" s="250"/>
      <c r="S112" s="250"/>
      <c r="T112" s="250"/>
      <c r="V112" s="2443"/>
      <c r="W112" s="2443"/>
      <c r="Y112" s="2444"/>
    </row>
    <row r="113" spans="1:25" s="249" customFormat="1" ht="12" customHeight="1">
      <c r="A113" s="250"/>
      <c r="B113" s="250"/>
      <c r="C113" s="250"/>
      <c r="D113" s="250"/>
      <c r="E113" s="250"/>
      <c r="F113" s="250"/>
      <c r="G113" s="1670"/>
      <c r="H113" s="1670"/>
      <c r="I113" s="1670"/>
      <c r="J113" s="1670"/>
      <c r="K113" s="1670"/>
      <c r="L113" s="1670"/>
      <c r="M113" s="1670"/>
      <c r="N113" s="1670"/>
      <c r="O113" s="250"/>
      <c r="P113" s="1279"/>
      <c r="Q113" s="2360"/>
      <c r="R113" s="250"/>
      <c r="S113" s="250"/>
      <c r="T113" s="250"/>
      <c r="V113" s="2443"/>
      <c r="W113" s="2443"/>
      <c r="Y113" s="2444"/>
    </row>
    <row r="114" spans="1:25" s="249" customFormat="1" ht="12" customHeight="1">
      <c r="A114" s="250"/>
      <c r="B114" s="250"/>
      <c r="C114" s="250"/>
      <c r="D114" s="250"/>
      <c r="E114" s="250"/>
      <c r="F114" s="250"/>
      <c r="G114" s="1670"/>
      <c r="H114" s="1670"/>
      <c r="I114" s="1670"/>
      <c r="J114" s="1670"/>
      <c r="K114" s="1670"/>
      <c r="L114" s="1670"/>
      <c r="M114" s="1670"/>
      <c r="N114" s="1670"/>
      <c r="O114" s="250"/>
      <c r="P114" s="1279"/>
      <c r="Q114" s="2360"/>
      <c r="R114" s="250"/>
      <c r="S114" s="250"/>
      <c r="T114" s="250"/>
      <c r="V114" s="2443"/>
      <c r="W114" s="2443"/>
      <c r="Y114" s="2444"/>
    </row>
    <row r="115" spans="1:25" s="249" customFormat="1" ht="12" customHeight="1">
      <c r="A115" s="250"/>
      <c r="B115" s="250"/>
      <c r="C115" s="250"/>
      <c r="D115" s="250"/>
      <c r="E115" s="250"/>
      <c r="F115" s="250"/>
      <c r="G115" s="1670"/>
      <c r="H115" s="1670"/>
      <c r="I115" s="1670"/>
      <c r="J115" s="1670"/>
      <c r="K115" s="1670"/>
      <c r="L115" s="1670"/>
      <c r="M115" s="1670"/>
      <c r="N115" s="1670"/>
      <c r="O115" s="250"/>
      <c r="P115" s="1279"/>
      <c r="Q115" s="2360"/>
      <c r="R115" s="250"/>
      <c r="S115" s="250"/>
      <c r="T115" s="250"/>
      <c r="V115" s="2443"/>
      <c r="W115" s="2443"/>
      <c r="Y115" s="2444"/>
    </row>
    <row r="116" spans="1:25" s="249" customFormat="1" ht="12" customHeight="1">
      <c r="A116" s="250"/>
      <c r="B116" s="250"/>
      <c r="C116" s="250"/>
      <c r="D116" s="250"/>
      <c r="E116" s="250"/>
      <c r="F116" s="250"/>
      <c r="G116" s="1670"/>
      <c r="H116" s="1670"/>
      <c r="I116" s="1670"/>
      <c r="J116" s="1670"/>
      <c r="K116" s="1670"/>
      <c r="L116" s="1670"/>
      <c r="M116" s="1670"/>
      <c r="N116" s="1670"/>
      <c r="O116" s="250"/>
      <c r="P116" s="1279"/>
      <c r="Q116" s="2360"/>
      <c r="R116" s="250"/>
      <c r="S116" s="250"/>
      <c r="T116" s="250"/>
      <c r="V116" s="2443"/>
      <c r="W116" s="2443"/>
      <c r="Y116" s="2444"/>
    </row>
    <row r="117" spans="1:25" s="249" customFormat="1" ht="12" customHeight="1">
      <c r="A117" s="250"/>
      <c r="B117" s="250"/>
      <c r="C117" s="250"/>
      <c r="D117" s="250"/>
      <c r="E117" s="250"/>
      <c r="F117" s="250"/>
      <c r="G117" s="1670"/>
      <c r="H117" s="1670"/>
      <c r="I117" s="1670"/>
      <c r="J117" s="1670"/>
      <c r="K117" s="1670"/>
      <c r="L117" s="1670"/>
      <c r="M117" s="1670"/>
      <c r="N117" s="1670"/>
      <c r="O117" s="250"/>
      <c r="P117" s="1279"/>
      <c r="Q117" s="2360"/>
      <c r="R117" s="250"/>
      <c r="S117" s="250"/>
      <c r="T117" s="250"/>
      <c r="V117" s="2443"/>
      <c r="W117" s="2443"/>
      <c r="Y117" s="2444"/>
    </row>
    <row r="118" spans="1:25" s="2446" customFormat="1" ht="12" customHeight="1">
      <c r="A118" s="250"/>
      <c r="B118" s="250"/>
      <c r="C118" s="250"/>
      <c r="D118" s="250"/>
      <c r="E118" s="250"/>
      <c r="F118" s="250"/>
      <c r="G118" s="1670"/>
      <c r="H118" s="1670"/>
      <c r="I118" s="1670"/>
      <c r="J118" s="1670"/>
      <c r="K118" s="1670"/>
      <c r="L118" s="1670"/>
      <c r="M118" s="1670"/>
      <c r="N118" s="1670"/>
      <c r="O118" s="250"/>
      <c r="P118" s="1279"/>
      <c r="Q118" s="2360"/>
      <c r="R118" s="250"/>
      <c r="S118" s="250"/>
      <c r="T118" s="250"/>
      <c r="V118" s="2447"/>
      <c r="W118" s="2447"/>
      <c r="Y118" s="2448"/>
    </row>
    <row r="119" spans="1:25" s="249" customFormat="1" ht="12" customHeight="1">
      <c r="A119" s="250"/>
      <c r="B119" s="250"/>
      <c r="C119" s="250"/>
      <c r="D119" s="250"/>
      <c r="E119" s="250"/>
      <c r="F119" s="250"/>
      <c r="G119" s="1670"/>
      <c r="H119" s="1670"/>
      <c r="I119" s="1670"/>
      <c r="J119" s="1670"/>
      <c r="K119" s="1670"/>
      <c r="L119" s="1670"/>
      <c r="M119" s="1670"/>
      <c r="N119" s="1670"/>
      <c r="O119" s="250"/>
      <c r="P119" s="1279"/>
      <c r="Q119" s="2360"/>
      <c r="R119" s="250"/>
      <c r="S119" s="250"/>
      <c r="T119" s="250"/>
      <c r="V119" s="2443"/>
      <c r="W119" s="2443"/>
      <c r="Y119" s="2444"/>
    </row>
    <row r="120" spans="1:25" s="249" customFormat="1" ht="12" customHeight="1">
      <c r="A120" s="250"/>
      <c r="B120" s="250"/>
      <c r="C120" s="250"/>
      <c r="D120" s="250"/>
      <c r="E120" s="250"/>
      <c r="F120" s="250"/>
      <c r="G120" s="1670"/>
      <c r="H120" s="1670"/>
      <c r="I120" s="1670"/>
      <c r="J120" s="1670"/>
      <c r="K120" s="1670"/>
      <c r="L120" s="1670"/>
      <c r="M120" s="1670"/>
      <c r="N120" s="1670"/>
      <c r="O120" s="250"/>
      <c r="P120" s="1279"/>
      <c r="Q120" s="2360"/>
      <c r="R120" s="250"/>
      <c r="S120" s="250"/>
      <c r="T120" s="250"/>
      <c r="V120" s="2443"/>
      <c r="W120" s="2443"/>
      <c r="Y120" s="2444"/>
    </row>
    <row r="121" spans="1:25" s="249" customFormat="1" ht="12" customHeight="1">
      <c r="A121" s="250"/>
      <c r="B121" s="250"/>
      <c r="C121" s="250"/>
      <c r="D121" s="250"/>
      <c r="E121" s="250"/>
      <c r="F121" s="250"/>
      <c r="G121" s="1670"/>
      <c r="H121" s="1670"/>
      <c r="I121" s="1670"/>
      <c r="J121" s="1670"/>
      <c r="K121" s="1670"/>
      <c r="L121" s="1670"/>
      <c r="M121" s="1670"/>
      <c r="N121" s="1670"/>
      <c r="O121" s="250"/>
      <c r="P121" s="1279"/>
      <c r="Q121" s="2360"/>
      <c r="R121" s="250"/>
      <c r="S121" s="250"/>
      <c r="T121" s="250"/>
      <c r="V121" s="2443"/>
      <c r="W121" s="2443"/>
      <c r="Y121" s="2444"/>
    </row>
    <row r="122" spans="1:25" s="249" customFormat="1" ht="12" customHeight="1">
      <c r="A122" s="250"/>
      <c r="B122" s="250"/>
      <c r="C122" s="250"/>
      <c r="D122" s="250"/>
      <c r="E122" s="250"/>
      <c r="F122" s="250"/>
      <c r="G122" s="1670"/>
      <c r="H122" s="1670"/>
      <c r="I122" s="1670"/>
      <c r="J122" s="1670"/>
      <c r="K122" s="1670"/>
      <c r="L122" s="1670"/>
      <c r="M122" s="1670"/>
      <c r="N122" s="1670"/>
      <c r="O122" s="250"/>
      <c r="P122" s="1279"/>
      <c r="Q122" s="2360"/>
      <c r="R122" s="250"/>
      <c r="S122" s="250"/>
      <c r="T122" s="250"/>
      <c r="V122" s="2443"/>
      <c r="W122" s="2443"/>
      <c r="Y122" s="2444"/>
    </row>
    <row r="123" spans="1:25" s="249" customFormat="1" ht="12" customHeight="1">
      <c r="A123" s="250"/>
      <c r="B123" s="250"/>
      <c r="C123" s="250"/>
      <c r="D123" s="250"/>
      <c r="E123" s="250"/>
      <c r="F123" s="250"/>
      <c r="G123" s="1670"/>
      <c r="H123" s="1670"/>
      <c r="I123" s="1670"/>
      <c r="J123" s="1670"/>
      <c r="K123" s="1670"/>
      <c r="L123" s="1670"/>
      <c r="M123" s="1670"/>
      <c r="N123" s="1670"/>
      <c r="O123" s="250"/>
      <c r="P123" s="1279"/>
      <c r="Q123" s="2360"/>
      <c r="R123" s="250"/>
      <c r="S123" s="250"/>
      <c r="T123" s="250"/>
      <c r="V123" s="2443"/>
      <c r="W123" s="2443"/>
      <c r="Y123" s="2444"/>
    </row>
    <row r="124" spans="1:25" s="249" customFormat="1" ht="12" customHeight="1">
      <c r="A124" s="250"/>
      <c r="B124" s="250"/>
      <c r="C124" s="250"/>
      <c r="D124" s="250"/>
      <c r="E124" s="250"/>
      <c r="F124" s="250"/>
      <c r="G124" s="1670"/>
      <c r="H124" s="1670"/>
      <c r="I124" s="1670"/>
      <c r="J124" s="1670"/>
      <c r="K124" s="1670"/>
      <c r="L124" s="1670"/>
      <c r="M124" s="1670"/>
      <c r="N124" s="1670"/>
      <c r="O124" s="250"/>
      <c r="P124" s="1279"/>
      <c r="Q124" s="2360"/>
      <c r="R124" s="250"/>
      <c r="S124" s="250"/>
      <c r="T124" s="250"/>
      <c r="V124" s="2443"/>
      <c r="W124" s="2443"/>
      <c r="Y124" s="2444"/>
    </row>
    <row r="125" spans="1:25" s="249" customFormat="1" ht="12" customHeight="1">
      <c r="A125" s="250"/>
      <c r="B125" s="250"/>
      <c r="C125" s="250"/>
      <c r="D125" s="250"/>
      <c r="E125" s="250"/>
      <c r="F125" s="250"/>
      <c r="G125" s="1670"/>
      <c r="H125" s="1670"/>
      <c r="I125" s="1670"/>
      <c r="J125" s="1670"/>
      <c r="K125" s="1670"/>
      <c r="L125" s="1670"/>
      <c r="M125" s="1670"/>
      <c r="N125" s="1670"/>
      <c r="O125" s="250"/>
      <c r="P125" s="1279"/>
      <c r="Q125" s="2360"/>
      <c r="R125" s="250"/>
      <c r="S125" s="250"/>
      <c r="T125" s="250"/>
      <c r="V125" s="2443"/>
      <c r="W125" s="2443"/>
      <c r="Y125" s="2444"/>
    </row>
    <row r="126" spans="1:25" s="249" customFormat="1" ht="12" customHeight="1">
      <c r="A126" s="250"/>
      <c r="B126" s="250"/>
      <c r="C126" s="250"/>
      <c r="D126" s="250"/>
      <c r="E126" s="250"/>
      <c r="F126" s="250"/>
      <c r="G126" s="1670"/>
      <c r="H126" s="1670"/>
      <c r="I126" s="1670"/>
      <c r="J126" s="1670"/>
      <c r="K126" s="1670"/>
      <c r="L126" s="1670"/>
      <c r="M126" s="1670"/>
      <c r="N126" s="1670"/>
      <c r="O126" s="250"/>
      <c r="P126" s="1279"/>
      <c r="Q126" s="2360"/>
      <c r="R126" s="250"/>
      <c r="S126" s="250"/>
      <c r="T126" s="250"/>
      <c r="V126" s="2443"/>
      <c r="W126" s="2443"/>
      <c r="Y126" s="2444"/>
    </row>
    <row r="127" spans="1:25" s="2449" customFormat="1" ht="12" customHeight="1">
      <c r="A127" s="250"/>
      <c r="B127" s="250"/>
      <c r="C127" s="250"/>
      <c r="D127" s="250"/>
      <c r="E127" s="250"/>
      <c r="F127" s="250"/>
      <c r="G127" s="1670"/>
      <c r="H127" s="1670"/>
      <c r="I127" s="1670"/>
      <c r="J127" s="1670"/>
      <c r="K127" s="1670"/>
      <c r="L127" s="1670"/>
      <c r="M127" s="1670"/>
      <c r="N127" s="1670"/>
      <c r="O127" s="250"/>
      <c r="P127" s="1279"/>
      <c r="Q127" s="2360"/>
      <c r="R127" s="250"/>
      <c r="S127" s="250"/>
      <c r="T127" s="250"/>
      <c r="V127" s="2450"/>
      <c r="W127" s="2450"/>
      <c r="Y127" s="2451"/>
    </row>
    <row r="128" spans="1:25" s="249" customFormat="1" ht="12" customHeight="1">
      <c r="A128" s="250"/>
      <c r="B128" s="250"/>
      <c r="C128" s="250"/>
      <c r="D128" s="250"/>
      <c r="E128" s="250"/>
      <c r="F128" s="250"/>
      <c r="G128" s="1670"/>
      <c r="H128" s="1670"/>
      <c r="I128" s="1670"/>
      <c r="J128" s="1670"/>
      <c r="K128" s="1670"/>
      <c r="L128" s="1670"/>
      <c r="M128" s="1670"/>
      <c r="N128" s="1670"/>
      <c r="O128" s="250"/>
      <c r="P128" s="1279"/>
      <c r="Q128" s="2360"/>
      <c r="R128" s="250"/>
      <c r="S128" s="250"/>
      <c r="T128" s="250"/>
      <c r="V128" s="2443"/>
      <c r="W128" s="2443"/>
      <c r="Y128" s="2444"/>
    </row>
    <row r="129" spans="1:25" s="249" customFormat="1" ht="12" customHeight="1">
      <c r="A129" s="250"/>
      <c r="B129" s="250"/>
      <c r="C129" s="250"/>
      <c r="D129" s="250"/>
      <c r="E129" s="250"/>
      <c r="F129" s="250"/>
      <c r="G129" s="1670"/>
      <c r="H129" s="1670"/>
      <c r="I129" s="1670"/>
      <c r="J129" s="1670"/>
      <c r="K129" s="1670"/>
      <c r="L129" s="1670"/>
      <c r="M129" s="1670"/>
      <c r="N129" s="1670"/>
      <c r="O129" s="250"/>
      <c r="P129" s="1279"/>
      <c r="Q129" s="2360"/>
      <c r="R129" s="250"/>
      <c r="S129" s="250"/>
      <c r="T129" s="250"/>
      <c r="V129" s="2443"/>
      <c r="W129" s="2443"/>
      <c r="Y129" s="2444"/>
    </row>
    <row r="130" spans="1:25" s="249" customFormat="1" ht="12" customHeight="1">
      <c r="A130" s="250"/>
      <c r="B130" s="250"/>
      <c r="C130" s="250"/>
      <c r="D130" s="250"/>
      <c r="E130" s="250"/>
      <c r="F130" s="250"/>
      <c r="G130" s="1670"/>
      <c r="H130" s="1670"/>
      <c r="I130" s="1670"/>
      <c r="J130" s="1670"/>
      <c r="K130" s="1670"/>
      <c r="L130" s="1670"/>
      <c r="M130" s="1670"/>
      <c r="N130" s="1670"/>
      <c r="O130" s="250"/>
      <c r="P130" s="1279"/>
      <c r="Q130" s="2360"/>
      <c r="R130" s="250"/>
      <c r="S130" s="250"/>
      <c r="T130" s="250"/>
      <c r="V130" s="2443"/>
      <c r="W130" s="2443"/>
      <c r="Y130" s="2444"/>
    </row>
    <row r="131" spans="1:25" s="249" customFormat="1" ht="12" customHeight="1">
      <c r="A131" s="250"/>
      <c r="B131" s="250"/>
      <c r="C131" s="250"/>
      <c r="D131" s="250"/>
      <c r="E131" s="250"/>
      <c r="F131" s="250"/>
      <c r="G131" s="1670"/>
      <c r="H131" s="1670"/>
      <c r="I131" s="1670"/>
      <c r="J131" s="1670"/>
      <c r="K131" s="1670"/>
      <c r="L131" s="1670"/>
      <c r="M131" s="1670"/>
      <c r="N131" s="1670"/>
      <c r="O131" s="250"/>
      <c r="P131" s="1279"/>
      <c r="Q131" s="2360"/>
      <c r="R131" s="250"/>
      <c r="S131" s="250"/>
      <c r="T131" s="250"/>
      <c r="V131" s="2443"/>
      <c r="W131" s="2443"/>
      <c r="Y131" s="2444"/>
    </row>
    <row r="132" spans="1:25" s="249" customFormat="1" ht="12" customHeight="1">
      <c r="A132" s="250"/>
      <c r="B132" s="250"/>
      <c r="C132" s="250"/>
      <c r="D132" s="250"/>
      <c r="E132" s="250"/>
      <c r="F132" s="250"/>
      <c r="G132" s="1670"/>
      <c r="H132" s="1670"/>
      <c r="I132" s="1670"/>
      <c r="J132" s="1670"/>
      <c r="K132" s="1670"/>
      <c r="L132" s="1670"/>
      <c r="M132" s="1670"/>
      <c r="N132" s="1670"/>
      <c r="O132" s="250"/>
      <c r="P132" s="1279"/>
      <c r="Q132" s="2360"/>
      <c r="R132" s="250"/>
      <c r="S132" s="250"/>
      <c r="T132" s="250"/>
      <c r="V132" s="2443"/>
      <c r="W132" s="2443"/>
      <c r="Y132" s="2444"/>
    </row>
    <row r="133" spans="1:25" s="249" customFormat="1" ht="12" customHeight="1">
      <c r="A133" s="250"/>
      <c r="B133" s="250"/>
      <c r="C133" s="250"/>
      <c r="D133" s="250"/>
      <c r="E133" s="250"/>
      <c r="F133" s="250"/>
      <c r="G133" s="1670"/>
      <c r="H133" s="1670"/>
      <c r="I133" s="1670"/>
      <c r="J133" s="1670"/>
      <c r="K133" s="1670"/>
      <c r="L133" s="1670"/>
      <c r="M133" s="1670"/>
      <c r="N133" s="1670"/>
      <c r="O133" s="250"/>
      <c r="P133" s="1279"/>
      <c r="Q133" s="2360"/>
      <c r="R133" s="250"/>
      <c r="S133" s="250"/>
      <c r="T133" s="250"/>
      <c r="V133" s="2443"/>
      <c r="W133" s="2443"/>
      <c r="Y133" s="2444"/>
    </row>
    <row r="134" spans="1:25" s="249" customFormat="1" ht="12" customHeight="1">
      <c r="A134" s="250"/>
      <c r="B134" s="250"/>
      <c r="C134" s="250"/>
      <c r="D134" s="250"/>
      <c r="E134" s="250"/>
      <c r="F134" s="250"/>
      <c r="G134" s="1670"/>
      <c r="H134" s="1670"/>
      <c r="I134" s="1670"/>
      <c r="J134" s="1670"/>
      <c r="K134" s="1670"/>
      <c r="L134" s="1670"/>
      <c r="M134" s="1670"/>
      <c r="N134" s="1670"/>
      <c r="O134" s="250"/>
      <c r="P134" s="1279"/>
      <c r="Q134" s="2360"/>
      <c r="R134" s="250"/>
      <c r="S134" s="250"/>
      <c r="T134" s="250"/>
      <c r="V134" s="2443"/>
      <c r="W134" s="2443"/>
      <c r="Y134" s="2444"/>
    </row>
    <row r="135" spans="1:25" s="249" customFormat="1" ht="12" customHeight="1">
      <c r="A135" s="250"/>
      <c r="B135" s="250"/>
      <c r="C135" s="250"/>
      <c r="D135" s="250"/>
      <c r="E135" s="250"/>
      <c r="F135" s="250"/>
      <c r="G135" s="1670"/>
      <c r="H135" s="1670"/>
      <c r="I135" s="1670"/>
      <c r="J135" s="1670"/>
      <c r="K135" s="1670"/>
      <c r="L135" s="1670"/>
      <c r="M135" s="1670"/>
      <c r="N135" s="1670"/>
      <c r="O135" s="250"/>
      <c r="P135" s="1279"/>
      <c r="Q135" s="2360"/>
      <c r="R135" s="250"/>
      <c r="S135" s="250"/>
      <c r="T135" s="250"/>
      <c r="V135" s="2443"/>
      <c r="W135" s="2443"/>
      <c r="Y135" s="2444"/>
    </row>
    <row r="136" spans="1:25" s="249" customFormat="1" ht="12" customHeight="1">
      <c r="A136" s="250"/>
      <c r="B136" s="250"/>
      <c r="C136" s="250"/>
      <c r="D136" s="250"/>
      <c r="E136" s="250"/>
      <c r="F136" s="250"/>
      <c r="G136" s="1670"/>
      <c r="H136" s="1670"/>
      <c r="I136" s="1670"/>
      <c r="J136" s="1670"/>
      <c r="K136" s="1670"/>
      <c r="L136" s="1670"/>
      <c r="M136" s="1670"/>
      <c r="N136" s="1670"/>
      <c r="O136" s="250"/>
      <c r="P136" s="1279"/>
      <c r="Q136" s="2360"/>
      <c r="R136" s="250"/>
      <c r="S136" s="250"/>
      <c r="T136" s="250"/>
      <c r="V136" s="2443"/>
      <c r="W136" s="2443"/>
      <c r="Y136" s="2444"/>
    </row>
    <row r="137" spans="1:25" s="249" customFormat="1" ht="12.75" customHeight="1">
      <c r="A137" s="250"/>
      <c r="B137" s="250"/>
      <c r="C137" s="250"/>
      <c r="D137" s="250"/>
      <c r="E137" s="250"/>
      <c r="F137" s="250"/>
      <c r="G137" s="1670"/>
      <c r="H137" s="1670"/>
      <c r="I137" s="1670"/>
      <c r="J137" s="1670"/>
      <c r="K137" s="1670"/>
      <c r="L137" s="1670"/>
      <c r="M137" s="1670"/>
      <c r="N137" s="1670"/>
      <c r="O137" s="250"/>
      <c r="P137" s="1279"/>
      <c r="Q137" s="2360"/>
      <c r="R137" s="250"/>
      <c r="S137" s="250"/>
      <c r="T137" s="250"/>
    </row>
    <row r="138" spans="1:25" s="249" customFormat="1" ht="12" customHeight="1">
      <c r="A138" s="250"/>
      <c r="B138" s="250"/>
      <c r="C138" s="250"/>
      <c r="D138" s="250"/>
      <c r="E138" s="250"/>
      <c r="F138" s="250"/>
      <c r="G138" s="1670"/>
      <c r="H138" s="1670"/>
      <c r="I138" s="1670"/>
      <c r="J138" s="1670"/>
      <c r="K138" s="1670"/>
      <c r="L138" s="1670"/>
      <c r="M138" s="1670"/>
      <c r="N138" s="1670"/>
      <c r="O138" s="250"/>
      <c r="P138" s="1279"/>
      <c r="Q138" s="2360"/>
      <c r="R138" s="250"/>
      <c r="S138" s="250"/>
      <c r="T138" s="250"/>
    </row>
    <row r="139" spans="1:25" s="249" customFormat="1" ht="12" customHeight="1">
      <c r="A139" s="250"/>
      <c r="B139" s="250"/>
      <c r="C139" s="250"/>
      <c r="D139" s="250"/>
      <c r="E139" s="250"/>
      <c r="F139" s="250"/>
      <c r="G139" s="1670"/>
      <c r="H139" s="1670"/>
      <c r="I139" s="1670"/>
      <c r="J139" s="1670"/>
      <c r="K139" s="1670"/>
      <c r="L139" s="1670"/>
      <c r="M139" s="1670"/>
      <c r="N139" s="1670"/>
      <c r="O139" s="250"/>
      <c r="P139" s="1279"/>
      <c r="Q139" s="2360"/>
      <c r="R139" s="250"/>
      <c r="S139" s="250"/>
      <c r="T139" s="250"/>
    </row>
    <row r="140" spans="1:25" s="249" customFormat="1" ht="12" customHeight="1">
      <c r="A140" s="250"/>
      <c r="B140" s="250"/>
      <c r="C140" s="250"/>
      <c r="D140" s="250"/>
      <c r="E140" s="250"/>
      <c r="F140" s="250"/>
      <c r="G140" s="1670"/>
      <c r="H140" s="1670"/>
      <c r="I140" s="1670"/>
      <c r="J140" s="1670"/>
      <c r="K140" s="1670"/>
      <c r="L140" s="1670"/>
      <c r="M140" s="1670"/>
      <c r="N140" s="1670"/>
      <c r="O140" s="250"/>
      <c r="P140" s="1279"/>
      <c r="Q140" s="2360"/>
      <c r="R140" s="250"/>
      <c r="S140" s="250"/>
      <c r="T140" s="250"/>
    </row>
    <row r="141" spans="1:25" s="249" customFormat="1" ht="12" customHeight="1">
      <c r="A141" s="250"/>
      <c r="B141" s="250"/>
      <c r="C141" s="250"/>
      <c r="D141" s="250"/>
      <c r="E141" s="250"/>
      <c r="F141" s="250"/>
      <c r="G141" s="1670"/>
      <c r="H141" s="1670"/>
      <c r="I141" s="1670"/>
      <c r="J141" s="1670"/>
      <c r="K141" s="1670"/>
      <c r="L141" s="1670"/>
      <c r="M141" s="1670"/>
      <c r="N141" s="1670"/>
      <c r="O141" s="250"/>
      <c r="P141" s="1279"/>
      <c r="Q141" s="2360"/>
      <c r="R141" s="250"/>
      <c r="S141" s="250"/>
      <c r="T141" s="250"/>
    </row>
    <row r="142" spans="1:25" s="249" customFormat="1" ht="12" customHeight="1">
      <c r="A142" s="250"/>
      <c r="B142" s="250"/>
      <c r="C142" s="250"/>
      <c r="D142" s="250"/>
      <c r="E142" s="250"/>
      <c r="F142" s="250"/>
      <c r="G142" s="1670"/>
      <c r="H142" s="1670"/>
      <c r="I142" s="1670"/>
      <c r="J142" s="1670"/>
      <c r="K142" s="1670"/>
      <c r="L142" s="1670"/>
      <c r="M142" s="1670"/>
      <c r="N142" s="1670"/>
      <c r="O142" s="250"/>
      <c r="P142" s="1279"/>
      <c r="Q142" s="2360"/>
      <c r="R142" s="250"/>
      <c r="S142" s="250"/>
      <c r="T142" s="250"/>
    </row>
    <row r="143" spans="1:25" s="249" customFormat="1" ht="12" customHeight="1">
      <c r="A143" s="250"/>
      <c r="B143" s="250"/>
      <c r="C143" s="250"/>
      <c r="D143" s="250"/>
      <c r="E143" s="250"/>
      <c r="F143" s="250"/>
      <c r="G143" s="1670"/>
      <c r="H143" s="1670"/>
      <c r="I143" s="1670"/>
      <c r="J143" s="1670"/>
      <c r="K143" s="1670"/>
      <c r="L143" s="1670"/>
      <c r="M143" s="1670"/>
      <c r="N143" s="1670"/>
      <c r="O143" s="250"/>
      <c r="P143" s="1279"/>
      <c r="Q143" s="2360"/>
      <c r="R143" s="250"/>
      <c r="S143" s="250"/>
      <c r="T143" s="250"/>
    </row>
    <row r="144" spans="1:25" s="249" customFormat="1" ht="12" customHeight="1">
      <c r="A144" s="250"/>
      <c r="B144" s="250"/>
      <c r="C144" s="250"/>
      <c r="D144" s="250"/>
      <c r="E144" s="250"/>
      <c r="F144" s="250"/>
      <c r="G144" s="1670"/>
      <c r="H144" s="1670"/>
      <c r="I144" s="1670"/>
      <c r="J144" s="1670"/>
      <c r="K144" s="1670"/>
      <c r="L144" s="1670"/>
      <c r="M144" s="1670"/>
      <c r="N144" s="1670"/>
      <c r="O144" s="250"/>
      <c r="P144" s="1279"/>
      <c r="Q144" s="2360"/>
      <c r="R144" s="250"/>
      <c r="S144" s="250"/>
      <c r="T144" s="250"/>
    </row>
    <row r="145" spans="1:20" s="249" customFormat="1" ht="12" customHeight="1">
      <c r="A145" s="250"/>
      <c r="B145" s="250"/>
      <c r="C145" s="250"/>
      <c r="D145" s="250"/>
      <c r="E145" s="250"/>
      <c r="F145" s="250"/>
      <c r="G145" s="1670"/>
      <c r="H145" s="1670"/>
      <c r="I145" s="1670"/>
      <c r="J145" s="1670"/>
      <c r="K145" s="1670"/>
      <c r="L145" s="1670"/>
      <c r="M145" s="1670"/>
      <c r="N145" s="1670"/>
      <c r="O145" s="250"/>
      <c r="P145" s="1279"/>
      <c r="Q145" s="2360"/>
      <c r="R145" s="250"/>
      <c r="S145" s="250"/>
      <c r="T145" s="250"/>
    </row>
    <row r="146" spans="1:20" s="249" customFormat="1" ht="12" customHeight="1">
      <c r="A146" s="250"/>
      <c r="B146" s="250"/>
      <c r="C146" s="250"/>
      <c r="D146" s="250"/>
      <c r="E146" s="250"/>
      <c r="F146" s="250"/>
      <c r="G146" s="1670"/>
      <c r="H146" s="1670"/>
      <c r="I146" s="1670"/>
      <c r="J146" s="1670"/>
      <c r="K146" s="1670"/>
      <c r="L146" s="1670"/>
      <c r="M146" s="1670"/>
      <c r="N146" s="1670"/>
      <c r="O146" s="250"/>
      <c r="P146" s="1279"/>
      <c r="Q146" s="2360"/>
      <c r="R146" s="250"/>
      <c r="S146" s="250"/>
      <c r="T146" s="250"/>
    </row>
    <row r="147" spans="1:20" s="249" customFormat="1" ht="12" customHeight="1">
      <c r="A147" s="250"/>
      <c r="B147" s="250"/>
      <c r="C147" s="250"/>
      <c r="D147" s="250"/>
      <c r="E147" s="250"/>
      <c r="F147" s="250"/>
      <c r="G147" s="1670"/>
      <c r="H147" s="1670"/>
      <c r="I147" s="1670"/>
      <c r="J147" s="1670"/>
      <c r="K147" s="1670"/>
      <c r="L147" s="1670"/>
      <c r="M147" s="1670"/>
      <c r="N147" s="1670"/>
      <c r="O147" s="250"/>
      <c r="P147" s="1279"/>
      <c r="Q147" s="2360"/>
      <c r="R147" s="250"/>
      <c r="S147" s="250"/>
      <c r="T147" s="250"/>
    </row>
    <row r="148" spans="1:20" s="249" customFormat="1" ht="12" customHeight="1">
      <c r="A148" s="250"/>
      <c r="B148" s="250"/>
      <c r="C148" s="250"/>
      <c r="D148" s="250"/>
      <c r="E148" s="250"/>
      <c r="F148" s="250"/>
      <c r="G148" s="1670"/>
      <c r="H148" s="1670"/>
      <c r="I148" s="1670"/>
      <c r="J148" s="1670"/>
      <c r="K148" s="1670"/>
      <c r="L148" s="1670"/>
      <c r="M148" s="1670"/>
      <c r="N148" s="1670"/>
      <c r="O148" s="250"/>
      <c r="P148" s="1279"/>
      <c r="Q148" s="2360"/>
      <c r="R148" s="250"/>
      <c r="S148" s="250"/>
      <c r="T148" s="250"/>
    </row>
    <row r="149" spans="1:20" s="249" customFormat="1" ht="12" customHeight="1">
      <c r="A149" s="250"/>
      <c r="B149" s="250"/>
      <c r="C149" s="250"/>
      <c r="D149" s="250"/>
      <c r="E149" s="250"/>
      <c r="F149" s="250"/>
      <c r="G149" s="1670"/>
      <c r="H149" s="1670"/>
      <c r="I149" s="1670"/>
      <c r="J149" s="1670"/>
      <c r="K149" s="1670"/>
      <c r="L149" s="1670"/>
      <c r="M149" s="1670"/>
      <c r="N149" s="1670"/>
      <c r="O149" s="250"/>
      <c r="P149" s="1279"/>
      <c r="Q149" s="2360"/>
      <c r="R149" s="250"/>
      <c r="S149" s="250"/>
      <c r="T149" s="250"/>
    </row>
    <row r="150" spans="1:20" s="249" customFormat="1" ht="12" customHeight="1">
      <c r="A150" s="250"/>
      <c r="B150" s="250"/>
      <c r="C150" s="250"/>
      <c r="D150" s="250"/>
      <c r="E150" s="250"/>
      <c r="F150" s="250"/>
      <c r="G150" s="1670"/>
      <c r="H150" s="1670"/>
      <c r="I150" s="1670"/>
      <c r="J150" s="1670"/>
      <c r="K150" s="1670"/>
      <c r="L150" s="1670"/>
      <c r="M150" s="1670"/>
      <c r="N150" s="1670"/>
      <c r="O150" s="250"/>
      <c r="P150" s="1279"/>
      <c r="Q150" s="2360"/>
      <c r="R150" s="250"/>
      <c r="S150" s="250"/>
      <c r="T150" s="250"/>
    </row>
    <row r="151" spans="1:20" s="249" customFormat="1" ht="12" customHeight="1">
      <c r="A151" s="250"/>
      <c r="B151" s="250"/>
      <c r="C151" s="250"/>
      <c r="D151" s="250"/>
      <c r="E151" s="250"/>
      <c r="F151" s="250"/>
      <c r="G151" s="1670"/>
      <c r="H151" s="1670"/>
      <c r="I151" s="1670"/>
      <c r="J151" s="1670"/>
      <c r="K151" s="1670"/>
      <c r="L151" s="1670"/>
      <c r="M151" s="1670"/>
      <c r="N151" s="1670"/>
      <c r="O151" s="250"/>
      <c r="P151" s="1279"/>
      <c r="Q151" s="2360"/>
      <c r="R151" s="250"/>
      <c r="S151" s="250"/>
      <c r="T151" s="250"/>
    </row>
    <row r="152" spans="1:20" s="249" customFormat="1" ht="12" customHeight="1">
      <c r="A152" s="250"/>
      <c r="B152" s="250"/>
      <c r="C152" s="250"/>
      <c r="D152" s="250"/>
      <c r="E152" s="250"/>
      <c r="F152" s="250"/>
      <c r="G152" s="1670"/>
      <c r="H152" s="1670"/>
      <c r="I152" s="1670"/>
      <c r="J152" s="1670"/>
      <c r="K152" s="1670"/>
      <c r="L152" s="1670"/>
      <c r="M152" s="1670"/>
      <c r="N152" s="1670"/>
      <c r="O152" s="250"/>
      <c r="P152" s="1279"/>
      <c r="Q152" s="2360"/>
      <c r="R152" s="250"/>
      <c r="S152" s="250"/>
      <c r="T152" s="250"/>
    </row>
    <row r="153" spans="1:20" s="249" customFormat="1" ht="12" customHeight="1">
      <c r="A153" s="250"/>
      <c r="B153" s="250"/>
      <c r="C153" s="250"/>
      <c r="D153" s="250"/>
      <c r="E153" s="250"/>
      <c r="F153" s="250"/>
      <c r="G153" s="1670"/>
      <c r="H153" s="1670"/>
      <c r="I153" s="1670"/>
      <c r="J153" s="1670"/>
      <c r="K153" s="1670"/>
      <c r="L153" s="1670"/>
      <c r="M153" s="1670"/>
      <c r="N153" s="1670"/>
      <c r="O153" s="250"/>
      <c r="P153" s="1279"/>
      <c r="Q153" s="2360"/>
      <c r="R153" s="250"/>
      <c r="S153" s="250"/>
      <c r="T153" s="250"/>
    </row>
    <row r="154" spans="1:20" s="249" customFormat="1" ht="12" customHeight="1">
      <c r="A154" s="250"/>
      <c r="B154" s="250"/>
      <c r="C154" s="250"/>
      <c r="D154" s="250"/>
      <c r="E154" s="250"/>
      <c r="F154" s="250"/>
      <c r="G154" s="1670"/>
      <c r="H154" s="1670"/>
      <c r="I154" s="1670"/>
      <c r="J154" s="1670"/>
      <c r="K154" s="1670"/>
      <c r="L154" s="1670"/>
      <c r="M154" s="1670"/>
      <c r="N154" s="1670"/>
      <c r="O154" s="250"/>
      <c r="P154" s="1279"/>
      <c r="Q154" s="2360"/>
      <c r="R154" s="250"/>
      <c r="S154" s="250"/>
      <c r="T154" s="250"/>
    </row>
    <row r="155" spans="1:20" s="249" customFormat="1" ht="12" customHeight="1">
      <c r="A155" s="250"/>
      <c r="B155" s="250"/>
      <c r="C155" s="250"/>
      <c r="D155" s="250"/>
      <c r="E155" s="250"/>
      <c r="F155" s="250"/>
      <c r="G155" s="1670"/>
      <c r="H155" s="1670"/>
      <c r="I155" s="1670"/>
      <c r="J155" s="1670"/>
      <c r="K155" s="1670"/>
      <c r="L155" s="1670"/>
      <c r="M155" s="1670"/>
      <c r="N155" s="1670"/>
      <c r="O155" s="250"/>
      <c r="P155" s="1279"/>
      <c r="Q155" s="2360"/>
      <c r="R155" s="250"/>
      <c r="S155" s="250"/>
      <c r="T155" s="250"/>
    </row>
    <row r="156" spans="1:20" s="249" customFormat="1" ht="12" customHeight="1">
      <c r="A156" s="250"/>
      <c r="B156" s="250"/>
      <c r="C156" s="250"/>
      <c r="D156" s="250"/>
      <c r="E156" s="250"/>
      <c r="F156" s="250"/>
      <c r="G156" s="1670"/>
      <c r="H156" s="1670"/>
      <c r="I156" s="1670"/>
      <c r="J156" s="1670"/>
      <c r="K156" s="1670"/>
      <c r="L156" s="1670"/>
      <c r="M156" s="1670"/>
      <c r="N156" s="1670"/>
      <c r="O156" s="250"/>
      <c r="P156" s="1279"/>
      <c r="Q156" s="2360"/>
      <c r="R156" s="250"/>
      <c r="S156" s="250"/>
      <c r="T156" s="250"/>
    </row>
    <row r="157" spans="1:20" s="249" customFormat="1" ht="12" customHeight="1">
      <c r="A157" s="250"/>
      <c r="B157" s="250"/>
      <c r="C157" s="250"/>
      <c r="D157" s="250"/>
      <c r="E157" s="250"/>
      <c r="F157" s="250"/>
      <c r="G157" s="1670"/>
      <c r="H157" s="1670"/>
      <c r="I157" s="1670"/>
      <c r="J157" s="1670"/>
      <c r="K157" s="1670"/>
      <c r="L157" s="1670"/>
      <c r="M157" s="1670"/>
      <c r="N157" s="1670"/>
      <c r="O157" s="250"/>
      <c r="P157" s="1279"/>
      <c r="Q157" s="2360"/>
      <c r="R157" s="250"/>
      <c r="S157" s="250"/>
      <c r="T157" s="250"/>
    </row>
    <row r="158" spans="1:20" s="249" customFormat="1" ht="12" customHeight="1">
      <c r="A158" s="250"/>
      <c r="B158" s="250"/>
      <c r="C158" s="250"/>
      <c r="D158" s="250"/>
      <c r="E158" s="250"/>
      <c r="F158" s="250"/>
      <c r="G158" s="1670"/>
      <c r="H158" s="1670"/>
      <c r="I158" s="1670"/>
      <c r="J158" s="1670"/>
      <c r="K158" s="1670"/>
      <c r="L158" s="1670"/>
      <c r="M158" s="1670"/>
      <c r="N158" s="1670"/>
      <c r="O158" s="250"/>
      <c r="P158" s="1279"/>
      <c r="Q158" s="2360"/>
      <c r="R158" s="250"/>
      <c r="S158" s="250"/>
      <c r="T158" s="250"/>
    </row>
    <row r="159" spans="1:20" s="249" customFormat="1" ht="12" customHeight="1">
      <c r="A159" s="250"/>
      <c r="B159" s="250"/>
      <c r="C159" s="250"/>
      <c r="D159" s="250"/>
      <c r="E159" s="250"/>
      <c r="F159" s="250"/>
      <c r="G159" s="1670"/>
      <c r="H159" s="1670"/>
      <c r="I159" s="1670"/>
      <c r="J159" s="1670"/>
      <c r="K159" s="1670"/>
      <c r="L159" s="1670"/>
      <c r="M159" s="1670"/>
      <c r="N159" s="1670"/>
      <c r="O159" s="250"/>
      <c r="P159" s="1279"/>
      <c r="Q159" s="2360"/>
      <c r="R159" s="250"/>
      <c r="S159" s="250"/>
      <c r="T159" s="250"/>
    </row>
    <row r="160" spans="1:20" s="249" customFormat="1" ht="12" customHeight="1">
      <c r="A160" s="250"/>
      <c r="B160" s="250"/>
      <c r="C160" s="250"/>
      <c r="D160" s="250"/>
      <c r="E160" s="250"/>
      <c r="F160" s="250"/>
      <c r="G160" s="1670"/>
      <c r="H160" s="1670"/>
      <c r="I160" s="1670"/>
      <c r="J160" s="1670"/>
      <c r="K160" s="1670"/>
      <c r="L160" s="1670"/>
      <c r="M160" s="1670"/>
      <c r="N160" s="1670"/>
      <c r="O160" s="250"/>
      <c r="P160" s="1279"/>
      <c r="Q160" s="2360"/>
      <c r="R160" s="250"/>
      <c r="S160" s="250"/>
      <c r="T160" s="250"/>
    </row>
    <row r="161" spans="1:20" s="249" customFormat="1" ht="12" customHeight="1">
      <c r="A161" s="250"/>
      <c r="B161" s="250"/>
      <c r="C161" s="250"/>
      <c r="D161" s="250"/>
      <c r="E161" s="250"/>
      <c r="F161" s="250"/>
      <c r="G161" s="1670"/>
      <c r="H161" s="1670"/>
      <c r="I161" s="1670"/>
      <c r="J161" s="1670"/>
      <c r="K161" s="1670"/>
      <c r="L161" s="1670"/>
      <c r="M161" s="1670"/>
      <c r="N161" s="1670"/>
      <c r="O161" s="250"/>
      <c r="P161" s="1279"/>
      <c r="Q161" s="2360"/>
      <c r="R161" s="250"/>
      <c r="S161" s="250"/>
      <c r="T161" s="250"/>
    </row>
    <row r="162" spans="1:20" s="249" customFormat="1" ht="12" customHeight="1">
      <c r="A162" s="250"/>
      <c r="B162" s="250"/>
      <c r="C162" s="250"/>
      <c r="D162" s="250"/>
      <c r="E162" s="250"/>
      <c r="F162" s="250"/>
      <c r="G162" s="1670"/>
      <c r="H162" s="1670"/>
      <c r="I162" s="1670"/>
      <c r="J162" s="1670"/>
      <c r="K162" s="1670"/>
      <c r="L162" s="1670"/>
      <c r="M162" s="1670"/>
      <c r="N162" s="1670"/>
      <c r="O162" s="250"/>
      <c r="P162" s="1279"/>
      <c r="Q162" s="2360"/>
      <c r="R162" s="250"/>
      <c r="S162" s="250"/>
      <c r="T162" s="250"/>
    </row>
    <row r="163" spans="1:20" s="249" customFormat="1" ht="12" customHeight="1">
      <c r="A163" s="250"/>
      <c r="B163" s="250"/>
      <c r="C163" s="250"/>
      <c r="D163" s="250"/>
      <c r="E163" s="250"/>
      <c r="F163" s="250"/>
      <c r="G163" s="1670"/>
      <c r="H163" s="1670"/>
      <c r="I163" s="1670"/>
      <c r="J163" s="1670"/>
      <c r="K163" s="1670"/>
      <c r="L163" s="1670"/>
      <c r="M163" s="1670"/>
      <c r="N163" s="1670"/>
      <c r="O163" s="250"/>
      <c r="P163" s="1279"/>
      <c r="Q163" s="2360"/>
      <c r="R163" s="250"/>
      <c r="S163" s="250"/>
      <c r="T163" s="250"/>
    </row>
    <row r="164" spans="1:20" s="249" customFormat="1" ht="12" customHeight="1">
      <c r="A164" s="250"/>
      <c r="B164" s="250"/>
      <c r="C164" s="250"/>
      <c r="D164" s="250"/>
      <c r="E164" s="250"/>
      <c r="F164" s="250"/>
      <c r="G164" s="1670"/>
      <c r="H164" s="1670"/>
      <c r="I164" s="1670"/>
      <c r="J164" s="1670"/>
      <c r="K164" s="1670"/>
      <c r="L164" s="1670"/>
      <c r="M164" s="1670"/>
      <c r="N164" s="1670"/>
      <c r="O164" s="250"/>
      <c r="P164" s="1279"/>
      <c r="Q164" s="2360"/>
      <c r="R164" s="250"/>
      <c r="S164" s="250"/>
      <c r="T164" s="250"/>
    </row>
    <row r="165" spans="1:20" s="249" customFormat="1" ht="12" customHeight="1">
      <c r="A165" s="250"/>
      <c r="B165" s="250"/>
      <c r="C165" s="250"/>
      <c r="D165" s="250"/>
      <c r="E165" s="250"/>
      <c r="F165" s="250"/>
      <c r="G165" s="1670"/>
      <c r="H165" s="1670"/>
      <c r="I165" s="1670"/>
      <c r="J165" s="1670"/>
      <c r="K165" s="1670"/>
      <c r="L165" s="1670"/>
      <c r="M165" s="1670"/>
      <c r="N165" s="1670"/>
      <c r="O165" s="250"/>
      <c r="P165" s="1279"/>
      <c r="Q165" s="2360"/>
      <c r="R165" s="250"/>
      <c r="S165" s="250"/>
      <c r="T165" s="250"/>
    </row>
    <row r="166" spans="1:20" s="249" customFormat="1" ht="12" customHeight="1">
      <c r="A166" s="250"/>
      <c r="B166" s="250"/>
      <c r="C166" s="250"/>
      <c r="D166" s="250"/>
      <c r="E166" s="250"/>
      <c r="F166" s="250"/>
      <c r="G166" s="1670"/>
      <c r="H166" s="1670"/>
      <c r="I166" s="1670"/>
      <c r="J166" s="1670"/>
      <c r="K166" s="1670"/>
      <c r="L166" s="1670"/>
      <c r="M166" s="1670"/>
      <c r="N166" s="1670"/>
      <c r="O166" s="250"/>
      <c r="P166" s="1279"/>
      <c r="Q166" s="2360"/>
      <c r="R166" s="250"/>
      <c r="S166" s="250"/>
      <c r="T166" s="250"/>
    </row>
    <row r="167" spans="1:20" s="249" customFormat="1" ht="12" customHeight="1">
      <c r="A167" s="250"/>
      <c r="B167" s="250"/>
      <c r="C167" s="250"/>
      <c r="D167" s="250"/>
      <c r="E167" s="250"/>
      <c r="F167" s="250"/>
      <c r="G167" s="1670"/>
      <c r="H167" s="1670"/>
      <c r="I167" s="1670"/>
      <c r="J167" s="1670"/>
      <c r="K167" s="1670"/>
      <c r="L167" s="1670"/>
      <c r="M167" s="1670"/>
      <c r="N167" s="1670"/>
      <c r="O167" s="250"/>
      <c r="P167" s="1279"/>
      <c r="Q167" s="2360"/>
      <c r="R167" s="250"/>
      <c r="S167" s="250"/>
      <c r="T167" s="250"/>
    </row>
    <row r="168" spans="1:20" s="249" customFormat="1" ht="12" customHeight="1">
      <c r="A168" s="250"/>
      <c r="B168" s="250"/>
      <c r="C168" s="250"/>
      <c r="D168" s="250"/>
      <c r="E168" s="250"/>
      <c r="F168" s="250"/>
      <c r="G168" s="1670"/>
      <c r="H168" s="1670"/>
      <c r="I168" s="1670"/>
      <c r="J168" s="1670"/>
      <c r="K168" s="1670"/>
      <c r="L168" s="1670"/>
      <c r="M168" s="1670"/>
      <c r="N168" s="1670"/>
      <c r="O168" s="250"/>
      <c r="P168" s="1279"/>
      <c r="Q168" s="2360"/>
      <c r="R168" s="250"/>
      <c r="S168" s="250"/>
      <c r="T168" s="250"/>
    </row>
    <row r="169" spans="1:20" s="249" customFormat="1" ht="12" customHeight="1">
      <c r="A169" s="250"/>
      <c r="B169" s="250"/>
      <c r="C169" s="250"/>
      <c r="D169" s="250"/>
      <c r="E169" s="250"/>
      <c r="F169" s="250"/>
      <c r="G169" s="1670"/>
      <c r="H169" s="1670"/>
      <c r="I169" s="1670"/>
      <c r="J169" s="1670"/>
      <c r="K169" s="1670"/>
      <c r="L169" s="1670"/>
      <c r="M169" s="1670"/>
      <c r="N169" s="1670"/>
      <c r="O169" s="250"/>
      <c r="P169" s="1279"/>
      <c r="Q169" s="2360"/>
      <c r="R169" s="250"/>
      <c r="S169" s="250"/>
      <c r="T169" s="250"/>
    </row>
    <row r="170" spans="1:20" s="249" customFormat="1" ht="12" customHeight="1">
      <c r="A170" s="250"/>
      <c r="B170" s="250"/>
      <c r="C170" s="250"/>
      <c r="D170" s="250"/>
      <c r="E170" s="250"/>
      <c r="F170" s="250"/>
      <c r="G170" s="1670"/>
      <c r="H170" s="1670"/>
      <c r="I170" s="1670"/>
      <c r="J170" s="1670"/>
      <c r="K170" s="1670"/>
      <c r="L170" s="1670"/>
      <c r="M170" s="1670"/>
      <c r="N170" s="1670"/>
      <c r="O170" s="250"/>
      <c r="P170" s="1279"/>
      <c r="Q170" s="2360"/>
      <c r="R170" s="250"/>
      <c r="S170" s="250"/>
      <c r="T170" s="250"/>
    </row>
    <row r="171" spans="1:20" s="249" customFormat="1" ht="12" customHeight="1">
      <c r="A171" s="250"/>
      <c r="B171" s="250"/>
      <c r="C171" s="250"/>
      <c r="D171" s="250"/>
      <c r="E171" s="250"/>
      <c r="F171" s="250"/>
      <c r="G171" s="1670"/>
      <c r="H171" s="1670"/>
      <c r="I171" s="1670"/>
      <c r="J171" s="1670"/>
      <c r="K171" s="1670"/>
      <c r="L171" s="1670"/>
      <c r="M171" s="1670"/>
      <c r="N171" s="1670"/>
      <c r="O171" s="250"/>
      <c r="P171" s="1279"/>
      <c r="Q171" s="2360"/>
      <c r="R171" s="250"/>
      <c r="S171" s="250"/>
      <c r="T171" s="250"/>
    </row>
    <row r="172" spans="1:20" s="249" customFormat="1" ht="12" customHeight="1">
      <c r="A172" s="250"/>
      <c r="B172" s="250"/>
      <c r="C172" s="250"/>
      <c r="D172" s="250"/>
      <c r="E172" s="250"/>
      <c r="F172" s="250"/>
      <c r="G172" s="1670"/>
      <c r="H172" s="1670"/>
      <c r="I172" s="1670"/>
      <c r="J172" s="1670"/>
      <c r="K172" s="1670"/>
      <c r="L172" s="1670"/>
      <c r="M172" s="1670"/>
      <c r="N172" s="1670"/>
      <c r="O172" s="250"/>
      <c r="P172" s="1279"/>
      <c r="Q172" s="2360"/>
      <c r="R172" s="250"/>
      <c r="S172" s="250"/>
      <c r="T172" s="250"/>
    </row>
    <row r="173" spans="1:20" s="249" customFormat="1" ht="12" customHeight="1">
      <c r="A173" s="250"/>
      <c r="B173" s="250"/>
      <c r="C173" s="250"/>
      <c r="D173" s="250"/>
      <c r="E173" s="250"/>
      <c r="F173" s="250"/>
      <c r="G173" s="1670"/>
      <c r="H173" s="1670"/>
      <c r="I173" s="1670"/>
      <c r="J173" s="1670"/>
      <c r="K173" s="1670"/>
      <c r="L173" s="1670"/>
      <c r="M173" s="1670"/>
      <c r="N173" s="1670"/>
      <c r="O173" s="250"/>
      <c r="P173" s="1279"/>
      <c r="Q173" s="2360"/>
      <c r="R173" s="250"/>
      <c r="S173" s="250"/>
      <c r="T173" s="250"/>
    </row>
    <row r="174" spans="1:20" s="249" customFormat="1" ht="12" customHeight="1">
      <c r="A174" s="250"/>
      <c r="B174" s="250"/>
      <c r="C174" s="250"/>
      <c r="D174" s="250"/>
      <c r="E174" s="250"/>
      <c r="F174" s="250"/>
      <c r="G174" s="1670"/>
      <c r="H174" s="1670"/>
      <c r="I174" s="1670"/>
      <c r="J174" s="1670"/>
      <c r="K174" s="1670"/>
      <c r="L174" s="1670"/>
      <c r="M174" s="1670"/>
      <c r="N174" s="1670"/>
      <c r="O174" s="250"/>
      <c r="P174" s="1279"/>
      <c r="Q174" s="2360"/>
      <c r="R174" s="250"/>
      <c r="S174" s="250"/>
      <c r="T174" s="250"/>
    </row>
    <row r="175" spans="1:20" s="249" customFormat="1" ht="12" customHeight="1">
      <c r="A175" s="250"/>
      <c r="B175" s="250"/>
      <c r="C175" s="250"/>
      <c r="D175" s="250"/>
      <c r="E175" s="250"/>
      <c r="F175" s="250"/>
      <c r="G175" s="1670"/>
      <c r="H175" s="1670"/>
      <c r="I175" s="1670"/>
      <c r="J175" s="1670"/>
      <c r="K175" s="1670"/>
      <c r="L175" s="1670"/>
      <c r="M175" s="1670"/>
      <c r="N175" s="1670"/>
      <c r="O175" s="250"/>
      <c r="P175" s="1279"/>
      <c r="Q175" s="2360"/>
      <c r="R175" s="250"/>
      <c r="S175" s="250"/>
      <c r="T175" s="250"/>
    </row>
    <row r="176" spans="1:20" s="249" customFormat="1" ht="12" customHeight="1">
      <c r="A176" s="250"/>
      <c r="B176" s="250"/>
      <c r="C176" s="250"/>
      <c r="D176" s="250"/>
      <c r="E176" s="250"/>
      <c r="F176" s="250"/>
      <c r="G176" s="1670"/>
      <c r="H176" s="1670"/>
      <c r="I176" s="1670"/>
      <c r="J176" s="1670"/>
      <c r="K176" s="1670"/>
      <c r="L176" s="1670"/>
      <c r="M176" s="1670"/>
      <c r="N176" s="1670"/>
      <c r="O176" s="250"/>
      <c r="P176" s="1279"/>
      <c r="Q176" s="2360"/>
      <c r="R176" s="250"/>
      <c r="S176" s="250"/>
      <c r="T176" s="250"/>
    </row>
    <row r="177" spans="1:20" s="249" customFormat="1" ht="12" customHeight="1">
      <c r="A177" s="250"/>
      <c r="B177" s="250"/>
      <c r="C177" s="250"/>
      <c r="D177" s="250"/>
      <c r="E177" s="250"/>
      <c r="F177" s="250"/>
      <c r="G177" s="1670"/>
      <c r="H177" s="1670"/>
      <c r="I177" s="1670"/>
      <c r="J177" s="1670"/>
      <c r="K177" s="1670"/>
      <c r="L177" s="1670"/>
      <c r="M177" s="1670"/>
      <c r="N177" s="1670"/>
      <c r="O177" s="250"/>
      <c r="P177" s="1279"/>
      <c r="Q177" s="2360"/>
      <c r="R177" s="250"/>
      <c r="S177" s="250"/>
      <c r="T177" s="250"/>
    </row>
    <row r="178" spans="1:20" s="249" customFormat="1" ht="12" customHeight="1">
      <c r="A178" s="250"/>
      <c r="B178" s="250"/>
      <c r="C178" s="250"/>
      <c r="D178" s="250"/>
      <c r="E178" s="250"/>
      <c r="F178" s="250"/>
      <c r="G178" s="1670"/>
      <c r="H178" s="1670"/>
      <c r="I178" s="1670"/>
      <c r="J178" s="1670"/>
      <c r="K178" s="1670"/>
      <c r="L178" s="1670"/>
      <c r="M178" s="1670"/>
      <c r="N178" s="1670"/>
      <c r="O178" s="250"/>
      <c r="P178" s="1279"/>
      <c r="Q178" s="2360"/>
      <c r="R178" s="250"/>
      <c r="S178" s="250"/>
      <c r="T178" s="250"/>
    </row>
    <row r="179" spans="1:20" s="249" customFormat="1" ht="12" customHeight="1">
      <c r="A179" s="250"/>
      <c r="B179" s="250"/>
      <c r="C179" s="250"/>
      <c r="D179" s="250"/>
      <c r="E179" s="250"/>
      <c r="F179" s="250"/>
      <c r="G179" s="1670"/>
      <c r="H179" s="1670"/>
      <c r="I179" s="1670"/>
      <c r="J179" s="1670"/>
      <c r="K179" s="1670"/>
      <c r="L179" s="1670"/>
      <c r="M179" s="1670"/>
      <c r="N179" s="1670"/>
      <c r="O179" s="250"/>
      <c r="P179" s="1279"/>
      <c r="Q179" s="2360"/>
      <c r="R179" s="250"/>
      <c r="S179" s="250"/>
      <c r="T179" s="250"/>
    </row>
    <row r="180" spans="1:20" s="249" customFormat="1" ht="12" customHeight="1">
      <c r="A180" s="250"/>
      <c r="B180" s="250"/>
      <c r="C180" s="250"/>
      <c r="D180" s="250"/>
      <c r="E180" s="250"/>
      <c r="F180" s="250"/>
      <c r="G180" s="1670"/>
      <c r="H180" s="1670"/>
      <c r="I180" s="1670"/>
      <c r="J180" s="1670"/>
      <c r="K180" s="1670"/>
      <c r="L180" s="1670"/>
      <c r="M180" s="1670"/>
      <c r="N180" s="1670"/>
      <c r="O180" s="250"/>
      <c r="P180" s="1279"/>
      <c r="Q180" s="2360"/>
      <c r="R180" s="250"/>
      <c r="S180" s="250"/>
      <c r="T180" s="250"/>
    </row>
    <row r="181" spans="1:20" s="249" customFormat="1" ht="12" customHeight="1">
      <c r="A181" s="250"/>
      <c r="B181" s="250"/>
      <c r="C181" s="250"/>
      <c r="D181" s="250"/>
      <c r="E181" s="250"/>
      <c r="F181" s="250"/>
      <c r="G181" s="1670"/>
      <c r="H181" s="1670"/>
      <c r="I181" s="1670"/>
      <c r="J181" s="1670"/>
      <c r="K181" s="1670"/>
      <c r="L181" s="1670"/>
      <c r="M181" s="1670"/>
      <c r="N181" s="1670"/>
      <c r="O181" s="250"/>
      <c r="P181" s="1279"/>
      <c r="Q181" s="2360"/>
      <c r="R181" s="250"/>
      <c r="S181" s="250"/>
      <c r="T181" s="250"/>
    </row>
    <row r="182" spans="1:20" s="249" customFormat="1" ht="12" customHeight="1">
      <c r="A182" s="250"/>
      <c r="B182" s="250"/>
      <c r="C182" s="250"/>
      <c r="D182" s="250"/>
      <c r="E182" s="250"/>
      <c r="F182" s="250"/>
      <c r="G182" s="1670"/>
      <c r="H182" s="1670"/>
      <c r="I182" s="1670"/>
      <c r="J182" s="1670"/>
      <c r="K182" s="1670"/>
      <c r="L182" s="1670"/>
      <c r="M182" s="1670"/>
      <c r="N182" s="1670"/>
      <c r="O182" s="250"/>
      <c r="P182" s="1279"/>
      <c r="Q182" s="2360"/>
      <c r="R182" s="250"/>
      <c r="S182" s="250"/>
      <c r="T182" s="250"/>
    </row>
    <row r="183" spans="1:20" s="249" customFormat="1" ht="12" customHeight="1">
      <c r="A183" s="250"/>
      <c r="B183" s="250"/>
      <c r="C183" s="250"/>
      <c r="D183" s="250"/>
      <c r="E183" s="250"/>
      <c r="F183" s="250"/>
      <c r="G183" s="1670"/>
      <c r="H183" s="1670"/>
      <c r="I183" s="1670"/>
      <c r="J183" s="1670"/>
      <c r="K183" s="1670"/>
      <c r="L183" s="1670"/>
      <c r="M183" s="1670"/>
      <c r="N183" s="1670"/>
      <c r="O183" s="250"/>
      <c r="P183" s="1279"/>
      <c r="Q183" s="2360"/>
      <c r="R183" s="250"/>
      <c r="S183" s="250"/>
      <c r="T183" s="250"/>
    </row>
    <row r="184" spans="1:20" s="249" customFormat="1" ht="12" customHeight="1">
      <c r="A184" s="250"/>
      <c r="B184" s="250"/>
      <c r="C184" s="250"/>
      <c r="D184" s="250"/>
      <c r="E184" s="250"/>
      <c r="F184" s="250"/>
      <c r="G184" s="1670"/>
      <c r="H184" s="1670"/>
      <c r="I184" s="1670"/>
      <c r="J184" s="1670"/>
      <c r="K184" s="1670"/>
      <c r="L184" s="1670"/>
      <c r="M184" s="1670"/>
      <c r="N184" s="1670"/>
      <c r="O184" s="250"/>
      <c r="P184" s="1279"/>
      <c r="Q184" s="2360"/>
      <c r="R184" s="250"/>
      <c r="S184" s="250"/>
      <c r="T184" s="250"/>
    </row>
    <row r="185" spans="1:20" s="249" customFormat="1" ht="12" customHeight="1">
      <c r="A185" s="250"/>
      <c r="B185" s="250"/>
      <c r="C185" s="250"/>
      <c r="D185" s="250"/>
      <c r="E185" s="250"/>
      <c r="F185" s="250"/>
      <c r="G185" s="1670"/>
      <c r="H185" s="1670"/>
      <c r="I185" s="1670"/>
      <c r="J185" s="1670"/>
      <c r="K185" s="1670"/>
      <c r="L185" s="1670"/>
      <c r="M185" s="1670"/>
      <c r="N185" s="1670"/>
      <c r="O185" s="250"/>
      <c r="P185" s="1279"/>
      <c r="Q185" s="2360"/>
      <c r="R185" s="250"/>
      <c r="S185" s="250"/>
      <c r="T185" s="250"/>
    </row>
    <row r="186" spans="1:20" s="249" customFormat="1" ht="12" customHeight="1">
      <c r="A186" s="250"/>
      <c r="B186" s="250"/>
      <c r="C186" s="250"/>
      <c r="D186" s="250"/>
      <c r="E186" s="250"/>
      <c r="F186" s="250"/>
      <c r="G186" s="1670"/>
      <c r="H186" s="1670"/>
      <c r="I186" s="1670"/>
      <c r="J186" s="1670"/>
      <c r="K186" s="1670"/>
      <c r="L186" s="1670"/>
      <c r="M186" s="1670"/>
      <c r="N186" s="1670"/>
      <c r="O186" s="250"/>
      <c r="P186" s="1279"/>
      <c r="Q186" s="2360"/>
      <c r="R186" s="250"/>
      <c r="S186" s="250"/>
      <c r="T186" s="250"/>
    </row>
    <row r="187" spans="1:20" s="249" customFormat="1" ht="12" customHeight="1">
      <c r="A187" s="250"/>
      <c r="B187" s="250"/>
      <c r="C187" s="250"/>
      <c r="D187" s="250"/>
      <c r="E187" s="250"/>
      <c r="F187" s="250"/>
      <c r="G187" s="1670"/>
      <c r="H187" s="1670"/>
      <c r="I187" s="1670"/>
      <c r="J187" s="1670"/>
      <c r="K187" s="1670"/>
      <c r="L187" s="1670"/>
      <c r="M187" s="1670"/>
      <c r="N187" s="1670"/>
      <c r="O187" s="250"/>
      <c r="P187" s="1279"/>
      <c r="Q187" s="2360"/>
      <c r="R187" s="250"/>
      <c r="S187" s="250"/>
      <c r="T187" s="250"/>
    </row>
    <row r="188" spans="1:20" s="249" customFormat="1" ht="12" customHeight="1">
      <c r="A188" s="250"/>
      <c r="B188" s="250"/>
      <c r="C188" s="250"/>
      <c r="D188" s="250"/>
      <c r="E188" s="250"/>
      <c r="F188" s="250"/>
      <c r="G188" s="1670"/>
      <c r="H188" s="1670"/>
      <c r="I188" s="1670"/>
      <c r="J188" s="1670"/>
      <c r="K188" s="1670"/>
      <c r="L188" s="1670"/>
      <c r="M188" s="1670"/>
      <c r="N188" s="1670"/>
      <c r="O188" s="250"/>
      <c r="P188" s="1279"/>
      <c r="Q188" s="2360"/>
      <c r="R188" s="250"/>
      <c r="S188" s="250"/>
      <c r="T188" s="250"/>
    </row>
    <row r="189" spans="1:20" s="249" customFormat="1" ht="12" customHeight="1">
      <c r="A189" s="250"/>
      <c r="B189" s="250"/>
      <c r="C189" s="250"/>
      <c r="D189" s="250"/>
      <c r="E189" s="250"/>
      <c r="F189" s="250"/>
      <c r="G189" s="1670"/>
      <c r="H189" s="1670"/>
      <c r="I189" s="1670"/>
      <c r="J189" s="1670"/>
      <c r="K189" s="1670"/>
      <c r="L189" s="1670"/>
      <c r="M189" s="1670"/>
      <c r="N189" s="1670"/>
      <c r="O189" s="250"/>
      <c r="P189" s="1279"/>
      <c r="Q189" s="2360"/>
      <c r="R189" s="250"/>
      <c r="S189" s="250"/>
      <c r="T189" s="250"/>
    </row>
    <row r="190" spans="1:20" s="249" customFormat="1" ht="12" customHeight="1">
      <c r="A190" s="250"/>
      <c r="B190" s="250"/>
      <c r="C190" s="250"/>
      <c r="D190" s="250"/>
      <c r="E190" s="250"/>
      <c r="F190" s="250"/>
      <c r="G190" s="1670"/>
      <c r="H190" s="1670"/>
      <c r="I190" s="1670"/>
      <c r="J190" s="1670"/>
      <c r="K190" s="1670"/>
      <c r="L190" s="1670"/>
      <c r="M190" s="1670"/>
      <c r="N190" s="1670"/>
      <c r="O190" s="250"/>
      <c r="P190" s="1279"/>
      <c r="Q190" s="2360"/>
      <c r="R190" s="250"/>
      <c r="S190" s="250"/>
      <c r="T190" s="250"/>
    </row>
    <row r="191" spans="1:20" s="249" customFormat="1" ht="12" customHeight="1">
      <c r="A191" s="250"/>
      <c r="B191" s="250"/>
      <c r="C191" s="250"/>
      <c r="D191" s="250"/>
      <c r="E191" s="250"/>
      <c r="F191" s="250"/>
      <c r="G191" s="1670"/>
      <c r="H191" s="1670"/>
      <c r="I191" s="1670"/>
      <c r="J191" s="1670"/>
      <c r="K191" s="1670"/>
      <c r="L191" s="1670"/>
      <c r="M191" s="1670"/>
      <c r="N191" s="1670"/>
      <c r="O191" s="250"/>
      <c r="P191" s="1279"/>
      <c r="Q191" s="2360"/>
      <c r="R191" s="250"/>
      <c r="S191" s="250"/>
      <c r="T191" s="250"/>
    </row>
    <row r="192" spans="1:20" s="249" customFormat="1" ht="12" customHeight="1">
      <c r="A192" s="250"/>
      <c r="B192" s="250"/>
      <c r="C192" s="250"/>
      <c r="D192" s="250"/>
      <c r="E192" s="250"/>
      <c r="F192" s="250"/>
      <c r="G192" s="1670"/>
      <c r="H192" s="1670"/>
      <c r="I192" s="1670"/>
      <c r="J192" s="1670"/>
      <c r="K192" s="1670"/>
      <c r="L192" s="1670"/>
      <c r="M192" s="1670"/>
      <c r="N192" s="1670"/>
      <c r="O192" s="250"/>
      <c r="P192" s="1279"/>
      <c r="Q192" s="2360"/>
      <c r="R192" s="250"/>
      <c r="S192" s="250"/>
      <c r="T192" s="250"/>
    </row>
    <row r="193" spans="1:20" s="249" customFormat="1" ht="12" customHeight="1">
      <c r="A193" s="250"/>
      <c r="B193" s="250"/>
      <c r="C193" s="250"/>
      <c r="D193" s="250"/>
      <c r="E193" s="250"/>
      <c r="F193" s="250"/>
      <c r="G193" s="1670"/>
      <c r="H193" s="1670"/>
      <c r="I193" s="1670"/>
      <c r="J193" s="1670"/>
      <c r="K193" s="1670"/>
      <c r="L193" s="1670"/>
      <c r="M193" s="1670"/>
      <c r="N193" s="1670"/>
      <c r="O193" s="250"/>
      <c r="P193" s="1279"/>
      <c r="Q193" s="2360"/>
      <c r="R193" s="250"/>
      <c r="S193" s="250"/>
      <c r="T193" s="250"/>
    </row>
    <row r="194" spans="1:20" s="249" customFormat="1" ht="12" customHeight="1">
      <c r="A194" s="250"/>
      <c r="B194" s="250"/>
      <c r="C194" s="250"/>
      <c r="D194" s="250"/>
      <c r="E194" s="250"/>
      <c r="F194" s="250"/>
      <c r="G194" s="1670"/>
      <c r="H194" s="1670"/>
      <c r="I194" s="1670"/>
      <c r="J194" s="1670"/>
      <c r="K194" s="1670"/>
      <c r="L194" s="1670"/>
      <c r="M194" s="1670"/>
      <c r="N194" s="1670"/>
      <c r="O194" s="250"/>
      <c r="P194" s="1279"/>
      <c r="Q194" s="2360"/>
      <c r="R194" s="250"/>
      <c r="S194" s="250"/>
      <c r="T194" s="250"/>
    </row>
    <row r="195" spans="1:20" s="249" customFormat="1" ht="12" customHeight="1">
      <c r="A195" s="250"/>
      <c r="B195" s="250"/>
      <c r="C195" s="250"/>
      <c r="D195" s="250"/>
      <c r="E195" s="250"/>
      <c r="F195" s="250"/>
      <c r="G195" s="1670"/>
      <c r="H195" s="1670"/>
      <c r="I195" s="1670"/>
      <c r="J195" s="1670"/>
      <c r="K195" s="1670"/>
      <c r="L195" s="1670"/>
      <c r="M195" s="1670"/>
      <c r="N195" s="1670"/>
      <c r="O195" s="250"/>
      <c r="P195" s="1279"/>
      <c r="Q195" s="2360"/>
      <c r="R195" s="250"/>
      <c r="S195" s="250"/>
      <c r="T195" s="250"/>
    </row>
    <row r="196" spans="1:20" s="249" customFormat="1" ht="12" customHeight="1">
      <c r="A196" s="250"/>
      <c r="B196" s="250"/>
      <c r="C196" s="250"/>
      <c r="D196" s="250"/>
      <c r="E196" s="250"/>
      <c r="F196" s="250"/>
      <c r="G196" s="1670"/>
      <c r="H196" s="1670"/>
      <c r="I196" s="1670"/>
      <c r="J196" s="1670"/>
      <c r="K196" s="1670"/>
      <c r="L196" s="1670"/>
      <c r="M196" s="1670"/>
      <c r="N196" s="1670"/>
      <c r="O196" s="250"/>
      <c r="P196" s="1279"/>
      <c r="Q196" s="2360"/>
      <c r="R196" s="250"/>
      <c r="S196" s="250"/>
      <c r="T196" s="250"/>
    </row>
    <row r="197" spans="1:20" s="249" customFormat="1" ht="12" customHeight="1">
      <c r="A197" s="250"/>
      <c r="B197" s="250"/>
      <c r="C197" s="250"/>
      <c r="D197" s="250"/>
      <c r="E197" s="250"/>
      <c r="F197" s="250"/>
      <c r="G197" s="1670"/>
      <c r="H197" s="1670"/>
      <c r="I197" s="1670"/>
      <c r="J197" s="1670"/>
      <c r="K197" s="1670"/>
      <c r="L197" s="1670"/>
      <c r="M197" s="1670"/>
      <c r="N197" s="1670"/>
      <c r="O197" s="250"/>
      <c r="P197" s="1279"/>
      <c r="Q197" s="2360"/>
      <c r="R197" s="250"/>
      <c r="S197" s="250"/>
      <c r="T197" s="250"/>
    </row>
    <row r="198" spans="1:20" s="249" customFormat="1" ht="12" customHeight="1">
      <c r="A198" s="250"/>
      <c r="B198" s="250"/>
      <c r="C198" s="250"/>
      <c r="D198" s="250"/>
      <c r="E198" s="250"/>
      <c r="F198" s="250"/>
      <c r="G198" s="1670"/>
      <c r="H198" s="1670"/>
      <c r="I198" s="1670"/>
      <c r="J198" s="1670"/>
      <c r="K198" s="1670"/>
      <c r="L198" s="1670"/>
      <c r="M198" s="1670"/>
      <c r="N198" s="1670"/>
      <c r="O198" s="250"/>
      <c r="P198" s="1279"/>
      <c r="Q198" s="2360"/>
      <c r="R198" s="250"/>
      <c r="S198" s="250"/>
      <c r="T198" s="250"/>
    </row>
    <row r="199" spans="1:20" s="249" customFormat="1" ht="12" customHeight="1">
      <c r="A199" s="250"/>
      <c r="B199" s="250"/>
      <c r="C199" s="250"/>
      <c r="D199" s="250"/>
      <c r="E199" s="250"/>
      <c r="F199" s="250"/>
      <c r="G199" s="1670"/>
      <c r="H199" s="1670"/>
      <c r="I199" s="1670"/>
      <c r="J199" s="1670"/>
      <c r="K199" s="1670"/>
      <c r="L199" s="1670"/>
      <c r="M199" s="1670"/>
      <c r="N199" s="1670"/>
      <c r="O199" s="250"/>
      <c r="P199" s="1279"/>
      <c r="Q199" s="2360"/>
      <c r="R199" s="250"/>
      <c r="S199" s="250"/>
      <c r="T199" s="250"/>
    </row>
    <row r="200" spans="1:20" s="249" customFormat="1" ht="12" customHeight="1">
      <c r="A200" s="250"/>
      <c r="B200" s="250"/>
      <c r="C200" s="250"/>
      <c r="D200" s="250"/>
      <c r="E200" s="250"/>
      <c r="F200" s="250"/>
      <c r="G200" s="1670"/>
      <c r="H200" s="1670"/>
      <c r="I200" s="1670"/>
      <c r="J200" s="1670"/>
      <c r="K200" s="1670"/>
      <c r="L200" s="1670"/>
      <c r="M200" s="1670"/>
      <c r="N200" s="1670"/>
      <c r="O200" s="250"/>
      <c r="P200" s="1279"/>
      <c r="Q200" s="2360"/>
      <c r="R200" s="250"/>
      <c r="S200" s="250"/>
      <c r="T200" s="250"/>
    </row>
    <row r="201" spans="1:20" s="249" customFormat="1" ht="12" customHeight="1">
      <c r="A201" s="250"/>
      <c r="B201" s="250"/>
      <c r="C201" s="250"/>
      <c r="D201" s="250"/>
      <c r="E201" s="250"/>
      <c r="F201" s="250"/>
      <c r="G201" s="1670"/>
      <c r="H201" s="1670"/>
      <c r="I201" s="1670"/>
      <c r="J201" s="1670"/>
      <c r="K201" s="1670"/>
      <c r="L201" s="1670"/>
      <c r="M201" s="1670"/>
      <c r="N201" s="1670"/>
      <c r="O201" s="250"/>
      <c r="P201" s="1279"/>
      <c r="Q201" s="2360"/>
      <c r="R201" s="250"/>
      <c r="S201" s="250"/>
      <c r="T201" s="250"/>
    </row>
    <row r="202" spans="1:20" s="249" customFormat="1" ht="12" customHeight="1">
      <c r="A202" s="250"/>
      <c r="B202" s="250"/>
      <c r="C202" s="250"/>
      <c r="D202" s="250"/>
      <c r="E202" s="250"/>
      <c r="F202" s="250"/>
      <c r="G202" s="1670"/>
      <c r="H202" s="1670"/>
      <c r="I202" s="1670"/>
      <c r="J202" s="1670"/>
      <c r="K202" s="1670"/>
      <c r="L202" s="1670"/>
      <c r="M202" s="1670"/>
      <c r="N202" s="1670"/>
      <c r="O202" s="250"/>
      <c r="P202" s="1279"/>
      <c r="Q202" s="2360"/>
      <c r="R202" s="250"/>
      <c r="S202" s="250"/>
      <c r="T202" s="250"/>
    </row>
    <row r="203" spans="1:20" s="249" customFormat="1" ht="12" customHeight="1">
      <c r="A203" s="250"/>
      <c r="B203" s="250"/>
      <c r="C203" s="250"/>
      <c r="D203" s="250"/>
      <c r="E203" s="250"/>
      <c r="F203" s="250"/>
      <c r="G203" s="1670"/>
      <c r="H203" s="1670"/>
      <c r="I203" s="1670"/>
      <c r="J203" s="1670"/>
      <c r="K203" s="1670"/>
      <c r="L203" s="1670"/>
      <c r="M203" s="1670"/>
      <c r="N203" s="1670"/>
      <c r="O203" s="250"/>
      <c r="P203" s="1279"/>
      <c r="Q203" s="2360"/>
      <c r="R203" s="250"/>
      <c r="S203" s="250"/>
      <c r="T203" s="250"/>
    </row>
    <row r="204" spans="1:20" s="249" customFormat="1" ht="12" customHeight="1">
      <c r="A204" s="250"/>
      <c r="B204" s="250"/>
      <c r="C204" s="250"/>
      <c r="D204" s="250"/>
      <c r="E204" s="250"/>
      <c r="F204" s="250"/>
      <c r="G204" s="1670"/>
      <c r="H204" s="1670"/>
      <c r="I204" s="1670"/>
      <c r="J204" s="1670"/>
      <c r="K204" s="1670"/>
      <c r="L204" s="1670"/>
      <c r="M204" s="1670"/>
      <c r="N204" s="1670"/>
      <c r="O204" s="250"/>
      <c r="P204" s="1279"/>
      <c r="Q204" s="2360"/>
      <c r="R204" s="250"/>
      <c r="S204" s="250"/>
      <c r="T204" s="250"/>
    </row>
    <row r="205" spans="1:20" s="249" customFormat="1" ht="12" customHeight="1">
      <c r="A205" s="250"/>
      <c r="B205" s="250"/>
      <c r="C205" s="250"/>
      <c r="D205" s="250"/>
      <c r="E205" s="250"/>
      <c r="F205" s="250"/>
      <c r="G205" s="1670"/>
      <c r="H205" s="1670"/>
      <c r="I205" s="1670"/>
      <c r="J205" s="1670"/>
      <c r="K205" s="1670"/>
      <c r="L205" s="1670"/>
      <c r="M205" s="1670"/>
      <c r="N205" s="1670"/>
      <c r="O205" s="250"/>
      <c r="P205" s="1279"/>
      <c r="Q205" s="2360"/>
      <c r="R205" s="250"/>
      <c r="S205" s="250"/>
      <c r="T205" s="250"/>
    </row>
    <row r="206" spans="1:20" s="249" customFormat="1" ht="12" customHeight="1">
      <c r="A206" s="250"/>
      <c r="B206" s="250"/>
      <c r="C206" s="250"/>
      <c r="D206" s="250"/>
      <c r="E206" s="250"/>
      <c r="F206" s="250"/>
      <c r="G206" s="1670"/>
      <c r="H206" s="1670"/>
      <c r="I206" s="1670"/>
      <c r="J206" s="1670"/>
      <c r="K206" s="1670"/>
      <c r="L206" s="1670"/>
      <c r="M206" s="1670"/>
      <c r="N206" s="1670"/>
      <c r="O206" s="250"/>
      <c r="P206" s="1279"/>
      <c r="Q206" s="2360"/>
      <c r="R206" s="250"/>
      <c r="S206" s="250"/>
      <c r="T206" s="250"/>
    </row>
    <row r="207" spans="1:20" s="249" customFormat="1" ht="12" customHeight="1">
      <c r="A207" s="250"/>
      <c r="B207" s="250"/>
      <c r="C207" s="250"/>
      <c r="D207" s="250"/>
      <c r="E207" s="250"/>
      <c r="F207" s="250"/>
      <c r="G207" s="1670"/>
      <c r="H207" s="1670"/>
      <c r="I207" s="1670"/>
      <c r="J207" s="1670"/>
      <c r="K207" s="1670"/>
      <c r="L207" s="1670"/>
      <c r="M207" s="1670"/>
      <c r="N207" s="1670"/>
      <c r="O207" s="250"/>
      <c r="P207" s="1279"/>
      <c r="Q207" s="2360"/>
      <c r="R207" s="250"/>
      <c r="S207" s="250"/>
      <c r="T207" s="250"/>
    </row>
    <row r="208" spans="1:20" s="249" customFormat="1" ht="12" customHeight="1">
      <c r="A208" s="250"/>
      <c r="B208" s="250"/>
      <c r="C208" s="250"/>
      <c r="D208" s="250"/>
      <c r="E208" s="250"/>
      <c r="F208" s="250"/>
      <c r="G208" s="1670"/>
      <c r="H208" s="1670"/>
      <c r="I208" s="1670"/>
      <c r="J208" s="1670"/>
      <c r="K208" s="1670"/>
      <c r="L208" s="1670"/>
      <c r="M208" s="1670"/>
      <c r="N208" s="1670"/>
      <c r="O208" s="250"/>
      <c r="P208" s="1279"/>
      <c r="Q208" s="2360"/>
      <c r="R208" s="250"/>
      <c r="S208" s="250"/>
      <c r="T208" s="250"/>
    </row>
    <row r="209" spans="1:20" s="249" customFormat="1" ht="12" customHeight="1">
      <c r="A209" s="250"/>
      <c r="B209" s="250"/>
      <c r="C209" s="250"/>
      <c r="D209" s="250"/>
      <c r="E209" s="250"/>
      <c r="F209" s="250"/>
      <c r="G209" s="1670"/>
      <c r="H209" s="1670"/>
      <c r="I209" s="1670"/>
      <c r="J209" s="1670"/>
      <c r="K209" s="1670"/>
      <c r="L209" s="1670"/>
      <c r="M209" s="1670"/>
      <c r="N209" s="1670"/>
      <c r="O209" s="250"/>
      <c r="P209" s="1279"/>
      <c r="Q209" s="2360"/>
      <c r="R209" s="250"/>
      <c r="S209" s="250"/>
      <c r="T209" s="250"/>
    </row>
    <row r="210" spans="1:20" s="249" customFormat="1" ht="12" customHeight="1">
      <c r="A210" s="250"/>
      <c r="B210" s="250"/>
      <c r="C210" s="250"/>
      <c r="D210" s="250"/>
      <c r="E210" s="250"/>
      <c r="F210" s="250"/>
      <c r="G210" s="1670"/>
      <c r="H210" s="1670"/>
      <c r="I210" s="1670"/>
      <c r="J210" s="1670"/>
      <c r="K210" s="1670"/>
      <c r="L210" s="1670"/>
      <c r="M210" s="1670"/>
      <c r="N210" s="1670"/>
      <c r="O210" s="250"/>
      <c r="P210" s="1279"/>
      <c r="Q210" s="2360"/>
      <c r="R210" s="250"/>
      <c r="S210" s="250"/>
      <c r="T210" s="250"/>
    </row>
    <row r="211" spans="1:20" s="249" customFormat="1" ht="12" customHeight="1">
      <c r="A211" s="250"/>
      <c r="B211" s="250"/>
      <c r="C211" s="250"/>
      <c r="D211" s="250"/>
      <c r="E211" s="250"/>
      <c r="F211" s="250"/>
      <c r="G211" s="1670"/>
      <c r="H211" s="1670"/>
      <c r="I211" s="1670"/>
      <c r="J211" s="1670"/>
      <c r="K211" s="1670"/>
      <c r="L211" s="1670"/>
      <c r="M211" s="1670"/>
      <c r="N211" s="1670"/>
      <c r="O211" s="250"/>
      <c r="P211" s="1279"/>
      <c r="Q211" s="2360"/>
      <c r="R211" s="250"/>
      <c r="S211" s="250"/>
      <c r="T211" s="250"/>
    </row>
    <row r="212" spans="1:20" s="249" customFormat="1" ht="12" customHeight="1">
      <c r="A212" s="250"/>
      <c r="B212" s="250"/>
      <c r="C212" s="250"/>
      <c r="D212" s="250"/>
      <c r="E212" s="250"/>
      <c r="F212" s="250"/>
      <c r="G212" s="1670"/>
      <c r="H212" s="1670"/>
      <c r="I212" s="1670"/>
      <c r="J212" s="1670"/>
      <c r="K212" s="1670"/>
      <c r="L212" s="1670"/>
      <c r="M212" s="1670"/>
      <c r="N212" s="1670"/>
      <c r="O212" s="250"/>
      <c r="P212" s="1279"/>
      <c r="Q212" s="2360"/>
      <c r="R212" s="250"/>
      <c r="S212" s="250"/>
      <c r="T212" s="250"/>
    </row>
    <row r="213" spans="1:20" s="249" customFormat="1" ht="12" customHeight="1">
      <c r="A213" s="250"/>
      <c r="B213" s="250"/>
      <c r="C213" s="250"/>
      <c r="D213" s="250"/>
      <c r="E213" s="250"/>
      <c r="F213" s="250"/>
      <c r="G213" s="1670"/>
      <c r="H213" s="1670"/>
      <c r="I213" s="1670"/>
      <c r="J213" s="1670"/>
      <c r="K213" s="1670"/>
      <c r="L213" s="1670"/>
      <c r="M213" s="1670"/>
      <c r="N213" s="1670"/>
      <c r="O213" s="250"/>
      <c r="P213" s="1279"/>
      <c r="Q213" s="2360"/>
      <c r="R213" s="250"/>
      <c r="S213" s="250"/>
      <c r="T213" s="250"/>
    </row>
    <row r="214" spans="1:20" s="249" customFormat="1" ht="12" customHeight="1">
      <c r="A214" s="250"/>
      <c r="B214" s="250"/>
      <c r="C214" s="250"/>
      <c r="D214" s="250"/>
      <c r="E214" s="250"/>
      <c r="F214" s="250"/>
      <c r="G214" s="1670"/>
      <c r="H214" s="1670"/>
      <c r="I214" s="1670"/>
      <c r="J214" s="1670"/>
      <c r="K214" s="1670"/>
      <c r="L214" s="1670"/>
      <c r="M214" s="1670"/>
      <c r="N214" s="1670"/>
      <c r="O214" s="250"/>
      <c r="P214" s="1279"/>
      <c r="Q214" s="2360"/>
      <c r="R214" s="250"/>
      <c r="S214" s="250"/>
      <c r="T214" s="250"/>
    </row>
    <row r="215" spans="1:20" s="249" customFormat="1" ht="12" customHeight="1">
      <c r="A215" s="250"/>
      <c r="B215" s="250"/>
      <c r="C215" s="250"/>
      <c r="D215" s="250"/>
      <c r="E215" s="250"/>
      <c r="F215" s="250"/>
      <c r="G215" s="1670"/>
      <c r="H215" s="1670"/>
      <c r="I215" s="1670"/>
      <c r="J215" s="1670"/>
      <c r="K215" s="1670"/>
      <c r="L215" s="1670"/>
      <c r="M215" s="1670"/>
      <c r="N215" s="1670"/>
      <c r="O215" s="250"/>
      <c r="P215" s="1279"/>
      <c r="Q215" s="2360"/>
      <c r="R215" s="250"/>
      <c r="S215" s="250"/>
      <c r="T215" s="250"/>
    </row>
    <row r="216" spans="1:20" s="249" customFormat="1" ht="12" customHeight="1">
      <c r="A216" s="250"/>
      <c r="B216" s="250"/>
      <c r="C216" s="250"/>
      <c r="D216" s="250"/>
      <c r="E216" s="250"/>
      <c r="F216" s="250"/>
      <c r="G216" s="1670"/>
      <c r="H216" s="1670"/>
      <c r="I216" s="1670"/>
      <c r="J216" s="1670"/>
      <c r="K216" s="1670"/>
      <c r="L216" s="1670"/>
      <c r="M216" s="1670"/>
      <c r="N216" s="1670"/>
      <c r="O216" s="250"/>
      <c r="P216" s="1279"/>
      <c r="Q216" s="2360"/>
      <c r="R216" s="250"/>
      <c r="S216" s="250"/>
      <c r="T216" s="250"/>
    </row>
    <row r="217" spans="1:20" s="249" customFormat="1" ht="12" customHeight="1">
      <c r="A217" s="250"/>
      <c r="B217" s="250"/>
      <c r="C217" s="250"/>
      <c r="D217" s="250"/>
      <c r="E217" s="250"/>
      <c r="F217" s="250"/>
      <c r="G217" s="1670"/>
      <c r="H217" s="1670"/>
      <c r="I217" s="1670"/>
      <c r="J217" s="1670"/>
      <c r="K217" s="1670"/>
      <c r="L217" s="1670"/>
      <c r="M217" s="1670"/>
      <c r="N217" s="1670"/>
      <c r="O217" s="250"/>
      <c r="P217" s="1279"/>
      <c r="Q217" s="2360"/>
      <c r="R217" s="250"/>
      <c r="S217" s="250"/>
      <c r="T217" s="250"/>
    </row>
    <row r="218" spans="1:20" s="249" customFormat="1" ht="12" customHeight="1">
      <c r="A218" s="250"/>
      <c r="B218" s="250"/>
      <c r="C218" s="250"/>
      <c r="D218" s="250"/>
      <c r="E218" s="250"/>
      <c r="F218" s="250"/>
      <c r="G218" s="1670"/>
      <c r="H218" s="1670"/>
      <c r="I218" s="1670"/>
      <c r="J218" s="1670"/>
      <c r="K218" s="1670"/>
      <c r="L218" s="1670"/>
      <c r="M218" s="1670"/>
      <c r="N218" s="1670"/>
      <c r="O218" s="250"/>
      <c r="P218" s="1279"/>
      <c r="Q218" s="2360"/>
      <c r="R218" s="250"/>
      <c r="S218" s="250"/>
      <c r="T218" s="250"/>
    </row>
    <row r="219" spans="1:20" s="249" customFormat="1" ht="12" customHeight="1">
      <c r="A219" s="250"/>
      <c r="B219" s="250"/>
      <c r="C219" s="250"/>
      <c r="D219" s="250"/>
      <c r="E219" s="250"/>
      <c r="F219" s="250"/>
      <c r="G219" s="1670"/>
      <c r="H219" s="1670"/>
      <c r="I219" s="1670"/>
      <c r="J219" s="1670"/>
      <c r="K219" s="1670"/>
      <c r="L219" s="1670"/>
      <c r="M219" s="1670"/>
      <c r="N219" s="1670"/>
      <c r="O219" s="250"/>
      <c r="P219" s="1279"/>
      <c r="Q219" s="2360"/>
      <c r="R219" s="250"/>
      <c r="S219" s="250"/>
      <c r="T219" s="250"/>
    </row>
    <row r="220" spans="1:20" s="249" customFormat="1" ht="12" customHeight="1">
      <c r="A220" s="250"/>
      <c r="B220" s="250"/>
      <c r="C220" s="250"/>
      <c r="D220" s="250"/>
      <c r="E220" s="250"/>
      <c r="F220" s="250"/>
      <c r="G220" s="1670"/>
      <c r="H220" s="1670"/>
      <c r="I220" s="1670"/>
      <c r="J220" s="1670"/>
      <c r="K220" s="1670"/>
      <c r="L220" s="1670"/>
      <c r="M220" s="1670"/>
      <c r="N220" s="1670"/>
      <c r="O220" s="250"/>
      <c r="P220" s="1279"/>
      <c r="Q220" s="2360"/>
      <c r="R220" s="250"/>
      <c r="S220" s="250"/>
      <c r="T220" s="250"/>
    </row>
    <row r="221" spans="1:20" s="249" customFormat="1" ht="12" customHeight="1">
      <c r="A221" s="250"/>
      <c r="B221" s="250"/>
      <c r="C221" s="250"/>
      <c r="D221" s="250"/>
      <c r="E221" s="250"/>
      <c r="F221" s="250"/>
      <c r="G221" s="1670"/>
      <c r="H221" s="1670"/>
      <c r="I221" s="1670"/>
      <c r="J221" s="1670"/>
      <c r="K221" s="1670"/>
      <c r="L221" s="1670"/>
      <c r="M221" s="1670"/>
      <c r="N221" s="1670"/>
      <c r="O221" s="250"/>
      <c r="P221" s="1279"/>
      <c r="Q221" s="2360"/>
      <c r="R221" s="250"/>
      <c r="S221" s="250"/>
      <c r="T221" s="250"/>
    </row>
    <row r="222" spans="1:20" s="249" customFormat="1" ht="12" customHeight="1">
      <c r="A222" s="250"/>
      <c r="B222" s="250"/>
      <c r="C222" s="250"/>
      <c r="D222" s="250"/>
      <c r="E222" s="250"/>
      <c r="F222" s="250"/>
      <c r="G222" s="1670"/>
      <c r="H222" s="1670"/>
      <c r="I222" s="1670"/>
      <c r="J222" s="1670"/>
      <c r="K222" s="1670"/>
      <c r="L222" s="1670"/>
      <c r="M222" s="1670"/>
      <c r="N222" s="1670"/>
      <c r="O222" s="250"/>
      <c r="P222" s="1279"/>
      <c r="Q222" s="2360"/>
      <c r="R222" s="250"/>
      <c r="S222" s="250"/>
      <c r="T222" s="250"/>
    </row>
    <row r="223" spans="1:20" s="249" customFormat="1" ht="12" customHeight="1">
      <c r="A223" s="250"/>
      <c r="B223" s="250"/>
      <c r="C223" s="250"/>
      <c r="D223" s="250"/>
      <c r="E223" s="250"/>
      <c r="F223" s="250"/>
      <c r="G223" s="1670"/>
      <c r="H223" s="1670"/>
      <c r="I223" s="1670"/>
      <c r="J223" s="1670"/>
      <c r="K223" s="1670"/>
      <c r="L223" s="1670"/>
      <c r="M223" s="1670"/>
      <c r="N223" s="1670"/>
      <c r="O223" s="250"/>
      <c r="P223" s="1279"/>
      <c r="Q223" s="2360"/>
      <c r="R223" s="250"/>
      <c r="S223" s="250"/>
      <c r="T223" s="250"/>
    </row>
    <row r="224" spans="1:20" s="249" customFormat="1" ht="12" customHeight="1">
      <c r="A224" s="250"/>
      <c r="B224" s="250"/>
      <c r="C224" s="250"/>
      <c r="D224" s="250"/>
      <c r="E224" s="250"/>
      <c r="F224" s="250"/>
      <c r="G224" s="1670"/>
      <c r="H224" s="1670"/>
      <c r="I224" s="1670"/>
      <c r="J224" s="1670"/>
      <c r="K224" s="1670"/>
      <c r="L224" s="1670"/>
      <c r="M224" s="1670"/>
      <c r="N224" s="1670"/>
      <c r="O224" s="250"/>
      <c r="P224" s="1279"/>
      <c r="Q224" s="2360"/>
      <c r="R224" s="250"/>
      <c r="S224" s="250"/>
      <c r="T224" s="250"/>
    </row>
    <row r="225" spans="1:20" s="249" customFormat="1" ht="12" customHeight="1">
      <c r="A225" s="250"/>
      <c r="B225" s="250"/>
      <c r="C225" s="250"/>
      <c r="D225" s="250"/>
      <c r="E225" s="250"/>
      <c r="F225" s="250"/>
      <c r="G225" s="1670"/>
      <c r="H225" s="1670"/>
      <c r="I225" s="1670"/>
      <c r="J225" s="1670"/>
      <c r="K225" s="1670"/>
      <c r="L225" s="1670"/>
      <c r="M225" s="1670"/>
      <c r="N225" s="1670"/>
      <c r="O225" s="250"/>
      <c r="P225" s="1279"/>
      <c r="Q225" s="2360"/>
      <c r="R225" s="250"/>
      <c r="S225" s="250"/>
      <c r="T225" s="250"/>
    </row>
    <row r="226" spans="1:20" s="249" customFormat="1" ht="12" customHeight="1">
      <c r="A226" s="250"/>
      <c r="B226" s="250"/>
      <c r="C226" s="250"/>
      <c r="D226" s="250"/>
      <c r="E226" s="250"/>
      <c r="F226" s="250"/>
      <c r="G226" s="1670"/>
      <c r="H226" s="1670"/>
      <c r="I226" s="1670"/>
      <c r="J226" s="1670"/>
      <c r="K226" s="1670"/>
      <c r="L226" s="1670"/>
      <c r="M226" s="1670"/>
      <c r="N226" s="1670"/>
      <c r="O226" s="250"/>
      <c r="P226" s="1279"/>
      <c r="Q226" s="2360"/>
      <c r="R226" s="250"/>
      <c r="S226" s="250"/>
      <c r="T226" s="250"/>
    </row>
    <row r="227" spans="1:20" s="249" customFormat="1" ht="12" customHeight="1">
      <c r="A227" s="250"/>
      <c r="B227" s="250"/>
      <c r="C227" s="250"/>
      <c r="D227" s="250"/>
      <c r="E227" s="250"/>
      <c r="F227" s="250"/>
      <c r="G227" s="1670"/>
      <c r="H227" s="1670"/>
      <c r="I227" s="1670"/>
      <c r="J227" s="1670"/>
      <c r="K227" s="1670"/>
      <c r="L227" s="1670"/>
      <c r="M227" s="1670"/>
      <c r="N227" s="1670"/>
      <c r="O227" s="250"/>
      <c r="P227" s="1279"/>
      <c r="Q227" s="2360"/>
      <c r="R227" s="250"/>
      <c r="S227" s="250"/>
      <c r="T227" s="250"/>
    </row>
    <row r="228" spans="1:20" s="249" customFormat="1" ht="12" customHeight="1">
      <c r="A228" s="250"/>
      <c r="B228" s="250"/>
      <c r="C228" s="250"/>
      <c r="D228" s="250"/>
      <c r="E228" s="250"/>
      <c r="F228" s="250"/>
      <c r="G228" s="1670"/>
      <c r="H228" s="1670"/>
      <c r="I228" s="1670"/>
      <c r="J228" s="1670"/>
      <c r="K228" s="1670"/>
      <c r="L228" s="1670"/>
      <c r="M228" s="1670"/>
      <c r="N228" s="1670"/>
      <c r="O228" s="250"/>
      <c r="P228" s="1279"/>
      <c r="Q228" s="2360"/>
      <c r="R228" s="250"/>
      <c r="S228" s="250"/>
      <c r="T228" s="250"/>
    </row>
    <row r="229" spans="1:20" s="249" customFormat="1" ht="12" customHeight="1">
      <c r="A229" s="250"/>
      <c r="B229" s="250"/>
      <c r="C229" s="250"/>
      <c r="D229" s="250"/>
      <c r="E229" s="250"/>
      <c r="F229" s="250"/>
      <c r="G229" s="1670"/>
      <c r="H229" s="1670"/>
      <c r="I229" s="1670"/>
      <c r="J229" s="1670"/>
      <c r="K229" s="1670"/>
      <c r="L229" s="1670"/>
      <c r="M229" s="1670"/>
      <c r="N229" s="1670"/>
      <c r="O229" s="250"/>
      <c r="P229" s="1279"/>
      <c r="Q229" s="2360"/>
      <c r="R229" s="250"/>
      <c r="S229" s="250"/>
      <c r="T229" s="250"/>
    </row>
    <row r="230" spans="1:20" s="249" customFormat="1" ht="12" customHeight="1">
      <c r="A230" s="250"/>
      <c r="B230" s="250"/>
      <c r="C230" s="250"/>
      <c r="D230" s="250"/>
      <c r="E230" s="250"/>
      <c r="F230" s="250"/>
      <c r="G230" s="1670"/>
      <c r="H230" s="1670"/>
      <c r="I230" s="1670"/>
      <c r="J230" s="1670"/>
      <c r="K230" s="1670"/>
      <c r="L230" s="1670"/>
      <c r="M230" s="1670"/>
      <c r="N230" s="1670"/>
      <c r="O230" s="250"/>
      <c r="P230" s="1279"/>
      <c r="Q230" s="2360"/>
      <c r="R230" s="250"/>
      <c r="S230" s="250"/>
      <c r="T230" s="250"/>
    </row>
    <row r="231" spans="1:20" s="249" customFormat="1" ht="12" customHeight="1">
      <c r="A231" s="250"/>
      <c r="B231" s="250"/>
      <c r="C231" s="250"/>
      <c r="D231" s="250"/>
      <c r="E231" s="250"/>
      <c r="F231" s="250"/>
      <c r="G231" s="1670"/>
      <c r="H231" s="1670"/>
      <c r="I231" s="1670"/>
      <c r="J231" s="1670"/>
      <c r="K231" s="1670"/>
      <c r="L231" s="1670"/>
      <c r="M231" s="1670"/>
      <c r="N231" s="1670"/>
      <c r="O231" s="250"/>
      <c r="P231" s="1279"/>
      <c r="Q231" s="2360"/>
      <c r="R231" s="250"/>
      <c r="S231" s="250"/>
      <c r="T231" s="250"/>
    </row>
    <row r="232" spans="1:20" s="249" customFormat="1" ht="12" customHeight="1">
      <c r="A232" s="250"/>
      <c r="B232" s="250"/>
      <c r="C232" s="250"/>
      <c r="D232" s="250"/>
      <c r="E232" s="250"/>
      <c r="F232" s="250"/>
      <c r="G232" s="1670"/>
      <c r="H232" s="1670"/>
      <c r="I232" s="1670"/>
      <c r="J232" s="1670"/>
      <c r="K232" s="1670"/>
      <c r="L232" s="1670"/>
      <c r="M232" s="1670"/>
      <c r="N232" s="1670"/>
      <c r="O232" s="250"/>
      <c r="P232" s="1279"/>
      <c r="Q232" s="2360"/>
      <c r="R232" s="250"/>
      <c r="S232" s="250"/>
      <c r="T232" s="250"/>
    </row>
    <row r="233" spans="1:20" s="249" customFormat="1" ht="12" customHeight="1">
      <c r="A233" s="250"/>
      <c r="B233" s="250"/>
      <c r="C233" s="250"/>
      <c r="D233" s="250"/>
      <c r="E233" s="250"/>
      <c r="F233" s="250"/>
      <c r="G233" s="1670"/>
      <c r="H233" s="1670"/>
      <c r="I233" s="1670"/>
      <c r="J233" s="1670"/>
      <c r="K233" s="1670"/>
      <c r="L233" s="1670"/>
      <c r="M233" s="1670"/>
      <c r="N233" s="1670"/>
      <c r="O233" s="250"/>
      <c r="P233" s="1279"/>
      <c r="Q233" s="2360"/>
      <c r="R233" s="250"/>
      <c r="S233" s="250"/>
      <c r="T233" s="250"/>
    </row>
    <row r="234" spans="1:20" s="249" customFormat="1" ht="12" customHeight="1">
      <c r="A234" s="250"/>
      <c r="B234" s="250"/>
      <c r="C234" s="250"/>
      <c r="D234" s="250"/>
      <c r="E234" s="250"/>
      <c r="F234" s="250"/>
      <c r="G234" s="1670"/>
      <c r="H234" s="1670"/>
      <c r="I234" s="1670"/>
      <c r="J234" s="1670"/>
      <c r="K234" s="1670"/>
      <c r="L234" s="1670"/>
      <c r="M234" s="1670"/>
      <c r="N234" s="1670"/>
      <c r="O234" s="250"/>
      <c r="P234" s="1279"/>
      <c r="Q234" s="2360"/>
      <c r="R234" s="250"/>
      <c r="S234" s="250"/>
      <c r="T234" s="250"/>
    </row>
    <row r="235" spans="1:20" s="249" customFormat="1" ht="12" customHeight="1">
      <c r="A235" s="250"/>
      <c r="B235" s="250"/>
      <c r="C235" s="250"/>
      <c r="D235" s="250"/>
      <c r="E235" s="250"/>
      <c r="F235" s="250"/>
      <c r="G235" s="1670"/>
      <c r="H235" s="1670"/>
      <c r="I235" s="1670"/>
      <c r="J235" s="1670"/>
      <c r="K235" s="1670"/>
      <c r="L235" s="1670"/>
      <c r="M235" s="1670"/>
      <c r="N235" s="1670"/>
      <c r="O235" s="250"/>
      <c r="P235" s="1279"/>
      <c r="Q235" s="2360"/>
      <c r="R235" s="250"/>
      <c r="S235" s="250"/>
      <c r="T235" s="250"/>
    </row>
    <row r="236" spans="1:20" s="249" customFormat="1" ht="12" customHeight="1">
      <c r="A236" s="250"/>
      <c r="B236" s="250"/>
      <c r="C236" s="250"/>
      <c r="D236" s="250"/>
      <c r="E236" s="250"/>
      <c r="F236" s="250"/>
      <c r="G236" s="1670"/>
      <c r="H236" s="1670"/>
      <c r="I236" s="1670"/>
      <c r="J236" s="1670"/>
      <c r="K236" s="1670"/>
      <c r="L236" s="1670"/>
      <c r="M236" s="1670"/>
      <c r="N236" s="1670"/>
      <c r="O236" s="250"/>
      <c r="P236" s="1279"/>
      <c r="Q236" s="2360"/>
      <c r="R236" s="250"/>
      <c r="S236" s="250"/>
      <c r="T236" s="250"/>
    </row>
    <row r="237" spans="1:20" s="249" customFormat="1" ht="12" customHeight="1">
      <c r="A237" s="250"/>
      <c r="B237" s="250"/>
      <c r="C237" s="250"/>
      <c r="D237" s="250"/>
      <c r="E237" s="250"/>
      <c r="F237" s="250"/>
      <c r="G237" s="1670"/>
      <c r="H237" s="1670"/>
      <c r="I237" s="1670"/>
      <c r="J237" s="1670"/>
      <c r="K237" s="1670"/>
      <c r="L237" s="1670"/>
      <c r="M237" s="1670"/>
      <c r="N237" s="1670"/>
      <c r="O237" s="250"/>
      <c r="P237" s="1279"/>
      <c r="Q237" s="2360"/>
      <c r="R237" s="250"/>
      <c r="S237" s="250"/>
      <c r="T237" s="250"/>
    </row>
    <row r="238" spans="1:20" s="249" customFormat="1" ht="12" customHeight="1">
      <c r="A238" s="250"/>
      <c r="B238" s="250"/>
      <c r="C238" s="250"/>
      <c r="D238" s="250"/>
      <c r="E238" s="250"/>
      <c r="F238" s="250"/>
      <c r="G238" s="1670"/>
      <c r="H238" s="1670"/>
      <c r="I238" s="1670"/>
      <c r="J238" s="1670"/>
      <c r="K238" s="1670"/>
      <c r="L238" s="1670"/>
      <c r="M238" s="1670"/>
      <c r="N238" s="1670"/>
      <c r="O238" s="250"/>
      <c r="P238" s="1279"/>
      <c r="Q238" s="2360"/>
      <c r="R238" s="250"/>
      <c r="S238" s="250"/>
      <c r="T238" s="250"/>
    </row>
    <row r="239" spans="1:20" s="249" customFormat="1" ht="12" customHeight="1">
      <c r="A239" s="250"/>
      <c r="B239" s="250"/>
      <c r="C239" s="250"/>
      <c r="D239" s="250"/>
      <c r="E239" s="250"/>
      <c r="F239" s="250"/>
      <c r="G239" s="1670"/>
      <c r="H239" s="1670"/>
      <c r="I239" s="1670"/>
      <c r="J239" s="1670"/>
      <c r="K239" s="1670"/>
      <c r="L239" s="1670"/>
      <c r="M239" s="1670"/>
      <c r="N239" s="1670"/>
      <c r="O239" s="250"/>
      <c r="P239" s="1279"/>
      <c r="Q239" s="2360"/>
      <c r="R239" s="250"/>
      <c r="S239" s="250"/>
      <c r="T239" s="250"/>
    </row>
    <row r="240" spans="1:20" s="249" customFormat="1" ht="12" customHeight="1">
      <c r="A240" s="250"/>
      <c r="B240" s="250"/>
      <c r="C240" s="250"/>
      <c r="D240" s="250"/>
      <c r="E240" s="250"/>
      <c r="F240" s="250"/>
      <c r="G240" s="1670"/>
      <c r="H240" s="1670"/>
      <c r="I240" s="1670"/>
      <c r="J240" s="1670"/>
      <c r="K240" s="1670"/>
      <c r="L240" s="1670"/>
      <c r="M240" s="1670"/>
      <c r="N240" s="1670"/>
      <c r="O240" s="250"/>
      <c r="P240" s="1279"/>
      <c r="Q240" s="2360"/>
      <c r="R240" s="250"/>
      <c r="S240" s="250"/>
      <c r="T240" s="250"/>
    </row>
    <row r="241" spans="1:20" s="249" customFormat="1" ht="12" customHeight="1">
      <c r="A241" s="250"/>
      <c r="B241" s="250"/>
      <c r="C241" s="250"/>
      <c r="D241" s="250"/>
      <c r="E241" s="250"/>
      <c r="F241" s="250"/>
      <c r="G241" s="1670"/>
      <c r="H241" s="1670"/>
      <c r="I241" s="1670"/>
      <c r="J241" s="1670"/>
      <c r="K241" s="1670"/>
      <c r="L241" s="1670"/>
      <c r="M241" s="1670"/>
      <c r="N241" s="1670"/>
      <c r="O241" s="250"/>
      <c r="P241" s="1279"/>
      <c r="Q241" s="2360"/>
      <c r="R241" s="250"/>
      <c r="S241" s="250"/>
      <c r="T241" s="250"/>
    </row>
    <row r="242" spans="1:20" s="249" customFormat="1" ht="12" customHeight="1">
      <c r="A242" s="250"/>
      <c r="B242" s="250"/>
      <c r="C242" s="250"/>
      <c r="D242" s="250"/>
      <c r="E242" s="250"/>
      <c r="F242" s="250"/>
      <c r="G242" s="1670"/>
      <c r="H242" s="1670"/>
      <c r="I242" s="1670"/>
      <c r="J242" s="1670"/>
      <c r="K242" s="1670"/>
      <c r="L242" s="1670"/>
      <c r="M242" s="1670"/>
      <c r="N242" s="1670"/>
      <c r="O242" s="250"/>
      <c r="P242" s="1279"/>
      <c r="Q242" s="2360"/>
      <c r="R242" s="250"/>
      <c r="S242" s="250"/>
      <c r="T242" s="250"/>
    </row>
    <row r="243" spans="1:20" s="249" customFormat="1" ht="12" customHeight="1">
      <c r="A243" s="250"/>
      <c r="B243" s="250"/>
      <c r="C243" s="250"/>
      <c r="D243" s="250"/>
      <c r="E243" s="250"/>
      <c r="F243" s="250"/>
      <c r="G243" s="1670"/>
      <c r="H243" s="1670"/>
      <c r="I243" s="1670"/>
      <c r="J243" s="1670"/>
      <c r="K243" s="1670"/>
      <c r="L243" s="1670"/>
      <c r="M243" s="1670"/>
      <c r="N243" s="1670"/>
      <c r="O243" s="250"/>
      <c r="P243" s="1279"/>
      <c r="Q243" s="2360"/>
      <c r="R243" s="250"/>
      <c r="S243" s="250"/>
      <c r="T243" s="250"/>
    </row>
    <row r="244" spans="1:20" s="249" customFormat="1" ht="12" customHeight="1">
      <c r="A244" s="250"/>
      <c r="B244" s="250"/>
      <c r="C244" s="250"/>
      <c r="D244" s="250"/>
      <c r="E244" s="250"/>
      <c r="F244" s="250"/>
      <c r="G244" s="1670"/>
      <c r="H244" s="1670"/>
      <c r="I244" s="1670"/>
      <c r="J244" s="1670"/>
      <c r="K244" s="1670"/>
      <c r="L244" s="1670"/>
      <c r="M244" s="1670"/>
      <c r="N244" s="1670"/>
      <c r="O244" s="250"/>
      <c r="P244" s="1279"/>
      <c r="Q244" s="2360"/>
      <c r="R244" s="250"/>
      <c r="S244" s="250"/>
      <c r="T244" s="250"/>
    </row>
    <row r="245" spans="1:20" s="249" customFormat="1" ht="12" customHeight="1">
      <c r="A245" s="250"/>
      <c r="B245" s="250"/>
      <c r="C245" s="250"/>
      <c r="D245" s="250"/>
      <c r="E245" s="250"/>
      <c r="F245" s="250"/>
      <c r="G245" s="1670"/>
      <c r="H245" s="1670"/>
      <c r="I245" s="1670"/>
      <c r="J245" s="1670"/>
      <c r="K245" s="1670"/>
      <c r="L245" s="1670"/>
      <c r="M245" s="1670"/>
      <c r="N245" s="1670"/>
      <c r="O245" s="250"/>
      <c r="P245" s="1279"/>
      <c r="Q245" s="2360"/>
      <c r="R245" s="250"/>
      <c r="S245" s="250"/>
      <c r="T245" s="250"/>
    </row>
    <row r="246" spans="1:20" s="249" customFormat="1" ht="12" customHeight="1">
      <c r="A246" s="250"/>
      <c r="B246" s="250"/>
      <c r="C246" s="250"/>
      <c r="D246" s="250"/>
      <c r="E246" s="250"/>
      <c r="F246" s="250"/>
      <c r="G246" s="1670"/>
      <c r="H246" s="1670"/>
      <c r="I246" s="1670"/>
      <c r="J246" s="1670"/>
      <c r="K246" s="1670"/>
      <c r="L246" s="1670"/>
      <c r="M246" s="1670"/>
      <c r="N246" s="1670"/>
      <c r="O246" s="250"/>
      <c r="P246" s="1279"/>
      <c r="Q246" s="2360"/>
      <c r="R246" s="250"/>
      <c r="S246" s="250"/>
      <c r="T246" s="250"/>
    </row>
    <row r="247" spans="1:20" s="249" customFormat="1" ht="12" customHeight="1">
      <c r="A247" s="250"/>
      <c r="B247" s="250"/>
      <c r="C247" s="250"/>
      <c r="D247" s="250"/>
      <c r="E247" s="250"/>
      <c r="F247" s="250"/>
      <c r="G247" s="1670"/>
      <c r="H247" s="1670"/>
      <c r="I247" s="1670"/>
      <c r="J247" s="1670"/>
      <c r="K247" s="1670"/>
      <c r="L247" s="1670"/>
      <c r="M247" s="1670"/>
      <c r="N247" s="1670"/>
      <c r="O247" s="250"/>
      <c r="P247" s="1279"/>
      <c r="Q247" s="2360"/>
      <c r="R247" s="250"/>
      <c r="S247" s="250"/>
      <c r="T247" s="250"/>
    </row>
    <row r="248" spans="1:20" s="249" customFormat="1" ht="12" customHeight="1">
      <c r="A248" s="250"/>
      <c r="B248" s="250"/>
      <c r="C248" s="250"/>
      <c r="D248" s="250"/>
      <c r="E248" s="250"/>
      <c r="F248" s="250"/>
      <c r="G248" s="1670"/>
      <c r="H248" s="1670"/>
      <c r="I248" s="1670"/>
      <c r="J248" s="1670"/>
      <c r="K248" s="1670"/>
      <c r="L248" s="1670"/>
      <c r="M248" s="1670"/>
      <c r="N248" s="1670"/>
      <c r="O248" s="250"/>
      <c r="P248" s="1279"/>
      <c r="Q248" s="2360"/>
      <c r="R248" s="250"/>
      <c r="S248" s="250"/>
      <c r="T248" s="250"/>
    </row>
    <row r="249" spans="1:20" s="249" customFormat="1" ht="12" customHeight="1">
      <c r="A249" s="250"/>
      <c r="B249" s="250"/>
      <c r="C249" s="250"/>
      <c r="D249" s="250"/>
      <c r="E249" s="250"/>
      <c r="F249" s="250"/>
      <c r="G249" s="1670"/>
      <c r="H249" s="1670"/>
      <c r="I249" s="1670"/>
      <c r="J249" s="1670"/>
      <c r="K249" s="1670"/>
      <c r="L249" s="1670"/>
      <c r="M249" s="1670"/>
      <c r="N249" s="1670"/>
      <c r="O249" s="250"/>
      <c r="P249" s="1279"/>
      <c r="Q249" s="2360"/>
      <c r="R249" s="250"/>
      <c r="S249" s="250"/>
      <c r="T249" s="250"/>
    </row>
    <row r="250" spans="1:20" s="249" customFormat="1" ht="12" customHeight="1">
      <c r="A250" s="250"/>
      <c r="B250" s="250"/>
      <c r="C250" s="250"/>
      <c r="D250" s="250"/>
      <c r="E250" s="250"/>
      <c r="F250" s="250"/>
      <c r="G250" s="1670"/>
      <c r="H250" s="1670"/>
      <c r="I250" s="1670"/>
      <c r="J250" s="1670"/>
      <c r="K250" s="1670"/>
      <c r="L250" s="1670"/>
      <c r="M250" s="1670"/>
      <c r="N250" s="1670"/>
      <c r="O250" s="250"/>
      <c r="P250" s="1279"/>
      <c r="Q250" s="2360"/>
      <c r="R250" s="250"/>
      <c r="S250" s="250"/>
      <c r="T250" s="250"/>
    </row>
    <row r="251" spans="1:20" s="249" customFormat="1" ht="12" customHeight="1">
      <c r="A251" s="250"/>
      <c r="B251" s="250"/>
      <c r="C251" s="250"/>
      <c r="D251" s="250"/>
      <c r="E251" s="250"/>
      <c r="F251" s="250"/>
      <c r="G251" s="1670"/>
      <c r="H251" s="1670"/>
      <c r="I251" s="1670"/>
      <c r="J251" s="1670"/>
      <c r="K251" s="1670"/>
      <c r="L251" s="1670"/>
      <c r="M251" s="1670"/>
      <c r="N251" s="1670"/>
      <c r="O251" s="250"/>
      <c r="P251" s="1279"/>
      <c r="Q251" s="2360"/>
      <c r="R251" s="250"/>
      <c r="S251" s="250"/>
      <c r="T251" s="250"/>
    </row>
    <row r="252" spans="1:20" s="249" customFormat="1" ht="12" customHeight="1">
      <c r="A252" s="250"/>
      <c r="B252" s="250"/>
      <c r="C252" s="250"/>
      <c r="D252" s="250"/>
      <c r="E252" s="250"/>
      <c r="F252" s="250"/>
      <c r="G252" s="1670"/>
      <c r="H252" s="1670"/>
      <c r="I252" s="1670"/>
      <c r="J252" s="1670"/>
      <c r="K252" s="1670"/>
      <c r="L252" s="1670"/>
      <c r="M252" s="1670"/>
      <c r="N252" s="1670"/>
      <c r="O252" s="250"/>
      <c r="P252" s="1279"/>
      <c r="Q252" s="2360"/>
      <c r="R252" s="250"/>
      <c r="S252" s="250"/>
      <c r="T252" s="250"/>
    </row>
    <row r="253" spans="1:20" s="249" customFormat="1" ht="12" customHeight="1">
      <c r="A253" s="250"/>
      <c r="B253" s="250"/>
      <c r="C253" s="250"/>
      <c r="D253" s="250"/>
      <c r="E253" s="250"/>
      <c r="F253" s="250"/>
      <c r="G253" s="1670"/>
      <c r="H253" s="1670"/>
      <c r="I253" s="1670"/>
      <c r="J253" s="1670"/>
      <c r="K253" s="1670"/>
      <c r="L253" s="1670"/>
      <c r="M253" s="1670"/>
      <c r="N253" s="1670"/>
      <c r="O253" s="250"/>
      <c r="P253" s="1279"/>
      <c r="Q253" s="2360"/>
      <c r="R253" s="250"/>
      <c r="S253" s="250"/>
      <c r="T253" s="250"/>
    </row>
    <row r="254" spans="1:20" s="249" customFormat="1" ht="12" customHeight="1">
      <c r="A254" s="250"/>
      <c r="B254" s="250"/>
      <c r="C254" s="250"/>
      <c r="D254" s="250"/>
      <c r="E254" s="250"/>
      <c r="F254" s="250"/>
      <c r="G254" s="1670"/>
      <c r="H254" s="1670"/>
      <c r="I254" s="1670"/>
      <c r="J254" s="1670"/>
      <c r="K254" s="1670"/>
      <c r="L254" s="1670"/>
      <c r="M254" s="1670"/>
      <c r="N254" s="1670"/>
      <c r="O254" s="250"/>
      <c r="P254" s="1279"/>
      <c r="Q254" s="2360"/>
      <c r="R254" s="250"/>
      <c r="S254" s="250"/>
      <c r="T254" s="250"/>
    </row>
    <row r="255" spans="1:20" s="249" customFormat="1" ht="12" customHeight="1">
      <c r="A255" s="250"/>
      <c r="B255" s="250"/>
      <c r="C255" s="250"/>
      <c r="D255" s="250"/>
      <c r="E255" s="250"/>
      <c r="F255" s="250"/>
      <c r="G255" s="1670"/>
      <c r="H255" s="1670"/>
      <c r="I255" s="1670"/>
      <c r="J255" s="1670"/>
      <c r="K255" s="1670"/>
      <c r="L255" s="1670"/>
      <c r="M255" s="1670"/>
      <c r="N255" s="1670"/>
      <c r="O255" s="250"/>
      <c r="P255" s="1279"/>
      <c r="Q255" s="2360"/>
      <c r="R255" s="250"/>
      <c r="S255" s="250"/>
      <c r="T255" s="250"/>
    </row>
    <row r="256" spans="1:20" s="249" customFormat="1" ht="12" customHeight="1">
      <c r="A256" s="250"/>
      <c r="B256" s="250"/>
      <c r="C256" s="250"/>
      <c r="D256" s="250"/>
      <c r="E256" s="250"/>
      <c r="F256" s="250"/>
      <c r="G256" s="1670"/>
      <c r="H256" s="1670"/>
      <c r="I256" s="1670"/>
      <c r="J256" s="1670"/>
      <c r="K256" s="1670"/>
      <c r="L256" s="1670"/>
      <c r="M256" s="1670"/>
      <c r="N256" s="1670"/>
      <c r="O256" s="250"/>
      <c r="P256" s="1279"/>
      <c r="Q256" s="2360"/>
      <c r="R256" s="250"/>
      <c r="S256" s="250"/>
      <c r="T256" s="250"/>
    </row>
    <row r="257" spans="1:20" s="249" customFormat="1" ht="12" customHeight="1">
      <c r="A257" s="250"/>
      <c r="B257" s="250"/>
      <c r="C257" s="250"/>
      <c r="D257" s="250"/>
      <c r="E257" s="250"/>
      <c r="F257" s="250"/>
      <c r="G257" s="1670"/>
      <c r="H257" s="1670"/>
      <c r="I257" s="1670"/>
      <c r="J257" s="1670"/>
      <c r="K257" s="1670"/>
      <c r="L257" s="1670"/>
      <c r="M257" s="1670"/>
      <c r="N257" s="1670"/>
      <c r="O257" s="250"/>
      <c r="P257" s="1279"/>
      <c r="Q257" s="2360"/>
      <c r="R257" s="250"/>
      <c r="S257" s="250"/>
      <c r="T257" s="250"/>
    </row>
    <row r="258" spans="1:20" s="249" customFormat="1" ht="12" customHeight="1">
      <c r="A258" s="250"/>
      <c r="B258" s="250"/>
      <c r="C258" s="250"/>
      <c r="D258" s="250"/>
      <c r="E258" s="250"/>
      <c r="F258" s="250"/>
      <c r="G258" s="1670"/>
      <c r="H258" s="1670"/>
      <c r="I258" s="1670"/>
      <c r="J258" s="1670"/>
      <c r="K258" s="1670"/>
      <c r="L258" s="1670"/>
      <c r="M258" s="1670"/>
      <c r="N258" s="1670"/>
      <c r="O258" s="250"/>
      <c r="P258" s="1279"/>
      <c r="Q258" s="2360"/>
      <c r="R258" s="250"/>
      <c r="S258" s="250"/>
      <c r="T258" s="250"/>
    </row>
    <row r="259" spans="1:20" s="249" customFormat="1" ht="12" customHeight="1">
      <c r="A259" s="250"/>
      <c r="B259" s="250"/>
      <c r="C259" s="250"/>
      <c r="D259" s="250"/>
      <c r="E259" s="250"/>
      <c r="F259" s="250"/>
      <c r="G259" s="1670"/>
      <c r="H259" s="1670"/>
      <c r="I259" s="1670"/>
      <c r="J259" s="1670"/>
      <c r="K259" s="1670"/>
      <c r="L259" s="1670"/>
      <c r="M259" s="1670"/>
      <c r="N259" s="1670"/>
      <c r="O259" s="250"/>
      <c r="P259" s="1279"/>
      <c r="Q259" s="2360"/>
      <c r="R259" s="250"/>
      <c r="S259" s="250"/>
      <c r="T259" s="250"/>
    </row>
    <row r="260" spans="1:20" s="249" customFormat="1" ht="12" customHeight="1">
      <c r="A260" s="250"/>
      <c r="B260" s="250"/>
      <c r="C260" s="250"/>
      <c r="D260" s="250"/>
      <c r="E260" s="250"/>
      <c r="F260" s="250"/>
      <c r="G260" s="1670"/>
      <c r="H260" s="1670"/>
      <c r="I260" s="1670"/>
      <c r="J260" s="1670"/>
      <c r="K260" s="1670"/>
      <c r="L260" s="1670"/>
      <c r="M260" s="1670"/>
      <c r="N260" s="1670"/>
      <c r="O260" s="250"/>
      <c r="P260" s="1279"/>
      <c r="Q260" s="2360"/>
      <c r="R260" s="250"/>
      <c r="S260" s="250"/>
      <c r="T260" s="250"/>
    </row>
    <row r="261" spans="1:20" s="249" customFormat="1" ht="12" customHeight="1">
      <c r="A261" s="250"/>
      <c r="B261" s="250"/>
      <c r="C261" s="250"/>
      <c r="D261" s="250"/>
      <c r="E261" s="250"/>
      <c r="F261" s="250"/>
      <c r="G261" s="1670"/>
      <c r="H261" s="1670"/>
      <c r="I261" s="1670"/>
      <c r="J261" s="1670"/>
      <c r="K261" s="1670"/>
      <c r="L261" s="1670"/>
      <c r="M261" s="1670"/>
      <c r="N261" s="1670"/>
      <c r="O261" s="250"/>
      <c r="P261" s="1279"/>
      <c r="Q261" s="2360"/>
      <c r="R261" s="250"/>
      <c r="S261" s="250"/>
      <c r="T261" s="250"/>
    </row>
    <row r="262" spans="1:20" s="249" customFormat="1" ht="12" customHeight="1">
      <c r="A262" s="250"/>
      <c r="B262" s="250"/>
      <c r="C262" s="250"/>
      <c r="D262" s="250"/>
      <c r="E262" s="250"/>
      <c r="F262" s="250"/>
      <c r="G262" s="1670"/>
      <c r="H262" s="1670"/>
      <c r="I262" s="1670"/>
      <c r="J262" s="1670"/>
      <c r="K262" s="1670"/>
      <c r="L262" s="1670"/>
      <c r="M262" s="1670"/>
      <c r="N262" s="1670"/>
      <c r="O262" s="250"/>
      <c r="P262" s="1279"/>
      <c r="Q262" s="2360"/>
      <c r="R262" s="250"/>
      <c r="S262" s="250"/>
      <c r="T262" s="250"/>
    </row>
    <row r="263" spans="1:20" s="1670" customFormat="1">
      <c r="A263" s="250"/>
      <c r="B263" s="250"/>
      <c r="C263" s="250"/>
      <c r="D263" s="250"/>
      <c r="E263" s="250"/>
      <c r="F263" s="250"/>
      <c r="O263" s="250"/>
      <c r="P263" s="1279"/>
      <c r="Q263" s="2360"/>
      <c r="R263" s="250"/>
      <c r="S263" s="250"/>
      <c r="T263" s="250"/>
    </row>
    <row r="264" spans="1:20" s="1670" customFormat="1">
      <c r="A264" s="250"/>
      <c r="B264" s="250"/>
      <c r="C264" s="250"/>
      <c r="D264" s="250"/>
      <c r="E264" s="250"/>
      <c r="F264" s="250"/>
      <c r="O264" s="250"/>
      <c r="P264" s="1279"/>
      <c r="Q264" s="2360"/>
      <c r="R264" s="250"/>
      <c r="S264" s="250"/>
      <c r="T264" s="250"/>
    </row>
    <row r="265" spans="1:20" s="1670" customFormat="1">
      <c r="A265" s="250"/>
      <c r="B265" s="250"/>
      <c r="C265" s="250"/>
      <c r="D265" s="250"/>
      <c r="E265" s="250"/>
      <c r="F265" s="250"/>
      <c r="O265" s="250"/>
      <c r="P265" s="1279"/>
      <c r="Q265" s="2360"/>
      <c r="R265" s="250"/>
      <c r="S265" s="250"/>
      <c r="T265" s="250"/>
    </row>
    <row r="266" spans="1:20" s="1670" customFormat="1">
      <c r="A266" s="250"/>
      <c r="B266" s="250"/>
      <c r="C266" s="250"/>
      <c r="D266" s="250"/>
      <c r="E266" s="250"/>
      <c r="F266" s="250"/>
      <c r="O266" s="250"/>
      <c r="P266" s="1279"/>
      <c r="Q266" s="2360"/>
      <c r="R266" s="250"/>
      <c r="S266" s="250"/>
      <c r="T266" s="250"/>
    </row>
    <row r="267" spans="1:20" s="1670" customFormat="1">
      <c r="A267" s="250"/>
      <c r="B267" s="250"/>
      <c r="C267" s="250"/>
      <c r="D267" s="250"/>
      <c r="E267" s="250"/>
      <c r="F267" s="250"/>
      <c r="O267" s="250"/>
      <c r="P267" s="1279"/>
      <c r="Q267" s="2360"/>
      <c r="R267" s="250"/>
      <c r="S267" s="250"/>
      <c r="T267" s="250"/>
    </row>
    <row r="268" spans="1:20" s="1670" customFormat="1">
      <c r="A268" s="250"/>
      <c r="B268" s="250"/>
      <c r="C268" s="250"/>
      <c r="D268" s="250"/>
      <c r="E268" s="250"/>
      <c r="F268" s="250"/>
      <c r="O268" s="250"/>
      <c r="P268" s="1279"/>
      <c r="Q268" s="2360"/>
      <c r="R268" s="250"/>
      <c r="S268" s="250"/>
      <c r="T268" s="250"/>
    </row>
    <row r="273" spans="1:20" s="249" customFormat="1" ht="12" customHeight="1">
      <c r="A273" s="250"/>
      <c r="B273" s="250"/>
      <c r="C273" s="250"/>
      <c r="D273" s="250"/>
      <c r="E273" s="250"/>
      <c r="F273" s="250"/>
      <c r="G273" s="1670"/>
      <c r="H273" s="1670"/>
      <c r="I273" s="1670"/>
      <c r="J273" s="1670"/>
      <c r="K273" s="1670"/>
      <c r="L273" s="1670"/>
      <c r="M273" s="1670"/>
      <c r="N273" s="1670"/>
      <c r="O273" s="250"/>
      <c r="P273" s="1279"/>
      <c r="Q273" s="2360"/>
      <c r="R273" s="250"/>
      <c r="S273" s="250"/>
      <c r="T273" s="250"/>
    </row>
    <row r="274" spans="1:20" s="249" customFormat="1" ht="12" customHeight="1">
      <c r="A274" s="250"/>
      <c r="B274" s="250"/>
      <c r="C274" s="250"/>
      <c r="D274" s="250"/>
      <c r="E274" s="250"/>
      <c r="F274" s="250"/>
      <c r="G274" s="1670"/>
      <c r="H274" s="1670"/>
      <c r="I274" s="1670"/>
      <c r="J274" s="1670"/>
      <c r="K274" s="1670"/>
      <c r="L274" s="1670"/>
      <c r="M274" s="1670"/>
      <c r="N274" s="1670"/>
      <c r="O274" s="250"/>
      <c r="P274" s="1279"/>
      <c r="Q274" s="2360"/>
      <c r="R274" s="250"/>
      <c r="S274" s="250"/>
      <c r="T274" s="250"/>
    </row>
    <row r="285" spans="1:20" s="249" customFormat="1" ht="12" customHeight="1">
      <c r="A285" s="250"/>
      <c r="B285" s="250"/>
      <c r="C285" s="250"/>
      <c r="D285" s="250"/>
      <c r="E285" s="250"/>
      <c r="F285" s="250"/>
      <c r="G285" s="1670"/>
      <c r="H285" s="1670"/>
      <c r="I285" s="1670"/>
      <c r="J285" s="1670"/>
      <c r="K285" s="1670"/>
      <c r="L285" s="1670"/>
      <c r="M285" s="1670"/>
      <c r="N285" s="1670"/>
      <c r="O285" s="250"/>
      <c r="P285" s="1279"/>
      <c r="Q285" s="2360"/>
      <c r="R285" s="250"/>
      <c r="S285" s="250"/>
      <c r="T285" s="250"/>
    </row>
    <row r="286" spans="1:20" s="249" customFormat="1" ht="12" customHeight="1">
      <c r="A286" s="250"/>
      <c r="B286" s="250"/>
      <c r="C286" s="250"/>
      <c r="D286" s="250"/>
      <c r="E286" s="250"/>
      <c r="F286" s="250"/>
      <c r="G286" s="1670"/>
      <c r="H286" s="1670"/>
      <c r="I286" s="1670"/>
      <c r="J286" s="1670"/>
      <c r="K286" s="1670"/>
      <c r="L286" s="1670"/>
      <c r="M286" s="1670"/>
      <c r="N286" s="1670"/>
      <c r="O286" s="250"/>
      <c r="P286" s="1279"/>
      <c r="Q286" s="2360"/>
      <c r="R286" s="250"/>
      <c r="S286" s="250"/>
      <c r="T286" s="250"/>
    </row>
    <row r="287" spans="1:20" s="249" customFormat="1" ht="12" customHeight="1">
      <c r="A287" s="250"/>
      <c r="B287" s="250"/>
      <c r="C287" s="250"/>
      <c r="D287" s="250"/>
      <c r="E287" s="250"/>
      <c r="F287" s="250"/>
      <c r="G287" s="1670"/>
      <c r="H287" s="1670"/>
      <c r="I287" s="1670"/>
      <c r="J287" s="1670"/>
      <c r="K287" s="1670"/>
      <c r="L287" s="1670"/>
      <c r="M287" s="1670"/>
      <c r="N287" s="1670"/>
      <c r="O287" s="250"/>
      <c r="P287" s="1279"/>
      <c r="Q287" s="2360"/>
      <c r="R287" s="250"/>
      <c r="S287" s="250"/>
      <c r="T287" s="250"/>
    </row>
    <row r="288" spans="1:20" s="249" customFormat="1" ht="12" customHeight="1">
      <c r="A288" s="250"/>
      <c r="B288" s="250"/>
      <c r="C288" s="250"/>
      <c r="D288" s="250"/>
      <c r="E288" s="250"/>
      <c r="F288" s="250"/>
      <c r="G288" s="1670"/>
      <c r="H288" s="1670"/>
      <c r="I288" s="1670"/>
      <c r="J288" s="1670"/>
      <c r="K288" s="1670"/>
      <c r="L288" s="1670"/>
      <c r="M288" s="1670"/>
      <c r="N288" s="1670"/>
      <c r="O288" s="250"/>
      <c r="P288" s="1279"/>
      <c r="Q288" s="2360"/>
      <c r="R288" s="250"/>
      <c r="S288" s="250"/>
      <c r="T288" s="250"/>
    </row>
    <row r="289" spans="1:20" s="1670" customFormat="1">
      <c r="A289" s="250"/>
      <c r="B289" s="250"/>
      <c r="C289" s="250"/>
      <c r="D289" s="250"/>
      <c r="E289" s="250"/>
      <c r="F289" s="250"/>
      <c r="O289" s="250"/>
      <c r="P289" s="1279"/>
      <c r="Q289" s="2360"/>
      <c r="R289" s="250"/>
      <c r="S289" s="250"/>
      <c r="T289" s="250"/>
    </row>
    <row r="290" spans="1:20" s="1670" customFormat="1">
      <c r="A290" s="250"/>
      <c r="B290" s="250"/>
      <c r="C290" s="250"/>
      <c r="D290" s="250"/>
      <c r="E290" s="250"/>
      <c r="F290" s="250"/>
      <c r="O290" s="250"/>
      <c r="P290" s="1279"/>
      <c r="Q290" s="2360"/>
      <c r="R290" s="250"/>
      <c r="S290" s="250"/>
      <c r="T290" s="250"/>
    </row>
    <row r="291" spans="1:20" s="1670" customFormat="1">
      <c r="A291" s="250"/>
      <c r="B291" s="250"/>
      <c r="C291" s="250"/>
      <c r="D291" s="250"/>
      <c r="E291" s="250"/>
      <c r="F291" s="250"/>
      <c r="O291" s="250"/>
      <c r="P291" s="1279"/>
      <c r="Q291" s="2360"/>
      <c r="R291" s="250"/>
      <c r="S291" s="250"/>
      <c r="T291" s="250"/>
    </row>
    <row r="292" spans="1:20" s="1670" customFormat="1">
      <c r="A292" s="250"/>
      <c r="B292" s="250"/>
      <c r="C292" s="250"/>
      <c r="D292" s="250"/>
      <c r="E292" s="250"/>
      <c r="F292" s="250"/>
      <c r="O292" s="250"/>
      <c r="P292" s="1279"/>
      <c r="Q292" s="2360"/>
      <c r="R292" s="250"/>
      <c r="S292" s="250"/>
      <c r="T292" s="250"/>
    </row>
    <row r="293" spans="1:20" s="1670" customFormat="1">
      <c r="A293" s="250"/>
      <c r="B293" s="250"/>
      <c r="C293" s="250"/>
      <c r="D293" s="250"/>
      <c r="E293" s="250"/>
      <c r="F293" s="250"/>
      <c r="O293" s="250"/>
      <c r="P293" s="1279"/>
      <c r="Q293" s="2360"/>
      <c r="R293" s="250"/>
      <c r="S293" s="250"/>
      <c r="T293" s="250"/>
    </row>
    <row r="294" spans="1:20" s="1670" customFormat="1">
      <c r="A294" s="250"/>
      <c r="B294" s="250"/>
      <c r="C294" s="250"/>
      <c r="D294" s="250"/>
      <c r="E294" s="250"/>
      <c r="F294" s="250"/>
      <c r="O294" s="250"/>
      <c r="P294" s="1279"/>
      <c r="Q294" s="2360"/>
      <c r="R294" s="250"/>
      <c r="S294" s="250"/>
      <c r="T294" s="250"/>
    </row>
    <row r="299" spans="1:20" s="249" customFormat="1" ht="12" customHeight="1">
      <c r="A299" s="250"/>
      <c r="B299" s="250"/>
      <c r="C299" s="250"/>
      <c r="D299" s="250"/>
      <c r="E299" s="250"/>
      <c r="F299" s="250"/>
      <c r="G299" s="1670"/>
      <c r="H299" s="1670"/>
      <c r="I299" s="1670"/>
      <c r="J299" s="1670"/>
      <c r="K299" s="1670"/>
      <c r="L299" s="1670"/>
      <c r="M299" s="1670"/>
      <c r="N299" s="1670"/>
      <c r="O299" s="250"/>
      <c r="P299" s="1279"/>
      <c r="Q299" s="2360"/>
      <c r="R299" s="250"/>
      <c r="S299" s="250"/>
      <c r="T299" s="250"/>
    </row>
    <row r="300" spans="1:20" s="249" customFormat="1" ht="12" customHeight="1">
      <c r="A300" s="250"/>
      <c r="B300" s="250"/>
      <c r="C300" s="250"/>
      <c r="D300" s="250"/>
      <c r="E300" s="250"/>
      <c r="F300" s="250"/>
      <c r="G300" s="1670"/>
      <c r="H300" s="1670"/>
      <c r="I300" s="1670"/>
      <c r="J300" s="1670"/>
      <c r="K300" s="1670"/>
      <c r="L300" s="1670"/>
      <c r="M300" s="1670"/>
      <c r="N300" s="1670"/>
      <c r="O300" s="250"/>
      <c r="P300" s="1279"/>
      <c r="Q300" s="2360"/>
      <c r="R300" s="250"/>
      <c r="S300" s="250"/>
      <c r="T300" s="250"/>
    </row>
    <row r="309" spans="1:20" ht="13.5" customHeight="1"/>
    <row r="310" spans="1:20" ht="13.5" customHeight="1"/>
    <row r="311" spans="1:20" s="1670" customFormat="1">
      <c r="A311" s="250"/>
      <c r="B311" s="250"/>
      <c r="C311" s="250"/>
      <c r="D311" s="250"/>
      <c r="E311" s="250"/>
      <c r="F311" s="250"/>
      <c r="O311" s="250"/>
      <c r="P311" s="1279"/>
      <c r="Q311" s="2360"/>
      <c r="R311" s="250"/>
      <c r="S311" s="250"/>
      <c r="T311" s="250"/>
    </row>
    <row r="312" spans="1:20" s="1670" customFormat="1">
      <c r="A312" s="250"/>
      <c r="B312" s="250"/>
      <c r="C312" s="250"/>
      <c r="D312" s="250"/>
      <c r="E312" s="250"/>
      <c r="F312" s="250"/>
      <c r="O312" s="250"/>
      <c r="P312" s="1279"/>
      <c r="Q312" s="2360"/>
      <c r="R312" s="250"/>
      <c r="S312" s="250"/>
      <c r="T312" s="250"/>
    </row>
    <row r="313" spans="1:20" s="1670" customFormat="1">
      <c r="A313" s="250"/>
      <c r="B313" s="250"/>
      <c r="C313" s="250"/>
      <c r="D313" s="250"/>
      <c r="E313" s="250"/>
      <c r="F313" s="250"/>
      <c r="O313" s="250"/>
      <c r="P313" s="1279"/>
      <c r="Q313" s="2360"/>
      <c r="R313" s="250"/>
      <c r="S313" s="250"/>
      <c r="T313" s="250"/>
    </row>
    <row r="314" spans="1:20" s="1670" customFormat="1">
      <c r="A314" s="250"/>
      <c r="B314" s="250"/>
      <c r="C314" s="250"/>
      <c r="D314" s="250"/>
      <c r="E314" s="250"/>
      <c r="F314" s="250"/>
      <c r="O314" s="250"/>
      <c r="P314" s="1279"/>
      <c r="Q314" s="2360"/>
      <c r="R314" s="250"/>
      <c r="S314" s="250"/>
      <c r="T314" s="250"/>
    </row>
    <row r="315" spans="1:20" s="1670" customFormat="1">
      <c r="A315" s="250"/>
      <c r="B315" s="250"/>
      <c r="C315" s="250"/>
      <c r="D315" s="250"/>
      <c r="E315" s="250"/>
      <c r="F315" s="250"/>
      <c r="O315" s="250"/>
      <c r="P315" s="1279"/>
      <c r="Q315" s="2360"/>
      <c r="R315" s="250"/>
      <c r="S315" s="250"/>
      <c r="T315" s="250"/>
    </row>
    <row r="316" spans="1:20" s="1670" customFormat="1">
      <c r="A316" s="250"/>
      <c r="B316" s="250"/>
      <c r="C316" s="250"/>
      <c r="D316" s="250"/>
      <c r="E316" s="250"/>
      <c r="F316" s="250"/>
      <c r="O316" s="250"/>
      <c r="P316" s="1279"/>
      <c r="Q316" s="2360"/>
      <c r="R316" s="250"/>
      <c r="S316" s="250"/>
      <c r="T316" s="250"/>
    </row>
    <row r="317" spans="1:20" s="1670" customFormat="1">
      <c r="A317" s="250"/>
      <c r="B317" s="250"/>
      <c r="C317" s="250"/>
      <c r="D317" s="250"/>
      <c r="E317" s="250"/>
      <c r="F317" s="250"/>
      <c r="O317" s="250"/>
      <c r="P317" s="1279"/>
      <c r="Q317" s="2360"/>
      <c r="R317" s="250"/>
      <c r="S317" s="250"/>
      <c r="T317" s="250"/>
    </row>
    <row r="318" spans="1:20" s="1670" customFormat="1">
      <c r="A318" s="250"/>
      <c r="B318" s="250"/>
      <c r="C318" s="250"/>
      <c r="D318" s="250"/>
      <c r="E318" s="250"/>
      <c r="F318" s="250"/>
      <c r="O318" s="250"/>
      <c r="P318" s="1279"/>
      <c r="Q318" s="2360"/>
      <c r="R318" s="250"/>
      <c r="S318" s="250"/>
      <c r="T318" s="250"/>
    </row>
    <row r="335" spans="1:20" s="249" customFormat="1" ht="12" customHeight="1">
      <c r="A335" s="250"/>
      <c r="B335" s="250"/>
      <c r="C335" s="250"/>
      <c r="D335" s="250"/>
      <c r="E335" s="250"/>
      <c r="F335" s="250"/>
      <c r="G335" s="1670"/>
      <c r="H335" s="1670"/>
      <c r="I335" s="1670"/>
      <c r="J335" s="1670"/>
      <c r="K335" s="1670"/>
      <c r="L335" s="1670"/>
      <c r="M335" s="1670"/>
      <c r="N335" s="1670"/>
      <c r="O335" s="250"/>
      <c r="P335" s="1279"/>
      <c r="Q335" s="2360"/>
      <c r="R335" s="250"/>
      <c r="S335" s="250"/>
      <c r="T335" s="250"/>
    </row>
    <row r="336" spans="1:20" s="249" customFormat="1" ht="12" customHeight="1">
      <c r="A336" s="250"/>
      <c r="B336" s="250"/>
      <c r="C336" s="250"/>
      <c r="D336" s="250"/>
      <c r="E336" s="250"/>
      <c r="F336" s="250"/>
      <c r="G336" s="1670"/>
      <c r="H336" s="1670"/>
      <c r="I336" s="1670"/>
      <c r="J336" s="1670"/>
      <c r="K336" s="1670"/>
      <c r="L336" s="1670"/>
      <c r="M336" s="1670"/>
      <c r="N336" s="1670"/>
      <c r="O336" s="250"/>
      <c r="P336" s="1279"/>
      <c r="Q336" s="2360"/>
      <c r="R336" s="250"/>
      <c r="S336" s="250"/>
      <c r="T336" s="250"/>
    </row>
    <row r="337" spans="1:20" s="1670" customFormat="1">
      <c r="A337" s="250"/>
      <c r="B337" s="250"/>
      <c r="C337" s="250"/>
      <c r="D337" s="250"/>
      <c r="E337" s="250"/>
      <c r="F337" s="250"/>
      <c r="O337" s="250"/>
      <c r="P337" s="1279"/>
      <c r="Q337" s="2360"/>
      <c r="R337" s="250"/>
      <c r="S337" s="250"/>
      <c r="T337" s="250"/>
    </row>
    <row r="338" spans="1:20" s="1670" customFormat="1">
      <c r="A338" s="250"/>
      <c r="B338" s="250"/>
      <c r="C338" s="250"/>
      <c r="D338" s="250"/>
      <c r="E338" s="250"/>
      <c r="F338" s="250"/>
      <c r="O338" s="250"/>
      <c r="P338" s="1279"/>
      <c r="Q338" s="2360"/>
      <c r="R338" s="250"/>
      <c r="S338" s="250"/>
      <c r="T338" s="250"/>
    </row>
    <row r="339" spans="1:20" s="1670" customFormat="1">
      <c r="A339" s="250"/>
      <c r="B339" s="250"/>
      <c r="C339" s="250"/>
      <c r="D339" s="250"/>
      <c r="E339" s="250"/>
      <c r="F339" s="250"/>
      <c r="O339" s="250"/>
      <c r="P339" s="1279"/>
      <c r="Q339" s="2360"/>
      <c r="R339" s="250"/>
      <c r="S339" s="250"/>
      <c r="T339" s="250"/>
    </row>
    <row r="340" spans="1:20" s="1670" customFormat="1">
      <c r="A340" s="250"/>
      <c r="B340" s="250"/>
      <c r="C340" s="250"/>
      <c r="D340" s="250"/>
      <c r="E340" s="250"/>
      <c r="F340" s="250"/>
      <c r="O340" s="250"/>
      <c r="P340" s="1279"/>
      <c r="Q340" s="2360"/>
      <c r="R340" s="250"/>
      <c r="S340" s="250"/>
      <c r="T340" s="250"/>
    </row>
    <row r="341" spans="1:20" s="1670" customFormat="1">
      <c r="A341" s="250"/>
      <c r="B341" s="250"/>
      <c r="C341" s="250"/>
      <c r="D341" s="250"/>
      <c r="E341" s="250"/>
      <c r="F341" s="250"/>
      <c r="O341" s="250"/>
      <c r="P341" s="1279"/>
      <c r="Q341" s="2360"/>
      <c r="R341" s="250"/>
      <c r="S341" s="250"/>
      <c r="T341" s="250"/>
    </row>
    <row r="342" spans="1:20" s="1670" customFormat="1">
      <c r="A342" s="250"/>
      <c r="B342" s="250"/>
      <c r="C342" s="250"/>
      <c r="D342" s="250"/>
      <c r="E342" s="250"/>
      <c r="F342" s="250"/>
      <c r="O342" s="250"/>
      <c r="P342" s="1279"/>
      <c r="Q342" s="2360"/>
      <c r="R342" s="250"/>
      <c r="S342" s="250"/>
      <c r="T342" s="250"/>
    </row>
    <row r="343" spans="1:20" s="1670" customFormat="1">
      <c r="A343" s="250"/>
      <c r="B343" s="250"/>
      <c r="C343" s="250"/>
      <c r="D343" s="250"/>
      <c r="E343" s="250"/>
      <c r="F343" s="250"/>
      <c r="O343" s="250"/>
      <c r="P343" s="1279"/>
      <c r="Q343" s="2360"/>
      <c r="R343" s="250"/>
      <c r="S343" s="250"/>
      <c r="T343" s="250"/>
    </row>
    <row r="344" spans="1:20" s="1670" customFormat="1">
      <c r="A344" s="250"/>
      <c r="B344" s="250"/>
      <c r="C344" s="250"/>
      <c r="D344" s="250"/>
      <c r="E344" s="250"/>
      <c r="F344" s="250"/>
      <c r="O344" s="250"/>
      <c r="P344" s="1279"/>
      <c r="Q344" s="2360"/>
      <c r="R344" s="250"/>
      <c r="S344" s="250"/>
      <c r="T344" s="250"/>
    </row>
    <row r="359" spans="1:20" ht="13.5" customHeight="1"/>
    <row r="360" spans="1:20" ht="13.5" customHeight="1"/>
    <row r="361" spans="1:20" s="249" customFormat="1" ht="12" customHeight="1">
      <c r="A361" s="250"/>
      <c r="B361" s="250"/>
      <c r="C361" s="250"/>
      <c r="D361" s="250"/>
      <c r="E361" s="250"/>
      <c r="F361" s="250"/>
      <c r="G361" s="1670"/>
      <c r="H361" s="1670"/>
      <c r="I361" s="1670"/>
      <c r="J361" s="1670"/>
      <c r="K361" s="1670"/>
      <c r="L361" s="1670"/>
      <c r="M361" s="1670"/>
      <c r="N361" s="1670"/>
      <c r="O361" s="250"/>
      <c r="P361" s="1279"/>
      <c r="Q361" s="2360"/>
      <c r="R361" s="250"/>
      <c r="S361" s="250"/>
      <c r="T361" s="250"/>
    </row>
    <row r="362" spans="1:20" s="249" customFormat="1" ht="12" customHeight="1">
      <c r="A362" s="250"/>
      <c r="B362" s="250"/>
      <c r="C362" s="250"/>
      <c r="D362" s="250"/>
      <c r="E362" s="250"/>
      <c r="F362" s="250"/>
      <c r="G362" s="1670"/>
      <c r="H362" s="1670"/>
      <c r="I362" s="1670"/>
      <c r="J362" s="1670"/>
      <c r="K362" s="1670"/>
      <c r="L362" s="1670"/>
      <c r="M362" s="1670"/>
      <c r="N362" s="1670"/>
      <c r="O362" s="250"/>
      <c r="P362" s="1279"/>
      <c r="Q362" s="2360"/>
      <c r="R362" s="250"/>
      <c r="S362" s="250"/>
      <c r="T362" s="250"/>
    </row>
    <row r="365" spans="1:20" s="1670" customFormat="1">
      <c r="A365" s="250"/>
      <c r="B365" s="250"/>
      <c r="C365" s="250"/>
      <c r="D365" s="250"/>
      <c r="E365" s="250"/>
      <c r="F365" s="250"/>
      <c r="O365" s="250"/>
      <c r="P365" s="1279"/>
      <c r="Q365" s="2360"/>
      <c r="R365" s="250"/>
      <c r="S365" s="250"/>
      <c r="T365" s="250"/>
    </row>
    <row r="366" spans="1:20" s="1670" customFormat="1">
      <c r="A366" s="250"/>
      <c r="B366" s="250"/>
      <c r="C366" s="250"/>
      <c r="D366" s="250"/>
      <c r="E366" s="250"/>
      <c r="F366" s="250"/>
      <c r="O366" s="250"/>
      <c r="P366" s="1279"/>
      <c r="Q366" s="2360"/>
      <c r="R366" s="250"/>
      <c r="S366" s="250"/>
      <c r="T366" s="250"/>
    </row>
    <row r="367" spans="1:20" s="1670" customFormat="1">
      <c r="A367" s="250"/>
      <c r="B367" s="250"/>
      <c r="C367" s="250"/>
      <c r="D367" s="250"/>
      <c r="E367" s="250"/>
      <c r="F367" s="250"/>
      <c r="O367" s="250"/>
      <c r="P367" s="1279"/>
      <c r="Q367" s="2360"/>
      <c r="R367" s="250"/>
      <c r="S367" s="250"/>
      <c r="T367" s="250"/>
    </row>
    <row r="368" spans="1:20" s="1670" customFormat="1">
      <c r="A368" s="250"/>
      <c r="B368" s="250"/>
      <c r="C368" s="250"/>
      <c r="D368" s="250"/>
      <c r="E368" s="250"/>
      <c r="F368" s="250"/>
      <c r="O368" s="250"/>
      <c r="P368" s="1279"/>
      <c r="Q368" s="2360"/>
      <c r="R368" s="250"/>
      <c r="S368" s="250"/>
      <c r="T368" s="250"/>
    </row>
    <row r="369" spans="1:20" s="1670" customFormat="1">
      <c r="A369" s="250"/>
      <c r="B369" s="250"/>
      <c r="C369" s="250"/>
      <c r="D369" s="250"/>
      <c r="E369" s="250"/>
      <c r="F369" s="250"/>
      <c r="O369" s="250"/>
      <c r="P369" s="1279"/>
      <c r="Q369" s="2360"/>
      <c r="R369" s="250"/>
      <c r="S369" s="250"/>
      <c r="T369" s="250"/>
    </row>
    <row r="385" spans="1:20" ht="13.5" customHeight="1"/>
    <row r="386" spans="1:20" ht="13.5" customHeight="1"/>
    <row r="388" spans="1:20" s="249" customFormat="1" ht="12" customHeight="1">
      <c r="A388" s="250"/>
      <c r="B388" s="250"/>
      <c r="C388" s="250"/>
      <c r="D388" s="250"/>
      <c r="E388" s="250"/>
      <c r="F388" s="250"/>
      <c r="G388" s="1670"/>
      <c r="H388" s="1670"/>
      <c r="I388" s="1670"/>
      <c r="J388" s="1670"/>
      <c r="K388" s="1670"/>
      <c r="L388" s="1670"/>
      <c r="M388" s="1670"/>
      <c r="N388" s="1670"/>
      <c r="O388" s="250"/>
      <c r="P388" s="1279"/>
      <c r="Q388" s="2360"/>
      <c r="R388" s="250"/>
      <c r="S388" s="250"/>
      <c r="T388" s="250"/>
    </row>
    <row r="389" spans="1:20" s="249" customFormat="1" ht="12" customHeight="1">
      <c r="A389" s="250"/>
      <c r="B389" s="250"/>
      <c r="C389" s="250"/>
      <c r="D389" s="250"/>
      <c r="E389" s="250"/>
      <c r="F389" s="250"/>
      <c r="G389" s="1670"/>
      <c r="H389" s="1670"/>
      <c r="I389" s="1670"/>
      <c r="J389" s="1670"/>
      <c r="K389" s="1670"/>
      <c r="L389" s="1670"/>
      <c r="M389" s="1670"/>
      <c r="N389" s="1670"/>
      <c r="O389" s="250"/>
      <c r="P389" s="1279"/>
      <c r="Q389" s="2360"/>
      <c r="R389" s="250"/>
      <c r="S389" s="250"/>
      <c r="T389" s="250"/>
    </row>
    <row r="412" spans="1:20" ht="13.5" customHeight="1"/>
    <row r="413" spans="1:20" ht="13.5" customHeight="1"/>
    <row r="414" spans="1:20" s="249" customFormat="1" ht="12" customHeight="1">
      <c r="A414" s="250"/>
      <c r="B414" s="250"/>
      <c r="C414" s="250"/>
      <c r="D414" s="250"/>
      <c r="E414" s="250"/>
      <c r="F414" s="250"/>
      <c r="G414" s="1670"/>
      <c r="H414" s="1670"/>
      <c r="I414" s="1670"/>
      <c r="J414" s="1670"/>
      <c r="K414" s="1670"/>
      <c r="L414" s="1670"/>
      <c r="M414" s="1670"/>
      <c r="N414" s="1670"/>
      <c r="O414" s="250"/>
      <c r="P414" s="1279"/>
      <c r="Q414" s="2360"/>
      <c r="R414" s="250"/>
      <c r="S414" s="250"/>
      <c r="T414" s="250"/>
    </row>
    <row r="415" spans="1:20" s="249" customFormat="1" ht="12" customHeight="1">
      <c r="A415" s="250"/>
      <c r="B415" s="250"/>
      <c r="C415" s="250"/>
      <c r="D415" s="250"/>
      <c r="E415" s="250"/>
      <c r="F415" s="250"/>
      <c r="G415" s="1670"/>
      <c r="H415" s="1670"/>
      <c r="I415" s="1670"/>
      <c r="J415" s="1670"/>
      <c r="K415" s="1670"/>
      <c r="L415" s="1670"/>
      <c r="M415" s="1670"/>
      <c r="N415" s="1670"/>
      <c r="O415" s="250"/>
      <c r="P415" s="1279"/>
      <c r="Q415" s="2360"/>
      <c r="R415" s="250"/>
      <c r="S415" s="250"/>
      <c r="T415" s="250"/>
    </row>
    <row r="416" spans="1:20" s="249" customFormat="1" ht="12" customHeight="1">
      <c r="A416" s="250"/>
      <c r="B416" s="250"/>
      <c r="C416" s="250"/>
      <c r="D416" s="250"/>
      <c r="E416" s="250"/>
      <c r="F416" s="250"/>
      <c r="G416" s="1670"/>
      <c r="H416" s="1670"/>
      <c r="I416" s="1670"/>
      <c r="J416" s="1670"/>
      <c r="K416" s="1670"/>
      <c r="L416" s="1670"/>
      <c r="M416" s="1670"/>
      <c r="N416" s="1670"/>
      <c r="O416" s="250"/>
      <c r="P416" s="1279"/>
      <c r="Q416" s="2360"/>
      <c r="R416" s="250"/>
      <c r="S416" s="250"/>
      <c r="T416" s="250"/>
    </row>
    <row r="439" spans="1:20" ht="13.5" customHeight="1"/>
    <row r="440" spans="1:20" ht="13.5" customHeight="1"/>
    <row r="441" spans="1:20" s="249" customFormat="1" ht="7.5" customHeight="1">
      <c r="A441" s="250"/>
      <c r="B441" s="250"/>
      <c r="C441" s="250"/>
      <c r="D441" s="250"/>
      <c r="E441" s="250"/>
      <c r="F441" s="250"/>
      <c r="G441" s="1670"/>
      <c r="H441" s="1670"/>
      <c r="I441" s="1670"/>
      <c r="J441" s="1670"/>
      <c r="K441" s="1670"/>
      <c r="L441" s="1670"/>
      <c r="M441" s="1670"/>
      <c r="N441" s="1670"/>
      <c r="O441" s="250"/>
      <c r="P441" s="1279"/>
      <c r="Q441" s="2360"/>
      <c r="R441" s="250"/>
      <c r="S441" s="250"/>
      <c r="T441" s="250"/>
    </row>
    <row r="442" spans="1:20" s="249" customFormat="1" ht="6" customHeight="1">
      <c r="A442" s="250"/>
      <c r="B442" s="250"/>
      <c r="C442" s="250"/>
      <c r="D442" s="250"/>
      <c r="E442" s="250"/>
      <c r="F442" s="250"/>
      <c r="G442" s="1670"/>
      <c r="H442" s="1670"/>
      <c r="I442" s="1670"/>
      <c r="J442" s="1670"/>
      <c r="K442" s="1670"/>
      <c r="L442" s="1670"/>
      <c r="M442" s="1670"/>
      <c r="N442" s="1670"/>
      <c r="O442" s="250"/>
      <c r="P442" s="1279"/>
      <c r="Q442" s="2360"/>
      <c r="R442" s="250"/>
      <c r="S442" s="250"/>
      <c r="T442" s="250"/>
    </row>
    <row r="443" spans="1:20" s="249" customFormat="1" ht="12" customHeight="1">
      <c r="A443" s="250"/>
      <c r="B443" s="250"/>
      <c r="C443" s="250"/>
      <c r="D443" s="250"/>
      <c r="E443" s="250"/>
      <c r="F443" s="250"/>
      <c r="G443" s="1670"/>
      <c r="H443" s="1670"/>
      <c r="I443" s="1670"/>
      <c r="J443" s="1670"/>
      <c r="K443" s="1670"/>
      <c r="L443" s="1670"/>
      <c r="M443" s="1670"/>
      <c r="N443" s="1670"/>
      <c r="O443" s="250"/>
      <c r="P443" s="1279"/>
      <c r="Q443" s="2360"/>
      <c r="R443" s="250"/>
      <c r="S443" s="250"/>
      <c r="T443" s="250"/>
    </row>
    <row r="444" spans="1:20" s="249" customFormat="1" ht="12" customHeight="1">
      <c r="A444" s="250"/>
      <c r="B444" s="250"/>
      <c r="C444" s="250"/>
      <c r="D444" s="250"/>
      <c r="E444" s="250"/>
      <c r="F444" s="250"/>
      <c r="G444" s="1670"/>
      <c r="H444" s="1670"/>
      <c r="I444" s="1670"/>
      <c r="J444" s="1670"/>
      <c r="K444" s="1670"/>
      <c r="L444" s="1670"/>
      <c r="M444" s="1670"/>
      <c r="N444" s="1670"/>
      <c r="O444" s="250"/>
      <c r="P444" s="1279"/>
      <c r="Q444" s="2360"/>
      <c r="R444" s="250"/>
      <c r="S444" s="250"/>
      <c r="T444" s="250"/>
    </row>
    <row r="463" ht="12" customHeight="1"/>
    <row r="467" spans="1:20" ht="13.5" customHeight="1"/>
    <row r="468" spans="1:20" ht="13.5" customHeight="1"/>
    <row r="469" spans="1:20" s="249" customFormat="1" ht="12" customHeight="1">
      <c r="A469" s="250"/>
      <c r="B469" s="250"/>
      <c r="C469" s="250"/>
      <c r="D469" s="250"/>
      <c r="E469" s="250"/>
      <c r="F469" s="250"/>
      <c r="G469" s="1670"/>
      <c r="H469" s="1670"/>
      <c r="I469" s="1670"/>
      <c r="J469" s="1670"/>
      <c r="K469" s="1670"/>
      <c r="L469" s="1670"/>
      <c r="M469" s="1670"/>
      <c r="N469" s="1670"/>
      <c r="O469" s="250"/>
      <c r="P469" s="1279"/>
      <c r="Q469" s="2360"/>
      <c r="R469" s="250"/>
      <c r="S469" s="250"/>
      <c r="T469" s="250"/>
    </row>
    <row r="470" spans="1:20" s="249" customFormat="1" ht="12" customHeight="1">
      <c r="A470" s="250"/>
      <c r="B470" s="250"/>
      <c r="C470" s="250"/>
      <c r="D470" s="250"/>
      <c r="E470" s="250"/>
      <c r="F470" s="250"/>
      <c r="G470" s="1670"/>
      <c r="H470" s="1670"/>
      <c r="I470" s="1670"/>
      <c r="J470" s="1670"/>
      <c r="K470" s="1670"/>
      <c r="L470" s="1670"/>
      <c r="M470" s="1670"/>
      <c r="N470" s="1670"/>
      <c r="O470" s="250"/>
      <c r="P470" s="1279"/>
      <c r="Q470" s="2360"/>
      <c r="R470" s="250"/>
      <c r="S470" s="250"/>
      <c r="T470" s="250"/>
    </row>
    <row r="493" spans="1:20" ht="13.5" customHeight="1"/>
    <row r="494" spans="1:20" ht="13.5" customHeight="1"/>
    <row r="495" spans="1:20" s="249" customFormat="1" ht="12" customHeight="1">
      <c r="A495" s="250"/>
      <c r="B495" s="250"/>
      <c r="C495" s="250"/>
      <c r="D495" s="250"/>
      <c r="E495" s="250"/>
      <c r="F495" s="250"/>
      <c r="G495" s="1670"/>
      <c r="H495" s="1670"/>
      <c r="I495" s="1670"/>
      <c r="J495" s="1670"/>
      <c r="K495" s="1670"/>
      <c r="L495" s="1670"/>
      <c r="M495" s="1670"/>
      <c r="N495" s="1670"/>
      <c r="O495" s="250"/>
      <c r="P495" s="1279"/>
      <c r="Q495" s="2360"/>
      <c r="R495" s="250"/>
      <c r="S495" s="250"/>
      <c r="T495" s="250"/>
    </row>
    <row r="496" spans="1:20" s="249" customFormat="1" ht="12" customHeight="1">
      <c r="A496" s="250"/>
      <c r="B496" s="250"/>
      <c r="C496" s="250"/>
      <c r="D496" s="250"/>
      <c r="E496" s="250"/>
      <c r="F496" s="250"/>
      <c r="G496" s="1670"/>
      <c r="H496" s="1670"/>
      <c r="I496" s="1670"/>
      <c r="J496" s="1670"/>
      <c r="K496" s="1670"/>
      <c r="L496" s="1670"/>
      <c r="M496" s="1670"/>
      <c r="N496" s="1670"/>
      <c r="O496" s="250"/>
      <c r="P496" s="1279"/>
      <c r="Q496" s="2360"/>
      <c r="R496" s="250"/>
      <c r="S496" s="250"/>
      <c r="T496" s="250"/>
    </row>
    <row r="497" spans="1:20" s="249" customFormat="1" ht="12" customHeight="1">
      <c r="A497" s="250"/>
      <c r="B497" s="250"/>
      <c r="C497" s="250"/>
      <c r="D497" s="250"/>
      <c r="E497" s="250"/>
      <c r="F497" s="250"/>
      <c r="G497" s="1670"/>
      <c r="H497" s="1670"/>
      <c r="I497" s="1670"/>
      <c r="J497" s="1670"/>
      <c r="K497" s="1670"/>
      <c r="L497" s="1670"/>
      <c r="M497" s="1670"/>
      <c r="N497" s="1670"/>
      <c r="O497" s="250"/>
      <c r="P497" s="1279"/>
      <c r="Q497" s="2360"/>
      <c r="R497" s="250"/>
      <c r="S497" s="250"/>
      <c r="T497" s="250"/>
    </row>
    <row r="498" spans="1:20" s="249" customFormat="1" ht="12" customHeight="1">
      <c r="A498" s="250"/>
      <c r="B498" s="250"/>
      <c r="C498" s="250"/>
      <c r="D498" s="250"/>
      <c r="E498" s="250"/>
      <c r="F498" s="250"/>
      <c r="G498" s="1670"/>
      <c r="H498" s="1670"/>
      <c r="I498" s="1670"/>
      <c r="J498" s="1670"/>
      <c r="K498" s="1670"/>
      <c r="L498" s="1670"/>
      <c r="M498" s="1670"/>
      <c r="N498" s="1670"/>
      <c r="O498" s="250"/>
      <c r="P498" s="1279"/>
      <c r="Q498" s="2360"/>
      <c r="R498" s="250"/>
      <c r="S498" s="250"/>
      <c r="T498" s="250"/>
    </row>
    <row r="499" spans="1:20" s="249" customFormat="1" ht="12" customHeight="1">
      <c r="A499" s="250"/>
      <c r="B499" s="250"/>
      <c r="C499" s="250"/>
      <c r="D499" s="250"/>
      <c r="E499" s="250"/>
      <c r="F499" s="250"/>
      <c r="G499" s="1670"/>
      <c r="H499" s="1670"/>
      <c r="I499" s="1670"/>
      <c r="J499" s="1670"/>
      <c r="K499" s="1670"/>
      <c r="L499" s="1670"/>
      <c r="M499" s="1670"/>
      <c r="N499" s="1670"/>
      <c r="O499" s="250"/>
      <c r="P499" s="1279"/>
      <c r="Q499" s="2360"/>
      <c r="R499" s="250"/>
      <c r="S499" s="250"/>
      <c r="T499" s="250"/>
    </row>
    <row r="522" ht="13.5" customHeight="1"/>
    <row r="523" ht="13.5" customHeight="1"/>
  </sheetData>
  <mergeCells count="8">
    <mergeCell ref="L4:L5"/>
    <mergeCell ref="M4:M5"/>
    <mergeCell ref="A4:A5"/>
    <mergeCell ref="B4:B5"/>
    <mergeCell ref="C4:C5"/>
    <mergeCell ref="D4:D5"/>
    <mergeCell ref="E4:F5"/>
    <mergeCell ref="G4:G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80" firstPageNumber="78" orientation="portrait" useFirstPageNumber="1" r:id="rId1"/>
  <headerFooter differentOddEven="1" scaleWithDoc="0"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6"/>
  <sheetViews>
    <sheetView showGridLines="0" view="pageBreakPreview" zoomScaleNormal="100" zoomScaleSheetLayoutView="100" workbookViewId="0">
      <pane xSplit="2" ySplit="6" topLeftCell="C7" activePane="bottomRight" state="frozen"/>
      <selection pane="topRight"/>
      <selection pane="bottomLeft"/>
      <selection pane="bottomRight" activeCell="D5" sqref="D5"/>
    </sheetView>
  </sheetViews>
  <sheetFormatPr defaultColWidth="9" defaultRowHeight="16.5"/>
  <cols>
    <col min="1" max="1" width="9.875" style="12" customWidth="1"/>
    <col min="2" max="2" width="5.375" style="12" customWidth="1"/>
    <col min="3" max="6" width="11.375" style="12" customWidth="1"/>
    <col min="7" max="7" width="10.625" style="12" customWidth="1"/>
    <col min="8" max="8" width="11.375" style="12" customWidth="1"/>
    <col min="9" max="9" width="10.625" style="12" customWidth="1"/>
    <col min="10" max="10" width="6.5" style="12" hidden="1" customWidth="1"/>
    <col min="11" max="13" width="10" style="12" customWidth="1"/>
    <col min="14" max="14" width="14.375" style="12" customWidth="1"/>
    <col min="15" max="21" width="10" style="12" customWidth="1"/>
    <col min="22" max="22" width="0.875" style="12" customWidth="1"/>
    <col min="23" max="28" width="10" style="12" customWidth="1"/>
    <col min="29" max="29" width="2.125" style="12" customWidth="1"/>
    <col min="30" max="36" width="10" style="12" customWidth="1"/>
    <col min="37" max="37" width="6.875" style="12" customWidth="1"/>
    <col min="38" max="43" width="10" style="12" customWidth="1"/>
    <col min="44" max="44" width="3.625" style="12" customWidth="1"/>
    <col min="45" max="53" width="10" style="12" customWidth="1"/>
    <col min="54" max="54" width="1.875" style="12" customWidth="1"/>
    <col min="55" max="62" width="10" style="12" customWidth="1"/>
    <col min="63" max="63" width="9.625" style="12" customWidth="1"/>
    <col min="64" max="66" width="10" style="12" customWidth="1"/>
    <col min="67" max="67" width="4.75" style="12" customWidth="1"/>
    <col min="68" max="73" width="10" style="12" customWidth="1"/>
    <col min="74" max="74" width="5.125" style="12" customWidth="1"/>
    <col min="75" max="82" width="10" style="12" customWidth="1"/>
    <col min="83" max="83" width="4.125" style="12" customWidth="1"/>
    <col min="84" max="86" width="10" style="12" customWidth="1"/>
    <col min="87" max="87" width="7.5" style="12" customWidth="1"/>
    <col min="88" max="88" width="3.25" style="12" customWidth="1"/>
    <col min="89" max="92" width="10" style="12" customWidth="1"/>
    <col min="93" max="93" width="9.125" style="12" customWidth="1"/>
    <col min="94" max="98" width="10" style="12" customWidth="1"/>
    <col min="99" max="99" width="0.75" style="12" customWidth="1"/>
    <col min="100" max="106" width="10" style="12" customWidth="1"/>
    <col min="107" max="107" width="6" style="12" customWidth="1"/>
    <col min="108" max="112" width="10" style="12" customWidth="1"/>
    <col min="113" max="113" width="8.25" style="12" customWidth="1"/>
    <col min="114" max="114" width="10" style="12" customWidth="1"/>
    <col min="115" max="115" width="8.375" style="12" customWidth="1"/>
    <col min="116" max="123" width="10" style="12" customWidth="1"/>
    <col min="124" max="124" width="4.75" style="12" customWidth="1"/>
    <col min="125" max="134" width="10" style="12" customWidth="1"/>
    <col min="135" max="135" width="7.5" style="12" customWidth="1"/>
    <col min="136" max="136" width="10" style="12" customWidth="1"/>
    <col min="137" max="137" width="4.875" style="12" customWidth="1"/>
    <col min="138" max="144" width="10" style="12" customWidth="1"/>
    <col min="145" max="145" width="0.375" style="12" customWidth="1"/>
    <col min="146" max="148" width="10" style="12" customWidth="1"/>
    <col min="149" max="149" width="5.5" style="12" customWidth="1"/>
    <col min="150" max="152" width="10" style="12" customWidth="1"/>
    <col min="153" max="153" width="2.5" style="12" customWidth="1"/>
    <col min="154" max="154" width="2.375" style="12" customWidth="1"/>
    <col min="155" max="197" width="9" style="12" customWidth="1"/>
    <col min="198" max="203" width="10" style="12" customWidth="1"/>
    <col min="204" max="211" width="9" style="12" customWidth="1"/>
    <col min="212" max="217" width="10" style="12" customWidth="1"/>
    <col min="218" max="225" width="9" style="12" customWidth="1"/>
    <col min="226" max="232" width="10" style="12" customWidth="1"/>
    <col min="233" max="234" width="9" style="12" customWidth="1"/>
    <col min="235" max="243" width="10" style="12" customWidth="1"/>
    <col min="244" max="16384" width="9" style="12"/>
  </cols>
  <sheetData>
    <row r="1" spans="1:13" s="937" customFormat="1" ht="26.25">
      <c r="A1" s="548" t="s">
        <v>1328</v>
      </c>
    </row>
    <row r="2" spans="1:13" ht="17.25">
      <c r="A2" s="1947" t="s">
        <v>1329</v>
      </c>
      <c r="B2" s="1947"/>
    </row>
    <row r="3" spans="1:13" ht="15" customHeight="1">
      <c r="J3" s="576"/>
    </row>
    <row r="4" spans="1:13" s="1564" customFormat="1" ht="12.75" customHeight="1">
      <c r="A4" s="2452"/>
      <c r="B4" s="2453"/>
      <c r="C4" s="554"/>
      <c r="D4" s="2454"/>
      <c r="E4" s="2454"/>
      <c r="F4" s="2936" t="s">
        <v>1300</v>
      </c>
      <c r="G4" s="2936" t="s">
        <v>1330</v>
      </c>
      <c r="H4" s="2936" t="s">
        <v>1331</v>
      </c>
      <c r="I4" s="3122" t="s">
        <v>1332</v>
      </c>
      <c r="J4" s="2455" t="s">
        <v>1123</v>
      </c>
      <c r="K4" s="2828"/>
    </row>
    <row r="5" spans="1:13" s="1564" customFormat="1" ht="12.75" customHeight="1">
      <c r="A5" s="3123" t="s">
        <v>1333</v>
      </c>
      <c r="B5" s="3124"/>
      <c r="C5" s="1041" t="s">
        <v>495</v>
      </c>
      <c r="D5" s="2456" t="s">
        <v>1279</v>
      </c>
      <c r="E5" s="2456" t="s">
        <v>1323</v>
      </c>
      <c r="F5" s="3002"/>
      <c r="G5" s="3002"/>
      <c r="H5" s="3121"/>
      <c r="I5" s="3000"/>
      <c r="J5" s="2457" t="s">
        <v>70</v>
      </c>
      <c r="K5" s="3125"/>
      <c r="L5" s="2458"/>
    </row>
    <row r="6" spans="1:13" s="1564" customFormat="1" ht="7.5" customHeight="1">
      <c r="A6" s="2459"/>
      <c r="B6" s="2460"/>
      <c r="C6" s="2461"/>
      <c r="D6" s="2462"/>
      <c r="E6" s="2462"/>
      <c r="F6" s="2867"/>
      <c r="G6" s="2867"/>
      <c r="H6" s="2869"/>
      <c r="I6" s="2871"/>
      <c r="J6" s="2460" t="s">
        <v>1123</v>
      </c>
      <c r="K6" s="3125"/>
      <c r="L6" s="2458"/>
    </row>
    <row r="7" spans="1:13" s="537" customFormat="1" ht="20.100000000000001" customHeight="1">
      <c r="A7" s="2463" t="s">
        <v>1334</v>
      </c>
      <c r="B7" s="2464" t="s">
        <v>1335</v>
      </c>
      <c r="C7" s="2465">
        <v>136268</v>
      </c>
      <c r="D7" s="2466">
        <v>96487</v>
      </c>
      <c r="E7" s="2466">
        <v>83052</v>
      </c>
      <c r="F7" s="2466">
        <v>53216</v>
      </c>
      <c r="G7" s="2467">
        <v>64.075999999999993</v>
      </c>
      <c r="H7" s="2466">
        <v>13435</v>
      </c>
      <c r="I7" s="2468">
        <v>16.177</v>
      </c>
      <c r="J7" s="2469" t="e">
        <f>#REF!/E7*100</f>
        <v>#REF!</v>
      </c>
      <c r="K7" s="2829"/>
      <c r="L7" s="2830"/>
      <c r="M7" s="2831"/>
    </row>
    <row r="8" spans="1:13" s="14" customFormat="1" ht="20.100000000000001" customHeight="1">
      <c r="A8" s="2463" t="s">
        <v>1336</v>
      </c>
      <c r="B8" s="2464" t="s">
        <v>1337</v>
      </c>
      <c r="C8" s="2473">
        <v>136268</v>
      </c>
      <c r="D8" s="2474">
        <v>94957</v>
      </c>
      <c r="E8" s="2474">
        <v>80829</v>
      </c>
      <c r="F8" s="2474">
        <v>55439</v>
      </c>
      <c r="G8" s="2475">
        <v>68.587999999999994</v>
      </c>
      <c r="H8" s="2474">
        <v>14128</v>
      </c>
      <c r="I8" s="2476">
        <v>17.478999999999999</v>
      </c>
      <c r="J8" s="2477" t="e">
        <f>#REF!/E8*100</f>
        <v>#REF!</v>
      </c>
      <c r="K8" s="2470"/>
      <c r="L8" s="2471"/>
      <c r="M8" s="2472"/>
    </row>
    <row r="9" spans="1:13" ht="20.100000000000001" customHeight="1">
      <c r="A9" s="2463" t="s">
        <v>1338</v>
      </c>
      <c r="B9" s="2464" t="s">
        <v>1339</v>
      </c>
      <c r="C9" s="2473">
        <v>136268</v>
      </c>
      <c r="D9" s="2474">
        <v>92219</v>
      </c>
      <c r="E9" s="2474">
        <v>67989</v>
      </c>
      <c r="F9" s="2474">
        <v>68279</v>
      </c>
      <c r="G9" s="2475">
        <v>100.42700000000001</v>
      </c>
      <c r="H9" s="2474">
        <v>24230</v>
      </c>
      <c r="I9" s="2476">
        <v>35.637999999999998</v>
      </c>
      <c r="J9" s="2477" t="e">
        <f>#REF!/E9*100</f>
        <v>#REF!</v>
      </c>
      <c r="K9" s="2470"/>
      <c r="L9" s="2471"/>
      <c r="M9" s="2472"/>
    </row>
    <row r="10" spans="1:13" ht="20.100000000000001" customHeight="1">
      <c r="A10" s="2463" t="s">
        <v>1340</v>
      </c>
      <c r="B10" s="2464" t="s">
        <v>1341</v>
      </c>
      <c r="C10" s="2473">
        <v>136268</v>
      </c>
      <c r="D10" s="2474">
        <v>94440</v>
      </c>
      <c r="E10" s="2474">
        <v>67707</v>
      </c>
      <c r="F10" s="2474">
        <v>68561</v>
      </c>
      <c r="G10" s="2475">
        <v>101.261</v>
      </c>
      <c r="H10" s="2474">
        <v>26733</v>
      </c>
      <c r="I10" s="2476">
        <v>39.482999999999997</v>
      </c>
      <c r="J10" s="2477" t="e">
        <f>#REF!/E10*100</f>
        <v>#REF!</v>
      </c>
      <c r="K10" s="2470"/>
      <c r="L10" s="2471"/>
      <c r="M10" s="2472"/>
    </row>
    <row r="11" spans="1:13" ht="20.100000000000001" customHeight="1">
      <c r="A11" s="2463" t="s">
        <v>1342</v>
      </c>
      <c r="B11" s="2464" t="s">
        <v>1343</v>
      </c>
      <c r="C11" s="2473">
        <v>136268</v>
      </c>
      <c r="D11" s="2474">
        <v>96977</v>
      </c>
      <c r="E11" s="2474">
        <v>83990</v>
      </c>
      <c r="F11" s="2474">
        <v>52278</v>
      </c>
      <c r="G11" s="2475">
        <v>62.243000000000002</v>
      </c>
      <c r="H11" s="2474">
        <v>12987</v>
      </c>
      <c r="I11" s="2476">
        <v>15.462999999999999</v>
      </c>
      <c r="J11" s="2477"/>
      <c r="K11" s="2470"/>
      <c r="L11" s="2478"/>
      <c r="M11" s="2472"/>
    </row>
    <row r="12" spans="1:13" ht="20.100000000000001" customHeight="1">
      <c r="A12" s="2463" t="s">
        <v>1344</v>
      </c>
      <c r="B12" s="2464" t="s">
        <v>1345</v>
      </c>
      <c r="C12" s="2473">
        <v>136268</v>
      </c>
      <c r="D12" s="2474">
        <v>97332</v>
      </c>
      <c r="E12" s="2474">
        <v>84058</v>
      </c>
      <c r="F12" s="2474">
        <v>52210</v>
      </c>
      <c r="G12" s="2475">
        <v>62.112000000000002</v>
      </c>
      <c r="H12" s="2474">
        <v>13274</v>
      </c>
      <c r="I12" s="2476">
        <v>15.791</v>
      </c>
      <c r="J12" s="2477"/>
      <c r="K12" s="2470"/>
      <c r="L12" s="2478"/>
      <c r="M12" s="2472"/>
    </row>
    <row r="13" spans="1:13" ht="20.100000000000001" customHeight="1">
      <c r="A13" s="2463" t="s">
        <v>1346</v>
      </c>
      <c r="B13" s="2464" t="s">
        <v>1347</v>
      </c>
      <c r="C13" s="2473">
        <v>137861</v>
      </c>
      <c r="D13" s="2474">
        <v>96563</v>
      </c>
      <c r="E13" s="2474">
        <v>82135</v>
      </c>
      <c r="F13" s="2474">
        <v>55726</v>
      </c>
      <c r="G13" s="2475">
        <v>67.846999999999994</v>
      </c>
      <c r="H13" s="2474">
        <v>14428</v>
      </c>
      <c r="I13" s="2476">
        <v>17.565999999999999</v>
      </c>
      <c r="J13" s="2477"/>
      <c r="K13" s="2470"/>
      <c r="L13" s="2478"/>
      <c r="M13" s="2472"/>
    </row>
    <row r="14" spans="1:13" ht="20.100000000000001" customHeight="1">
      <c r="A14" s="2463" t="s">
        <v>1348</v>
      </c>
      <c r="B14" s="2464" t="s">
        <v>1335</v>
      </c>
      <c r="C14" s="2473">
        <v>137861</v>
      </c>
      <c r="D14" s="2474">
        <v>97385</v>
      </c>
      <c r="E14" s="2474">
        <v>81462</v>
      </c>
      <c r="F14" s="2474">
        <v>56399</v>
      </c>
      <c r="G14" s="2475">
        <v>69.233999999999995</v>
      </c>
      <c r="H14" s="2474">
        <v>15923</v>
      </c>
      <c r="I14" s="2476">
        <v>19.547000000000001</v>
      </c>
      <c r="J14" s="2477" t="e">
        <f>#REF!/E14*100</f>
        <v>#REF!</v>
      </c>
      <c r="K14" s="2470"/>
      <c r="L14" s="2478"/>
      <c r="M14" s="2472"/>
    </row>
    <row r="15" spans="1:13" ht="20.100000000000001" customHeight="1">
      <c r="A15" s="2463" t="s">
        <v>1349</v>
      </c>
      <c r="B15" s="2464" t="s">
        <v>1337</v>
      </c>
      <c r="C15" s="2473">
        <v>137861</v>
      </c>
      <c r="D15" s="2474">
        <v>97136</v>
      </c>
      <c r="E15" s="2474">
        <v>82223</v>
      </c>
      <c r="F15" s="2474">
        <v>55638</v>
      </c>
      <c r="G15" s="2475">
        <v>67.667000000000002</v>
      </c>
      <c r="H15" s="2474">
        <v>14913</v>
      </c>
      <c r="I15" s="2476">
        <v>18.137</v>
      </c>
      <c r="J15" s="2477" t="e">
        <f>#REF!/E15*100</f>
        <v>#REF!</v>
      </c>
      <c r="K15" s="2470"/>
      <c r="L15" s="2478"/>
      <c r="M15" s="2472"/>
    </row>
    <row r="16" spans="1:13" ht="20.100000000000001" customHeight="1">
      <c r="A16" s="2463" t="s">
        <v>1350</v>
      </c>
      <c r="B16" s="2464" t="s">
        <v>1339</v>
      </c>
      <c r="C16" s="2473">
        <v>137861</v>
      </c>
      <c r="D16" s="2474">
        <v>93012</v>
      </c>
      <c r="E16" s="2474">
        <v>67446</v>
      </c>
      <c r="F16" s="2474">
        <v>70415</v>
      </c>
      <c r="G16" s="2475">
        <v>104.402</v>
      </c>
      <c r="H16" s="2474">
        <v>25566</v>
      </c>
      <c r="I16" s="2476">
        <v>37.905999999999999</v>
      </c>
      <c r="J16" s="2477" t="e">
        <f>#REF!/E16*100</f>
        <v>#REF!</v>
      </c>
      <c r="K16" s="2470"/>
      <c r="L16" s="2478"/>
      <c r="M16" s="2472"/>
    </row>
    <row r="17" spans="1:14" ht="20.100000000000001" customHeight="1">
      <c r="A17" s="2463" t="s">
        <v>1351</v>
      </c>
      <c r="B17" s="2464" t="s">
        <v>1341</v>
      </c>
      <c r="C17" s="2473">
        <v>137861</v>
      </c>
      <c r="D17" s="2474">
        <v>96222</v>
      </c>
      <c r="E17" s="2474">
        <v>65907</v>
      </c>
      <c r="F17" s="2474">
        <v>71954</v>
      </c>
      <c r="G17" s="2475">
        <v>109.175</v>
      </c>
      <c r="H17" s="2474">
        <v>30315</v>
      </c>
      <c r="I17" s="2476">
        <v>45.997</v>
      </c>
      <c r="J17" s="2479" t="e">
        <f>#REF!/E17*100</f>
        <v>#REF!</v>
      </c>
      <c r="K17" s="2470"/>
      <c r="L17" s="2478"/>
      <c r="M17" s="2472"/>
    </row>
    <row r="18" spans="1:14" s="14" customFormat="1" ht="20.100000000000001" customHeight="1">
      <c r="A18" s="2463" t="s">
        <v>1352</v>
      </c>
      <c r="B18" s="2464" t="s">
        <v>1343</v>
      </c>
      <c r="C18" s="2473">
        <v>137861</v>
      </c>
      <c r="D18" s="2474">
        <v>97985</v>
      </c>
      <c r="E18" s="2474">
        <v>83311</v>
      </c>
      <c r="F18" s="2474">
        <v>54550</v>
      </c>
      <c r="G18" s="2475">
        <v>65.477999999999994</v>
      </c>
      <c r="H18" s="2474">
        <v>14674</v>
      </c>
      <c r="I18" s="2476">
        <v>17.614000000000001</v>
      </c>
      <c r="J18" s="2477" t="e">
        <f>#REF!/E18*100</f>
        <v>#REF!</v>
      </c>
      <c r="K18" s="2470"/>
      <c r="L18" s="2478"/>
      <c r="M18" s="2472"/>
    </row>
    <row r="19" spans="1:14" ht="20.100000000000001" customHeight="1">
      <c r="A19" s="2463" t="s">
        <v>1353</v>
      </c>
      <c r="B19" s="2464" t="s">
        <v>1345</v>
      </c>
      <c r="C19" s="2473">
        <v>137861</v>
      </c>
      <c r="D19" s="2474">
        <v>98308</v>
      </c>
      <c r="E19" s="2474">
        <v>85195</v>
      </c>
      <c r="F19" s="2474">
        <v>52666</v>
      </c>
      <c r="G19" s="2475">
        <v>61.817999999999998</v>
      </c>
      <c r="H19" s="2474">
        <v>13113</v>
      </c>
      <c r="I19" s="2476">
        <v>15.391999999999999</v>
      </c>
      <c r="J19" s="2477" t="e">
        <f>#REF!/E19*100</f>
        <v>#REF!</v>
      </c>
      <c r="K19" s="2470"/>
      <c r="L19" s="2478"/>
      <c r="M19" s="2472"/>
    </row>
    <row r="20" spans="1:14" s="14" customFormat="1" ht="20.100000000000001" customHeight="1">
      <c r="A20" s="2463" t="s">
        <v>1354</v>
      </c>
      <c r="B20" s="2464" t="s">
        <v>1347</v>
      </c>
      <c r="C20" s="2473">
        <v>137875</v>
      </c>
      <c r="D20" s="2474">
        <v>100637</v>
      </c>
      <c r="E20" s="2474">
        <v>90128</v>
      </c>
      <c r="F20" s="2474">
        <v>47747</v>
      </c>
      <c r="G20" s="2475">
        <v>52.976999999999997</v>
      </c>
      <c r="H20" s="2474">
        <v>10509</v>
      </c>
      <c r="I20" s="2476">
        <v>11.66</v>
      </c>
      <c r="J20" s="2477" t="e">
        <f>#REF!/E20*100</f>
        <v>#REF!</v>
      </c>
      <c r="K20" s="2470"/>
      <c r="L20" s="2478"/>
      <c r="M20" s="2472"/>
    </row>
    <row r="21" spans="1:14" s="14" customFormat="1" ht="20.100000000000001" customHeight="1">
      <c r="A21" s="2463" t="s">
        <v>1355</v>
      </c>
      <c r="B21" s="2464" t="s">
        <v>1335</v>
      </c>
      <c r="C21" s="2473">
        <v>137875</v>
      </c>
      <c r="D21" s="2474">
        <v>102168</v>
      </c>
      <c r="E21" s="2474">
        <v>88874</v>
      </c>
      <c r="F21" s="2474">
        <v>49001</v>
      </c>
      <c r="G21" s="2475">
        <v>55.134999999999998</v>
      </c>
      <c r="H21" s="2474">
        <v>13294</v>
      </c>
      <c r="I21" s="2476">
        <v>14.958</v>
      </c>
      <c r="J21" s="2477" t="e">
        <f>#REF!/E21*100</f>
        <v>#REF!</v>
      </c>
      <c r="K21" s="2470"/>
      <c r="L21" s="2478"/>
    </row>
    <row r="22" spans="1:14" s="14" customFormat="1" ht="20.100000000000001" customHeight="1">
      <c r="A22" s="2463" t="s">
        <v>1356</v>
      </c>
      <c r="B22" s="2464" t="s">
        <v>1337</v>
      </c>
      <c r="C22" s="2473">
        <v>137875</v>
      </c>
      <c r="D22" s="2474">
        <v>101510</v>
      </c>
      <c r="E22" s="2474">
        <v>89583</v>
      </c>
      <c r="F22" s="2474">
        <v>48292</v>
      </c>
      <c r="G22" s="2475">
        <v>53.908000000000001</v>
      </c>
      <c r="H22" s="2474">
        <v>11927</v>
      </c>
      <c r="I22" s="2476">
        <v>13.314</v>
      </c>
      <c r="J22" s="2477"/>
      <c r="K22" s="2470"/>
      <c r="L22" s="2478"/>
    </row>
    <row r="23" spans="1:14" ht="20.100000000000001" customHeight="1">
      <c r="A23" s="2463" t="s">
        <v>1357</v>
      </c>
      <c r="B23" s="2464" t="s">
        <v>1339</v>
      </c>
      <c r="C23" s="2473">
        <v>137875</v>
      </c>
      <c r="D23" s="2474">
        <v>101175</v>
      </c>
      <c r="E23" s="2474">
        <v>74303</v>
      </c>
      <c r="F23" s="2474">
        <v>63572</v>
      </c>
      <c r="G23" s="2475">
        <v>85.558000000000007</v>
      </c>
      <c r="H23" s="2474">
        <v>26872</v>
      </c>
      <c r="I23" s="2476">
        <v>36.164999999999999</v>
      </c>
      <c r="J23" s="2477" t="e">
        <f>#REF!/E23*100</f>
        <v>#REF!</v>
      </c>
      <c r="K23" s="2470"/>
      <c r="L23" s="2478"/>
      <c r="N23" s="2117"/>
    </row>
    <row r="24" spans="1:14" s="14" customFormat="1" ht="20.100000000000001" customHeight="1">
      <c r="A24" s="2463" t="s">
        <v>1358</v>
      </c>
      <c r="B24" s="2464" t="s">
        <v>1341</v>
      </c>
      <c r="C24" s="2473">
        <v>137875</v>
      </c>
      <c r="D24" s="2474">
        <v>101564</v>
      </c>
      <c r="E24" s="2474">
        <v>73852</v>
      </c>
      <c r="F24" s="2474">
        <v>64023</v>
      </c>
      <c r="G24" s="2475">
        <v>86.691000000000003</v>
      </c>
      <c r="H24" s="2474">
        <v>27712</v>
      </c>
      <c r="I24" s="2476">
        <v>37.524000000000001</v>
      </c>
      <c r="J24" s="2480" t="e">
        <f>#REF!/E24*100</f>
        <v>#REF!</v>
      </c>
      <c r="K24" s="2470"/>
      <c r="L24" s="2478"/>
    </row>
    <row r="25" spans="1:14" ht="20.100000000000001" customHeight="1">
      <c r="A25" s="2463" t="s">
        <v>1359</v>
      </c>
      <c r="B25" s="2464" t="s">
        <v>1343</v>
      </c>
      <c r="C25" s="2473">
        <v>137875</v>
      </c>
      <c r="D25" s="2474">
        <v>103828</v>
      </c>
      <c r="E25" s="2474">
        <v>91710</v>
      </c>
      <c r="F25" s="2474">
        <v>46165</v>
      </c>
      <c r="G25" s="2475">
        <v>50.338000000000001</v>
      </c>
      <c r="H25" s="2474">
        <v>12118</v>
      </c>
      <c r="I25" s="2476">
        <v>13.212999999999999</v>
      </c>
      <c r="J25" s="2477" t="e">
        <f>#REF!/E25*100</f>
        <v>#REF!</v>
      </c>
      <c r="K25" s="2470"/>
      <c r="L25" s="2478"/>
    </row>
    <row r="26" spans="1:14" ht="20.100000000000001" customHeight="1">
      <c r="A26" s="2463" t="s">
        <v>1360</v>
      </c>
      <c r="B26" s="2464" t="s">
        <v>1345</v>
      </c>
      <c r="C26" s="2473">
        <v>137875</v>
      </c>
      <c r="D26" s="2474">
        <v>104369</v>
      </c>
      <c r="E26" s="2474">
        <v>90571</v>
      </c>
      <c r="F26" s="2474">
        <v>47304</v>
      </c>
      <c r="G26" s="2475">
        <v>52.228999999999999</v>
      </c>
      <c r="H26" s="2474">
        <v>13798</v>
      </c>
      <c r="I26" s="2476">
        <v>15.234</v>
      </c>
      <c r="J26" s="2477" t="e">
        <f>#REF!/E26*100</f>
        <v>#REF!</v>
      </c>
      <c r="K26" s="2470"/>
      <c r="L26" s="2478"/>
    </row>
    <row r="27" spans="1:14" ht="20.100000000000001" customHeight="1">
      <c r="A27" s="2463" t="s">
        <v>1361</v>
      </c>
      <c r="B27" s="2464" t="s">
        <v>1347</v>
      </c>
      <c r="C27" s="2473">
        <v>137938</v>
      </c>
      <c r="D27" s="2474">
        <v>103274</v>
      </c>
      <c r="E27" s="2474">
        <v>92698</v>
      </c>
      <c r="F27" s="2474">
        <v>45240</v>
      </c>
      <c r="G27" s="2475">
        <v>48.804000000000002</v>
      </c>
      <c r="H27" s="2474">
        <v>10576</v>
      </c>
      <c r="I27" s="2476">
        <v>11.409000000000001</v>
      </c>
      <c r="J27" s="2477" t="e">
        <f>#REF!/E27*100</f>
        <v>#REF!</v>
      </c>
      <c r="K27" s="2470"/>
      <c r="L27" s="2478"/>
    </row>
    <row r="28" spans="1:14" ht="20.100000000000001" customHeight="1">
      <c r="A28" s="2463" t="s">
        <v>1362</v>
      </c>
      <c r="B28" s="2464" t="s">
        <v>1335</v>
      </c>
      <c r="C28" s="2473">
        <v>137938</v>
      </c>
      <c r="D28" s="2474">
        <v>104749</v>
      </c>
      <c r="E28" s="2474">
        <v>92999</v>
      </c>
      <c r="F28" s="2474">
        <v>44939</v>
      </c>
      <c r="G28" s="2475">
        <v>48.322000000000003</v>
      </c>
      <c r="H28" s="2474">
        <v>11750</v>
      </c>
      <c r="I28" s="2476">
        <v>12.635</v>
      </c>
      <c r="J28" s="2477" t="e">
        <f>#REF!/E28*100</f>
        <v>#REF!</v>
      </c>
      <c r="K28" s="2470"/>
      <c r="L28" s="2478"/>
    </row>
    <row r="29" spans="1:14" ht="20.100000000000001" customHeight="1">
      <c r="A29" s="2481" t="s">
        <v>1363</v>
      </c>
      <c r="B29" s="2482" t="s">
        <v>1337</v>
      </c>
      <c r="C29" s="2483">
        <v>137938</v>
      </c>
      <c r="D29" s="2484">
        <v>105628</v>
      </c>
      <c r="E29" s="2484">
        <v>94509</v>
      </c>
      <c r="F29" s="2484">
        <v>43429</v>
      </c>
      <c r="G29" s="2485">
        <v>45.951999999999998</v>
      </c>
      <c r="H29" s="2484">
        <v>11119</v>
      </c>
      <c r="I29" s="2486">
        <v>11.765000000000001</v>
      </c>
      <c r="J29" s="2477"/>
      <c r="K29" s="2470"/>
      <c r="L29" s="2478"/>
    </row>
    <row r="30" spans="1:14" ht="20.100000000000001" customHeight="1">
      <c r="A30" s="2463" t="s">
        <v>1364</v>
      </c>
      <c r="B30" s="2464" t="s">
        <v>1339</v>
      </c>
      <c r="C30" s="2473">
        <v>137938</v>
      </c>
      <c r="D30" s="2474">
        <v>101805</v>
      </c>
      <c r="E30" s="2474">
        <v>75010</v>
      </c>
      <c r="F30" s="2474">
        <v>62928</v>
      </c>
      <c r="G30" s="2475">
        <v>83.893000000000001</v>
      </c>
      <c r="H30" s="2474">
        <v>26795</v>
      </c>
      <c r="I30" s="2476">
        <v>35.722000000000001</v>
      </c>
      <c r="J30" s="2477"/>
      <c r="K30" s="2470"/>
      <c r="L30" s="2478"/>
    </row>
    <row r="31" spans="1:14" ht="20.100000000000001" customHeight="1">
      <c r="A31" s="2463" t="s">
        <v>1365</v>
      </c>
      <c r="B31" s="2464" t="s">
        <v>1341</v>
      </c>
      <c r="C31" s="2473">
        <v>137938</v>
      </c>
      <c r="D31" s="2474">
        <v>103170</v>
      </c>
      <c r="E31" s="2474">
        <v>71213</v>
      </c>
      <c r="F31" s="2474">
        <v>66725</v>
      </c>
      <c r="G31" s="2475">
        <v>93.697999999999993</v>
      </c>
      <c r="H31" s="2474">
        <v>31957</v>
      </c>
      <c r="I31" s="2476">
        <v>44.875</v>
      </c>
      <c r="J31" s="2477"/>
      <c r="K31" s="2470"/>
      <c r="L31" s="2478"/>
    </row>
    <row r="32" spans="1:14" ht="20.100000000000001" customHeight="1">
      <c r="A32" s="2463" t="s">
        <v>1366</v>
      </c>
      <c r="B32" s="2464" t="s">
        <v>1343</v>
      </c>
      <c r="C32" s="2473">
        <v>137938</v>
      </c>
      <c r="D32" s="2474">
        <v>103765</v>
      </c>
      <c r="E32" s="2474">
        <v>89935</v>
      </c>
      <c r="F32" s="2474">
        <v>48003</v>
      </c>
      <c r="G32" s="2475">
        <v>53.375</v>
      </c>
      <c r="H32" s="2474">
        <v>13830</v>
      </c>
      <c r="I32" s="2476">
        <v>15.378</v>
      </c>
      <c r="J32" s="2477"/>
      <c r="K32" s="2470"/>
      <c r="L32" s="2478"/>
    </row>
    <row r="33" spans="1:12" ht="20.100000000000001" customHeight="1">
      <c r="A33" s="2463" t="s">
        <v>1367</v>
      </c>
      <c r="B33" s="2464" t="s">
        <v>1345</v>
      </c>
      <c r="C33" s="2473">
        <v>137938</v>
      </c>
      <c r="D33" s="2474">
        <v>105048</v>
      </c>
      <c r="E33" s="2474">
        <v>89282</v>
      </c>
      <c r="F33" s="2474">
        <v>48656</v>
      </c>
      <c r="G33" s="2475">
        <v>54.497</v>
      </c>
      <c r="H33" s="2474">
        <v>15766</v>
      </c>
      <c r="I33" s="2476">
        <v>17.658999999999999</v>
      </c>
      <c r="J33" s="2477" t="e">
        <f>#REF!/E33*100</f>
        <v>#REF!</v>
      </c>
      <c r="K33" s="2470"/>
      <c r="L33" s="2478"/>
    </row>
    <row r="34" spans="1:12" ht="20.100000000000001" customHeight="1">
      <c r="A34" s="2463" t="s">
        <v>1368</v>
      </c>
      <c r="B34" s="2464" t="s">
        <v>1347</v>
      </c>
      <c r="C34" s="2473">
        <v>138018</v>
      </c>
      <c r="D34" s="2474">
        <v>103841</v>
      </c>
      <c r="E34" s="2474">
        <v>88939</v>
      </c>
      <c r="F34" s="2474">
        <v>49079</v>
      </c>
      <c r="G34" s="2475">
        <v>55.183</v>
      </c>
      <c r="H34" s="2474">
        <v>14902</v>
      </c>
      <c r="I34" s="2476">
        <v>16.754999999999999</v>
      </c>
      <c r="J34" s="2477"/>
      <c r="K34" s="2470"/>
      <c r="L34" s="2478"/>
    </row>
    <row r="35" spans="1:12" ht="20.100000000000001" customHeight="1">
      <c r="A35" s="2463" t="s">
        <v>1369</v>
      </c>
      <c r="B35" s="2464" t="s">
        <v>1335</v>
      </c>
      <c r="C35" s="2473">
        <v>138018</v>
      </c>
      <c r="D35" s="2474">
        <v>103136</v>
      </c>
      <c r="E35" s="2474">
        <v>86768</v>
      </c>
      <c r="F35" s="2474">
        <v>51250</v>
      </c>
      <c r="G35" s="2475">
        <v>59.066000000000003</v>
      </c>
      <c r="H35" s="2474">
        <v>16368</v>
      </c>
      <c r="I35" s="2476">
        <v>18.864000000000001</v>
      </c>
      <c r="J35" s="2477"/>
      <c r="K35" s="2470"/>
      <c r="L35" s="2478"/>
    </row>
    <row r="36" spans="1:12" ht="20.100000000000001" customHeight="1">
      <c r="A36" s="2463" t="s">
        <v>1370</v>
      </c>
      <c r="B36" s="2464" t="s">
        <v>1337</v>
      </c>
      <c r="C36" s="2473">
        <v>138018</v>
      </c>
      <c r="D36" s="2474">
        <v>104511</v>
      </c>
      <c r="E36" s="2474">
        <v>83307</v>
      </c>
      <c r="F36" s="2474">
        <v>54711</v>
      </c>
      <c r="G36" s="2475">
        <v>65.674000000000007</v>
      </c>
      <c r="H36" s="2474">
        <v>21204</v>
      </c>
      <c r="I36" s="2476">
        <v>25.452999999999999</v>
      </c>
      <c r="J36" s="2477"/>
      <c r="K36" s="2470"/>
      <c r="L36" s="2478"/>
    </row>
    <row r="37" spans="1:12" ht="20.100000000000001" customHeight="1">
      <c r="A37" s="2487" t="s">
        <v>1371</v>
      </c>
      <c r="B37" s="2488" t="s">
        <v>1339</v>
      </c>
      <c r="C37" s="2489">
        <v>138018</v>
      </c>
      <c r="D37" s="2490">
        <v>102234</v>
      </c>
      <c r="E37" s="2490">
        <v>68466</v>
      </c>
      <c r="F37" s="2490">
        <v>69552</v>
      </c>
      <c r="G37" s="2491">
        <v>101.586</v>
      </c>
      <c r="H37" s="2490">
        <v>33768</v>
      </c>
      <c r="I37" s="2492">
        <v>49.320999999999998</v>
      </c>
      <c r="J37" s="2477"/>
      <c r="K37" s="2470"/>
      <c r="L37" s="2478"/>
    </row>
    <row r="38" spans="1:12" ht="3.75" customHeight="1">
      <c r="A38" s="638"/>
      <c r="B38" s="1992"/>
      <c r="C38" s="2493"/>
      <c r="D38" s="2493"/>
      <c r="E38" s="2493"/>
      <c r="F38" s="2493"/>
      <c r="G38" s="2493"/>
      <c r="H38" s="2493"/>
      <c r="I38" s="2030"/>
      <c r="J38" s="2030"/>
    </row>
    <row r="39" spans="1:12" ht="14.1" customHeight="1">
      <c r="A39" s="305" t="s">
        <v>1372</v>
      </c>
    </row>
    <row r="40" spans="1:12" ht="9" customHeight="1">
      <c r="A40" s="638"/>
    </row>
    <row r="41" spans="1:12" s="1395" customFormat="1" ht="10.5" customHeight="1">
      <c r="A41" s="638"/>
      <c r="B41" s="12"/>
      <c r="C41" s="12"/>
      <c r="D41" s="12"/>
      <c r="E41" s="12"/>
      <c r="F41" s="12"/>
      <c r="G41" s="12"/>
      <c r="H41" s="12"/>
      <c r="I41" s="12"/>
      <c r="J41" s="12"/>
    </row>
    <row r="42" spans="1:12" ht="9.9499999999999993" customHeight="1">
      <c r="A42" s="2494"/>
      <c r="B42" s="1395"/>
      <c r="C42" s="1395"/>
      <c r="D42" s="1395"/>
      <c r="E42" s="1395"/>
      <c r="F42" s="309"/>
      <c r="G42" s="309"/>
      <c r="H42" s="1395"/>
      <c r="I42" s="1395"/>
      <c r="J42" s="2495"/>
    </row>
    <row r="43" spans="1:12" s="249" customFormat="1" ht="17.25" customHeight="1">
      <c r="A43" s="12"/>
      <c r="B43" s="12"/>
      <c r="C43" s="12"/>
      <c r="D43" s="12"/>
      <c r="E43" s="2496"/>
      <c r="F43" s="12"/>
      <c r="G43" s="12"/>
      <c r="H43" s="12"/>
      <c r="I43" s="12"/>
      <c r="J43" s="12"/>
    </row>
    <row r="44" spans="1:12">
      <c r="A44" s="249"/>
      <c r="B44" s="307"/>
      <c r="C44" s="1280"/>
      <c r="D44" s="1992"/>
      <c r="E44" s="2497"/>
      <c r="F44" s="2498"/>
      <c r="G44" s="2498"/>
      <c r="H44" s="249"/>
      <c r="I44" s="249"/>
      <c r="J44" s="1280"/>
    </row>
    <row r="46" spans="1:12">
      <c r="E46" s="2499"/>
    </row>
  </sheetData>
  <mergeCells count="6">
    <mergeCell ref="K5:K6"/>
    <mergeCell ref="F4:F6"/>
    <mergeCell ref="G4:G6"/>
    <mergeCell ref="H4:H6"/>
    <mergeCell ref="I4:I6"/>
    <mergeCell ref="A5:B5"/>
  </mergeCells>
  <phoneticPr fontId="3" type="noConversion"/>
  <printOptions horizontalCentered="1"/>
  <pageMargins left="0.94488188976377963" right="0.94488188976377963" top="1.1811023622047245" bottom="0.78740157480314965" header="0" footer="0"/>
  <pageSetup paperSize="9" scale="80" firstPageNumber="79" orientation="portrait" useFirstPageNumber="1" r:id="rId1"/>
  <headerFooter differentOddEven="1" scaleWithDoc="0" alignWithMargins="0"/>
  <rowBreaks count="1" manualBreakCount="1">
    <brk id="39" max="9" man="1"/>
  </rowBreaks>
  <colBreaks count="1" manualBreakCount="1">
    <brk id="9" max="38" man="1"/>
  </colBreaks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332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8.75" style="249" customWidth="1"/>
    <col min="2" max="2" width="5.25" style="249" customWidth="1"/>
    <col min="3" max="3" width="7.125" style="249" customWidth="1"/>
    <col min="4" max="4" width="6.375" style="249" customWidth="1"/>
    <col min="5" max="5" width="6.5" style="249" customWidth="1"/>
    <col min="6" max="6" width="6.875" style="249" customWidth="1"/>
    <col min="7" max="7" width="7.75" style="249" customWidth="1"/>
    <col min="8" max="8" width="8" style="249" customWidth="1"/>
    <col min="9" max="9" width="7.75" style="249" customWidth="1"/>
    <col min="10" max="10" width="8.25" style="249" customWidth="1"/>
    <col min="11" max="11" width="7.125" style="249" customWidth="1"/>
    <col min="12" max="12" width="7.5" style="249" customWidth="1"/>
    <col min="13" max="13" width="7.625" style="249" customWidth="1"/>
    <col min="14" max="18" width="6.375" style="249" customWidth="1"/>
    <col min="19" max="23" width="6.875" style="249" customWidth="1"/>
    <col min="24" max="24" width="5.375" style="249" customWidth="1"/>
    <col min="25" max="25" width="5.875" style="249" customWidth="1"/>
    <col min="26" max="16384" width="10" style="249"/>
  </cols>
  <sheetData>
    <row r="1" spans="1:29" s="2446" customFormat="1" ht="20.25">
      <c r="A1" s="248" t="s">
        <v>1373</v>
      </c>
      <c r="H1" s="2500"/>
      <c r="M1" s="2500"/>
      <c r="N1" s="2500"/>
      <c r="O1" s="2500"/>
    </row>
    <row r="2" spans="1:29" s="252" customFormat="1" ht="17.25">
      <c r="A2" s="252" t="s">
        <v>1374</v>
      </c>
      <c r="H2" s="2501"/>
      <c r="M2" s="2501"/>
      <c r="N2" s="2501"/>
      <c r="O2" s="2501"/>
    </row>
    <row r="3" spans="1:29" s="1280" customFormat="1" ht="15" customHeight="1">
      <c r="A3" s="307"/>
      <c r="H3" s="2502"/>
      <c r="M3" s="2502"/>
      <c r="N3" s="2502"/>
      <c r="O3" s="2502"/>
      <c r="Y3" s="2503" t="s">
        <v>1375</v>
      </c>
    </row>
    <row r="4" spans="1:29" s="307" customFormat="1" ht="18" customHeight="1">
      <c r="A4" s="2881" t="s">
        <v>1333</v>
      </c>
      <c r="B4" s="2504"/>
      <c r="C4" s="2504"/>
      <c r="D4" s="2505"/>
      <c r="E4" s="2505"/>
      <c r="F4" s="554" t="s">
        <v>1376</v>
      </c>
      <c r="G4" s="554" t="s">
        <v>1377</v>
      </c>
      <c r="H4" s="554" t="s">
        <v>1378</v>
      </c>
      <c r="I4" s="2506"/>
      <c r="J4" s="2506"/>
      <c r="K4" s="2506"/>
      <c r="L4" s="2506"/>
      <c r="M4" s="2507"/>
      <c r="N4" s="2886" t="s">
        <v>1379</v>
      </c>
      <c r="O4" s="2884"/>
      <c r="P4" s="2884"/>
      <c r="Q4" s="2884"/>
      <c r="R4" s="2884"/>
      <c r="S4" s="2884"/>
      <c r="T4" s="2884"/>
      <c r="U4" s="2884"/>
      <c r="V4" s="2453"/>
      <c r="W4" s="3003" t="s">
        <v>1380</v>
      </c>
      <c r="X4" s="2955" t="s">
        <v>1381</v>
      </c>
      <c r="Y4" s="2885"/>
    </row>
    <row r="5" spans="1:29" s="307" customFormat="1" ht="23.1" customHeight="1">
      <c r="A5" s="2883"/>
      <c r="B5" s="2508" t="s">
        <v>1382</v>
      </c>
      <c r="C5" s="2509" t="s">
        <v>1383</v>
      </c>
      <c r="D5" s="3185" t="s">
        <v>1384</v>
      </c>
      <c r="E5" s="3186"/>
      <c r="F5" s="2510" t="s">
        <v>1385</v>
      </c>
      <c r="G5" s="2510" t="s">
        <v>1386</v>
      </c>
      <c r="H5" s="2511" t="s">
        <v>1387</v>
      </c>
      <c r="I5" s="2512" t="s">
        <v>1388</v>
      </c>
      <c r="J5" s="2513" t="s">
        <v>1389</v>
      </c>
      <c r="K5" s="2512" t="s">
        <v>1390</v>
      </c>
      <c r="L5" s="2512" t="s">
        <v>1391</v>
      </c>
      <c r="M5" s="2514" t="s">
        <v>192</v>
      </c>
      <c r="N5" s="1676" t="s">
        <v>1392</v>
      </c>
      <c r="O5" s="261" t="s">
        <v>1393</v>
      </c>
      <c r="P5" s="2461" t="s">
        <v>1394</v>
      </c>
      <c r="Q5" s="261" t="s">
        <v>1395</v>
      </c>
      <c r="R5" s="2515" t="s">
        <v>1396</v>
      </c>
      <c r="S5" s="2516" t="s">
        <v>1397</v>
      </c>
      <c r="T5" s="2517" t="s">
        <v>1398</v>
      </c>
      <c r="U5" s="2518" t="s">
        <v>1399</v>
      </c>
      <c r="V5" s="559" t="s">
        <v>450</v>
      </c>
      <c r="W5" s="3033"/>
      <c r="X5" s="261" t="s">
        <v>1400</v>
      </c>
      <c r="Y5" s="559" t="s">
        <v>1401</v>
      </c>
    </row>
    <row r="6" spans="1:29" s="307" customFormat="1" ht="20.100000000000001" customHeight="1">
      <c r="A6" s="2519">
        <v>2013</v>
      </c>
      <c r="B6" s="2520">
        <f t="shared" ref="B6:Y6" si="0">B172</f>
        <v>7</v>
      </c>
      <c r="C6" s="2521">
        <f t="shared" si="0"/>
        <v>105</v>
      </c>
      <c r="D6" s="3187">
        <f t="shared" si="0"/>
        <v>233</v>
      </c>
      <c r="E6" s="3187">
        <f t="shared" si="0"/>
        <v>0</v>
      </c>
      <c r="F6" s="2521">
        <f t="shared" si="0"/>
        <v>631</v>
      </c>
      <c r="G6" s="2521">
        <f t="shared" si="0"/>
        <v>159</v>
      </c>
      <c r="H6" s="2521">
        <f t="shared" si="0"/>
        <v>860</v>
      </c>
      <c r="I6" s="2521">
        <f t="shared" si="0"/>
        <v>1042</v>
      </c>
      <c r="J6" s="2521">
        <f t="shared" si="0"/>
        <v>201</v>
      </c>
      <c r="K6" s="2521">
        <f t="shared" si="0"/>
        <v>380</v>
      </c>
      <c r="L6" s="2521">
        <f t="shared" si="0"/>
        <v>13906</v>
      </c>
      <c r="M6" s="2522">
        <f t="shared" si="0"/>
        <v>17524</v>
      </c>
      <c r="N6" s="2523">
        <f t="shared" si="0"/>
        <v>1995</v>
      </c>
      <c r="O6" s="2524">
        <f t="shared" si="0"/>
        <v>2008</v>
      </c>
      <c r="P6" s="2524">
        <f t="shared" si="0"/>
        <v>1850</v>
      </c>
      <c r="Q6" s="2524">
        <f t="shared" si="0"/>
        <v>1872</v>
      </c>
      <c r="R6" s="2524">
        <f t="shared" si="0"/>
        <v>1925</v>
      </c>
      <c r="S6" s="2524">
        <f t="shared" si="0"/>
        <v>8682</v>
      </c>
      <c r="T6" s="2524">
        <f t="shared" si="0"/>
        <v>18332</v>
      </c>
      <c r="U6" s="2524">
        <f t="shared" si="0"/>
        <v>319</v>
      </c>
      <c r="V6" s="2525">
        <f t="shared" si="0"/>
        <v>18651</v>
      </c>
      <c r="W6" s="2526">
        <f t="shared" si="0"/>
        <v>36175</v>
      </c>
      <c r="X6" s="2527">
        <f t="shared" si="0"/>
        <v>2.3359028264424264</v>
      </c>
      <c r="Y6" s="2528">
        <f t="shared" si="0"/>
        <v>2.8517002160809657</v>
      </c>
    </row>
    <row r="7" spans="1:29" s="307" customFormat="1" ht="21.95" customHeight="1">
      <c r="A7" s="2529" t="s">
        <v>1011</v>
      </c>
      <c r="B7" s="2530" t="s">
        <v>1382</v>
      </c>
      <c r="C7" s="2531" t="s">
        <v>1383</v>
      </c>
      <c r="D7" s="2532" t="s">
        <v>1384</v>
      </c>
      <c r="E7" s="2533" t="s">
        <v>1402</v>
      </c>
      <c r="F7" s="2533" t="s">
        <v>1403</v>
      </c>
      <c r="G7" s="2534" t="s">
        <v>1404</v>
      </c>
      <c r="H7" s="2535" t="s">
        <v>1405</v>
      </c>
      <c r="I7" s="2534" t="s">
        <v>1406</v>
      </c>
      <c r="J7" s="2534" t="s">
        <v>1407</v>
      </c>
      <c r="K7" s="2534" t="s">
        <v>1408</v>
      </c>
      <c r="L7" s="2534" t="s">
        <v>1409</v>
      </c>
      <c r="M7" s="2536" t="s">
        <v>192</v>
      </c>
      <c r="N7" s="2537" t="s">
        <v>1410</v>
      </c>
      <c r="O7" s="2538" t="s">
        <v>1411</v>
      </c>
      <c r="P7" s="2538" t="s">
        <v>1412</v>
      </c>
      <c r="Q7" s="2538" t="s">
        <v>1413</v>
      </c>
      <c r="R7" s="2538" t="s">
        <v>1414</v>
      </c>
      <c r="S7" s="2539" t="s">
        <v>1397</v>
      </c>
      <c r="T7" s="2540" t="s">
        <v>1398</v>
      </c>
      <c r="U7" s="2539" t="s">
        <v>1399</v>
      </c>
      <c r="V7" s="2541" t="s">
        <v>450</v>
      </c>
      <c r="W7" s="2542" t="s">
        <v>1380</v>
      </c>
      <c r="X7" s="2543" t="s">
        <v>1400</v>
      </c>
      <c r="Y7" s="2544" t="s">
        <v>1415</v>
      </c>
    </row>
    <row r="8" spans="1:29" s="307" customFormat="1" ht="20.100000000000001" customHeight="1">
      <c r="A8" s="2519">
        <v>2014</v>
      </c>
      <c r="B8" s="2520">
        <f t="shared" ref="B8:Y8" si="1">B160</f>
        <v>7</v>
      </c>
      <c r="C8" s="2521">
        <f t="shared" si="1"/>
        <v>103</v>
      </c>
      <c r="D8" s="2522">
        <f t="shared" si="1"/>
        <v>203</v>
      </c>
      <c r="E8" s="2521">
        <f t="shared" si="1"/>
        <v>767</v>
      </c>
      <c r="F8" s="2521">
        <f t="shared" si="1"/>
        <v>149</v>
      </c>
      <c r="G8" s="2521">
        <f t="shared" si="1"/>
        <v>79</v>
      </c>
      <c r="H8" s="2521">
        <f t="shared" si="1"/>
        <v>777</v>
      </c>
      <c r="I8" s="2521">
        <f t="shared" si="1"/>
        <v>1042</v>
      </c>
      <c r="J8" s="2521">
        <f t="shared" si="1"/>
        <v>323</v>
      </c>
      <c r="K8" s="2521">
        <f t="shared" si="1"/>
        <v>220</v>
      </c>
      <c r="L8" s="2521">
        <f t="shared" si="1"/>
        <v>14124</v>
      </c>
      <c r="M8" s="2522">
        <f t="shared" si="1"/>
        <v>17794</v>
      </c>
      <c r="N8" s="2523">
        <f t="shared" si="1"/>
        <v>2094</v>
      </c>
      <c r="O8" s="2524">
        <f t="shared" si="1"/>
        <v>2110</v>
      </c>
      <c r="P8" s="2524">
        <f t="shared" si="1"/>
        <v>2014</v>
      </c>
      <c r="Q8" s="2524">
        <f t="shared" si="1"/>
        <v>1806</v>
      </c>
      <c r="R8" s="2524">
        <f t="shared" si="1"/>
        <v>2205</v>
      </c>
      <c r="S8" s="2524">
        <f t="shared" si="1"/>
        <v>8857</v>
      </c>
      <c r="T8" s="2524">
        <f t="shared" si="1"/>
        <v>19086</v>
      </c>
      <c r="U8" s="2524">
        <f t="shared" si="1"/>
        <v>324</v>
      </c>
      <c r="V8" s="2525">
        <f t="shared" si="1"/>
        <v>19410</v>
      </c>
      <c r="W8" s="2526">
        <f t="shared" si="1"/>
        <v>37204</v>
      </c>
      <c r="X8" s="2527">
        <f t="shared" si="1"/>
        <v>1.5407441223465046</v>
      </c>
      <c r="Y8" s="2528">
        <f t="shared" si="1"/>
        <v>2.844505874222536</v>
      </c>
    </row>
    <row r="9" spans="1:29" s="307" customFormat="1" ht="21.95" customHeight="1">
      <c r="A9" s="2529" t="s">
        <v>1011</v>
      </c>
      <c r="B9" s="2530" t="s">
        <v>1382</v>
      </c>
      <c r="C9" s="2531" t="s">
        <v>1383</v>
      </c>
      <c r="D9" s="2532" t="s">
        <v>1384</v>
      </c>
      <c r="E9" s="2533" t="s">
        <v>1402</v>
      </c>
      <c r="F9" s="2533" t="s">
        <v>1403</v>
      </c>
      <c r="G9" s="2534" t="s">
        <v>1416</v>
      </c>
      <c r="H9" s="2535" t="s">
        <v>1417</v>
      </c>
      <c r="I9" s="2534" t="s">
        <v>1406</v>
      </c>
      <c r="J9" s="2534" t="s">
        <v>1407</v>
      </c>
      <c r="K9" s="2534" t="s">
        <v>1408</v>
      </c>
      <c r="L9" s="2534" t="s">
        <v>1409</v>
      </c>
      <c r="M9" s="2536" t="s">
        <v>192</v>
      </c>
      <c r="N9" s="2537" t="s">
        <v>1410</v>
      </c>
      <c r="O9" s="2538" t="s">
        <v>1411</v>
      </c>
      <c r="P9" s="2538" t="s">
        <v>1412</v>
      </c>
      <c r="Q9" s="2538" t="s">
        <v>1413</v>
      </c>
      <c r="R9" s="2538" t="s">
        <v>1414</v>
      </c>
      <c r="S9" s="2539" t="s">
        <v>1397</v>
      </c>
      <c r="T9" s="2540" t="s">
        <v>1398</v>
      </c>
      <c r="U9" s="2539" t="s">
        <v>1399</v>
      </c>
      <c r="V9" s="2541" t="s">
        <v>450</v>
      </c>
      <c r="W9" s="2542" t="s">
        <v>1380</v>
      </c>
      <c r="X9" s="2543" t="s">
        <v>1400</v>
      </c>
      <c r="Y9" s="2544" t="s">
        <v>1415</v>
      </c>
    </row>
    <row r="10" spans="1:29" s="307" customFormat="1" ht="20.100000000000001" customHeight="1">
      <c r="A10" s="2545">
        <v>2015</v>
      </c>
      <c r="B10" s="2546">
        <f t="shared" ref="B10:Y10" si="2">B148</f>
        <v>6</v>
      </c>
      <c r="C10" s="2547">
        <f t="shared" si="2"/>
        <v>163</v>
      </c>
      <c r="D10" s="2547">
        <f t="shared" si="2"/>
        <v>227</v>
      </c>
      <c r="E10" s="2547">
        <f t="shared" si="2"/>
        <v>986</v>
      </c>
      <c r="F10" s="2547">
        <f t="shared" si="2"/>
        <v>153</v>
      </c>
      <c r="G10" s="2547">
        <f t="shared" si="2"/>
        <v>74</v>
      </c>
      <c r="H10" s="2547">
        <f t="shared" si="2"/>
        <v>765</v>
      </c>
      <c r="I10" s="2547">
        <f t="shared" si="2"/>
        <v>1042</v>
      </c>
      <c r="J10" s="2547">
        <f t="shared" si="2"/>
        <v>323</v>
      </c>
      <c r="K10" s="2547">
        <f t="shared" si="2"/>
        <v>231</v>
      </c>
      <c r="L10" s="2547">
        <f t="shared" si="2"/>
        <v>14123</v>
      </c>
      <c r="M10" s="2548">
        <f t="shared" si="2"/>
        <v>18093</v>
      </c>
      <c r="N10" s="1570">
        <f t="shared" si="2"/>
        <v>2181</v>
      </c>
      <c r="O10" s="2549">
        <f t="shared" si="2"/>
        <v>1736</v>
      </c>
      <c r="P10" s="2549">
        <f t="shared" si="2"/>
        <v>1971</v>
      </c>
      <c r="Q10" s="2549">
        <f t="shared" si="2"/>
        <v>1955</v>
      </c>
      <c r="R10" s="2549">
        <f t="shared" si="2"/>
        <v>2167</v>
      </c>
      <c r="S10" s="2549">
        <f t="shared" si="2"/>
        <v>10262</v>
      </c>
      <c r="T10" s="2549">
        <f t="shared" si="2"/>
        <v>20272</v>
      </c>
      <c r="U10" s="2549">
        <f t="shared" si="2"/>
        <v>331</v>
      </c>
      <c r="V10" s="2550">
        <f t="shared" si="2"/>
        <v>20603</v>
      </c>
      <c r="W10" s="2551">
        <f t="shared" si="2"/>
        <v>38696</v>
      </c>
      <c r="X10" s="2552">
        <f t="shared" si="2"/>
        <v>1.680341688209519</v>
      </c>
      <c r="Y10" s="2553">
        <f t="shared" si="2"/>
        <v>4.0103214708095969</v>
      </c>
    </row>
    <row r="11" spans="1:29" s="307" customFormat="1" ht="20.100000000000001" customHeight="1">
      <c r="A11" s="2554">
        <v>2016</v>
      </c>
      <c r="B11" s="2555">
        <v>6</v>
      </c>
      <c r="C11" s="2556">
        <v>142</v>
      </c>
      <c r="D11" s="2556">
        <v>238</v>
      </c>
      <c r="E11" s="2556">
        <v>746</v>
      </c>
      <c r="F11" s="2556">
        <v>167</v>
      </c>
      <c r="G11" s="2556">
        <v>126</v>
      </c>
      <c r="H11" s="2556">
        <v>1020</v>
      </c>
      <c r="I11" s="2556">
        <v>1072</v>
      </c>
      <c r="J11" s="2556">
        <v>303</v>
      </c>
      <c r="K11" s="2556">
        <v>270</v>
      </c>
      <c r="L11" s="2556">
        <v>14769</v>
      </c>
      <c r="M11" s="2557">
        <v>18859</v>
      </c>
      <c r="N11" s="1607">
        <v>2194</v>
      </c>
      <c r="O11" s="2558">
        <v>2292</v>
      </c>
      <c r="P11" s="2558">
        <v>2025</v>
      </c>
      <c r="Q11" s="2558">
        <v>2034</v>
      </c>
      <c r="R11" s="2558">
        <v>2282</v>
      </c>
      <c r="S11" s="2558">
        <v>10825</v>
      </c>
      <c r="T11" s="2558">
        <v>21652</v>
      </c>
      <c r="U11" s="2558">
        <v>362</v>
      </c>
      <c r="V11" s="2559">
        <v>22014</v>
      </c>
      <c r="W11" s="2197">
        <v>40873</v>
      </c>
      <c r="X11" s="2560">
        <v>4.2336815342950418</v>
      </c>
      <c r="Y11" s="2561">
        <v>5.6259044862517982</v>
      </c>
    </row>
    <row r="12" spans="1:29" s="307" customFormat="1" ht="20.100000000000001" customHeight="1">
      <c r="A12" s="2554">
        <v>2017</v>
      </c>
      <c r="B12" s="2555">
        <f t="shared" ref="B12:Y12" si="3">B124</f>
        <v>4</v>
      </c>
      <c r="C12" s="2556">
        <f t="shared" si="3"/>
        <v>127</v>
      </c>
      <c r="D12" s="2556">
        <f t="shared" si="3"/>
        <v>235</v>
      </c>
      <c r="E12" s="2556">
        <f t="shared" si="3"/>
        <v>1144</v>
      </c>
      <c r="F12" s="2556">
        <f t="shared" si="3"/>
        <v>196</v>
      </c>
      <c r="G12" s="2556">
        <f t="shared" si="3"/>
        <v>130</v>
      </c>
      <c r="H12" s="2556">
        <f t="shared" si="3"/>
        <v>1066</v>
      </c>
      <c r="I12" s="2556">
        <f t="shared" si="3"/>
        <v>1077</v>
      </c>
      <c r="J12" s="2556">
        <f t="shared" si="3"/>
        <v>334</v>
      </c>
      <c r="K12" s="2556">
        <f t="shared" si="3"/>
        <v>277</v>
      </c>
      <c r="L12" s="2556">
        <f t="shared" si="3"/>
        <v>15010</v>
      </c>
      <c r="M12" s="2557">
        <f t="shared" si="3"/>
        <v>19600</v>
      </c>
      <c r="N12" s="1607">
        <f t="shared" si="3"/>
        <v>2163</v>
      </c>
      <c r="O12" s="2558">
        <f t="shared" si="3"/>
        <v>2394</v>
      </c>
      <c r="P12" s="2558">
        <f t="shared" si="3"/>
        <v>2137</v>
      </c>
      <c r="Q12" s="2558">
        <f t="shared" si="3"/>
        <v>2180</v>
      </c>
      <c r="R12" s="2558">
        <f t="shared" si="3"/>
        <v>2368</v>
      </c>
      <c r="S12" s="2558">
        <f t="shared" si="3"/>
        <v>11220</v>
      </c>
      <c r="T12" s="2558">
        <f t="shared" si="3"/>
        <v>22462</v>
      </c>
      <c r="U12" s="2558">
        <f t="shared" si="3"/>
        <v>369.5</v>
      </c>
      <c r="V12" s="2559">
        <f t="shared" si="3"/>
        <v>22831.5</v>
      </c>
      <c r="W12" s="2197">
        <f t="shared" si="3"/>
        <v>42431.5</v>
      </c>
      <c r="X12" s="2560">
        <f t="shared" si="3"/>
        <v>3.9291584919667111</v>
      </c>
      <c r="Y12" s="2561">
        <f t="shared" si="3"/>
        <v>3.8130306070021769</v>
      </c>
      <c r="AA12" s="250"/>
      <c r="AB12" s="250"/>
      <c r="AC12" s="250"/>
    </row>
    <row r="13" spans="1:29" s="307" customFormat="1" ht="20.100000000000001" customHeight="1">
      <c r="A13" s="2562">
        <v>2018</v>
      </c>
      <c r="B13" s="2508">
        <f t="shared" ref="B13:Y13" si="4">B112</f>
        <v>7</v>
      </c>
      <c r="C13" s="2508">
        <f t="shared" si="4"/>
        <v>145</v>
      </c>
      <c r="D13" s="2508">
        <f t="shared" si="4"/>
        <v>256</v>
      </c>
      <c r="E13" s="2508">
        <f t="shared" si="4"/>
        <v>1435</v>
      </c>
      <c r="F13" s="2508">
        <f t="shared" si="4"/>
        <v>205</v>
      </c>
      <c r="G13" s="2508">
        <f t="shared" si="4"/>
        <v>120</v>
      </c>
      <c r="H13" s="2508">
        <f t="shared" si="4"/>
        <v>1150</v>
      </c>
      <c r="I13" s="2508">
        <f t="shared" si="4"/>
        <v>1102</v>
      </c>
      <c r="J13" s="2508">
        <f t="shared" si="4"/>
        <v>319</v>
      </c>
      <c r="K13" s="2508">
        <f t="shared" si="4"/>
        <v>271</v>
      </c>
      <c r="L13" s="2508">
        <f t="shared" si="4"/>
        <v>17262</v>
      </c>
      <c r="M13" s="2563">
        <f t="shared" si="4"/>
        <v>22272</v>
      </c>
      <c r="N13" s="1607">
        <f t="shared" si="4"/>
        <v>2401</v>
      </c>
      <c r="O13" s="2558">
        <f t="shared" si="4"/>
        <v>2672</v>
      </c>
      <c r="P13" s="2558">
        <f t="shared" si="4"/>
        <v>2433.125</v>
      </c>
      <c r="Q13" s="2558">
        <f t="shared" si="4"/>
        <v>2355.75</v>
      </c>
      <c r="R13" s="2558">
        <f t="shared" si="4"/>
        <v>2537</v>
      </c>
      <c r="S13" s="2558">
        <f t="shared" si="4"/>
        <v>12068</v>
      </c>
      <c r="T13" s="2558">
        <f t="shared" si="4"/>
        <v>24466.875</v>
      </c>
      <c r="U13" s="2558">
        <f t="shared" si="4"/>
        <v>439</v>
      </c>
      <c r="V13" s="2559">
        <f t="shared" si="4"/>
        <v>24905.875</v>
      </c>
      <c r="W13" s="2197">
        <f t="shared" si="4"/>
        <v>47177.875</v>
      </c>
      <c r="X13" s="2560">
        <f t="shared" si="4"/>
        <v>13.632653061224499</v>
      </c>
      <c r="Y13" s="2561">
        <f t="shared" si="4"/>
        <v>11.185970328647343</v>
      </c>
      <c r="AA13" s="250"/>
      <c r="AB13" s="250"/>
      <c r="AC13" s="250"/>
    </row>
    <row r="14" spans="1:29" s="307" customFormat="1" ht="21.95" customHeight="1">
      <c r="A14" s="2529" t="s">
        <v>1011</v>
      </c>
      <c r="B14" s="2530" t="s">
        <v>1382</v>
      </c>
      <c r="C14" s="2531" t="s">
        <v>1383</v>
      </c>
      <c r="D14" s="2532" t="s">
        <v>1384</v>
      </c>
      <c r="E14" s="2533" t="s">
        <v>1402</v>
      </c>
      <c r="F14" s="2533" t="s">
        <v>1403</v>
      </c>
      <c r="G14" s="2534" t="s">
        <v>1418</v>
      </c>
      <c r="H14" s="2535" t="s">
        <v>1419</v>
      </c>
      <c r="I14" s="2534" t="s">
        <v>1420</v>
      </c>
      <c r="J14" s="2534" t="s">
        <v>1407</v>
      </c>
      <c r="K14" s="2534" t="s">
        <v>1421</v>
      </c>
      <c r="L14" s="2534" t="s">
        <v>1409</v>
      </c>
      <c r="M14" s="2536" t="s">
        <v>192</v>
      </c>
      <c r="N14" s="2530" t="s">
        <v>1410</v>
      </c>
      <c r="O14" s="2531" t="s">
        <v>1411</v>
      </c>
      <c r="P14" s="2531" t="s">
        <v>1412</v>
      </c>
      <c r="Q14" s="2531" t="s">
        <v>1413</v>
      </c>
      <c r="R14" s="2531" t="s">
        <v>1414</v>
      </c>
      <c r="S14" s="2564" t="s">
        <v>1397</v>
      </c>
      <c r="T14" s="2565" t="s">
        <v>1398</v>
      </c>
      <c r="U14" s="2539" t="s">
        <v>1399</v>
      </c>
      <c r="V14" s="2566" t="s">
        <v>450</v>
      </c>
      <c r="W14" s="2542" t="s">
        <v>1380</v>
      </c>
      <c r="X14" s="2543" t="s">
        <v>1400</v>
      </c>
      <c r="Y14" s="2544" t="s">
        <v>1415</v>
      </c>
      <c r="AA14" s="250"/>
      <c r="AB14" s="250"/>
      <c r="AC14" s="250"/>
    </row>
    <row r="15" spans="1:29" s="307" customFormat="1" ht="20.100000000000001" customHeight="1">
      <c r="A15" s="2187">
        <v>2019</v>
      </c>
      <c r="B15" s="2567">
        <f t="shared" ref="B15:Y15" si="5">B100</f>
        <v>6</v>
      </c>
      <c r="C15" s="2568">
        <f t="shared" si="5"/>
        <v>159</v>
      </c>
      <c r="D15" s="2568">
        <f t="shared" si="5"/>
        <v>279</v>
      </c>
      <c r="E15" s="2568">
        <f t="shared" si="5"/>
        <v>900</v>
      </c>
      <c r="F15" s="2568">
        <f t="shared" si="5"/>
        <v>226</v>
      </c>
      <c r="G15" s="2568">
        <f t="shared" si="5"/>
        <v>134</v>
      </c>
      <c r="H15" s="2568">
        <f t="shared" si="5"/>
        <v>1195</v>
      </c>
      <c r="I15" s="2568">
        <f t="shared" si="5"/>
        <v>1133</v>
      </c>
      <c r="J15" s="2568">
        <f t="shared" si="5"/>
        <v>319</v>
      </c>
      <c r="K15" s="2568">
        <f t="shared" si="5"/>
        <v>259</v>
      </c>
      <c r="L15" s="2568">
        <f t="shared" si="5"/>
        <v>18370</v>
      </c>
      <c r="M15" s="2569">
        <f t="shared" si="5"/>
        <v>22980</v>
      </c>
      <c r="N15" s="2567">
        <f t="shared" si="5"/>
        <v>2408</v>
      </c>
      <c r="O15" s="2568">
        <f t="shared" si="5"/>
        <v>2664</v>
      </c>
      <c r="P15" s="2568">
        <f t="shared" si="5"/>
        <v>2403</v>
      </c>
      <c r="Q15" s="2568">
        <f t="shared" si="5"/>
        <v>2404</v>
      </c>
      <c r="R15" s="2568">
        <f t="shared" si="5"/>
        <v>2551</v>
      </c>
      <c r="S15" s="2568">
        <f t="shared" si="5"/>
        <v>12178</v>
      </c>
      <c r="T15" s="2568">
        <f t="shared" si="5"/>
        <v>24608</v>
      </c>
      <c r="U15" s="2568">
        <f t="shared" si="5"/>
        <v>493.5</v>
      </c>
      <c r="V15" s="2569">
        <f t="shared" si="5"/>
        <v>25101.5</v>
      </c>
      <c r="W15" s="2567">
        <f t="shared" si="5"/>
        <v>48081.5</v>
      </c>
      <c r="X15" s="2570">
        <f t="shared" si="5"/>
        <v>3.1788793103448176</v>
      </c>
      <c r="Y15" s="2571">
        <f t="shared" si="5"/>
        <v>1.9153575696234659</v>
      </c>
    </row>
    <row r="16" spans="1:29" s="307" customFormat="1" ht="21.95" customHeight="1">
      <c r="A16" s="2529" t="s">
        <v>1011</v>
      </c>
      <c r="B16" s="2530" t="s">
        <v>1382</v>
      </c>
      <c r="C16" s="2531" t="s">
        <v>1383</v>
      </c>
      <c r="D16" s="2572" t="s">
        <v>1422</v>
      </c>
      <c r="E16" s="2533" t="s">
        <v>1423</v>
      </c>
      <c r="F16" s="2533" t="s">
        <v>1402</v>
      </c>
      <c r="G16" s="2533" t="s">
        <v>1386</v>
      </c>
      <c r="H16" s="2533" t="s">
        <v>1424</v>
      </c>
      <c r="I16" s="2534" t="s">
        <v>1425</v>
      </c>
      <c r="J16" s="2535" t="s">
        <v>1426</v>
      </c>
      <c r="K16" s="2534" t="s">
        <v>1427</v>
      </c>
      <c r="L16" s="2534" t="s">
        <v>1409</v>
      </c>
      <c r="M16" s="2536" t="s">
        <v>192</v>
      </c>
      <c r="N16" s="2530" t="s">
        <v>1410</v>
      </c>
      <c r="O16" s="2531" t="s">
        <v>1411</v>
      </c>
      <c r="P16" s="2531" t="s">
        <v>1412</v>
      </c>
      <c r="Q16" s="2531" t="s">
        <v>1413</v>
      </c>
      <c r="R16" s="2531" t="s">
        <v>1414</v>
      </c>
      <c r="S16" s="2564" t="s">
        <v>1397</v>
      </c>
      <c r="T16" s="2565" t="s">
        <v>1398</v>
      </c>
      <c r="U16" s="2539" t="s">
        <v>1399</v>
      </c>
      <c r="V16" s="2566" t="s">
        <v>450</v>
      </c>
      <c r="W16" s="2542" t="s">
        <v>1380</v>
      </c>
      <c r="X16" s="2543" t="s">
        <v>1400</v>
      </c>
      <c r="Y16" s="2544" t="s">
        <v>1415</v>
      </c>
      <c r="AA16" s="249"/>
      <c r="AB16" s="249"/>
      <c r="AC16" s="249"/>
    </row>
    <row r="17" spans="1:29" s="307" customFormat="1" ht="21" customHeight="1">
      <c r="A17" s="2187">
        <v>2020</v>
      </c>
      <c r="B17" s="2567">
        <f t="shared" ref="B17:Y17" si="6">B88</f>
        <v>7</v>
      </c>
      <c r="C17" s="2568">
        <f t="shared" si="6"/>
        <v>642</v>
      </c>
      <c r="D17" s="2568">
        <f t="shared" si="6"/>
        <v>143</v>
      </c>
      <c r="E17" s="2568">
        <f t="shared" si="6"/>
        <v>91</v>
      </c>
      <c r="F17" s="2568">
        <f t="shared" si="6"/>
        <v>858</v>
      </c>
      <c r="G17" s="2568">
        <f t="shared" si="6"/>
        <v>228</v>
      </c>
      <c r="H17" s="2568">
        <f t="shared" si="6"/>
        <v>211</v>
      </c>
      <c r="I17" s="2568">
        <f t="shared" si="6"/>
        <v>1094</v>
      </c>
      <c r="J17" s="2568">
        <f t="shared" si="6"/>
        <v>1021</v>
      </c>
      <c r="K17" s="2568">
        <f t="shared" si="6"/>
        <v>328</v>
      </c>
      <c r="L17" s="2568">
        <f t="shared" si="6"/>
        <v>18773</v>
      </c>
      <c r="M17" s="2569">
        <f t="shared" si="6"/>
        <v>23396</v>
      </c>
      <c r="N17" s="2567">
        <f t="shared" si="6"/>
        <v>2709.625</v>
      </c>
      <c r="O17" s="2568">
        <f t="shared" si="6"/>
        <v>2607.875</v>
      </c>
      <c r="P17" s="2568">
        <f t="shared" si="6"/>
        <v>2528.125</v>
      </c>
      <c r="Q17" s="2568">
        <f t="shared" si="6"/>
        <v>2504.625</v>
      </c>
      <c r="R17" s="2568">
        <f t="shared" si="6"/>
        <v>2465.63</v>
      </c>
      <c r="S17" s="2568">
        <f t="shared" si="6"/>
        <v>12204.725</v>
      </c>
      <c r="T17" s="2568">
        <f t="shared" si="6"/>
        <v>25020.605000000003</v>
      </c>
      <c r="U17" s="2568">
        <f t="shared" si="6"/>
        <v>504.17500000000001</v>
      </c>
      <c r="V17" s="2569">
        <f t="shared" si="6"/>
        <v>25524.780000000002</v>
      </c>
      <c r="W17" s="2567">
        <f t="shared" si="6"/>
        <v>48920.78</v>
      </c>
      <c r="X17" s="2570">
        <f t="shared" si="6"/>
        <v>1.8102697998259254</v>
      </c>
      <c r="Y17" s="2571">
        <f t="shared" si="6"/>
        <v>1.7455362249513717</v>
      </c>
      <c r="AA17" s="249"/>
      <c r="AB17" s="249"/>
      <c r="AC17" s="249"/>
    </row>
    <row r="18" spans="1:29" s="307" customFormat="1" ht="21" customHeight="1">
      <c r="A18" s="2529" t="s">
        <v>1011</v>
      </c>
      <c r="B18" s="2530" t="s">
        <v>1382</v>
      </c>
      <c r="C18" s="2573" t="s">
        <v>1428</v>
      </c>
      <c r="D18" s="2574" t="s">
        <v>1429</v>
      </c>
      <c r="E18" s="2533" t="s">
        <v>1430</v>
      </c>
      <c r="F18" s="2533" t="s">
        <v>1431</v>
      </c>
      <c r="G18" s="2533" t="s">
        <v>1386</v>
      </c>
      <c r="H18" s="2533" t="s">
        <v>1425</v>
      </c>
      <c r="I18" s="2534" t="s">
        <v>1426</v>
      </c>
      <c r="J18" s="2535" t="s">
        <v>1427</v>
      </c>
      <c r="K18" s="2534" t="s">
        <v>1432</v>
      </c>
      <c r="L18" s="2534" t="s">
        <v>1409</v>
      </c>
      <c r="M18" s="2536" t="s">
        <v>192</v>
      </c>
      <c r="N18" s="2530" t="s">
        <v>1410</v>
      </c>
      <c r="O18" s="2531" t="s">
        <v>1411</v>
      </c>
      <c r="P18" s="2531" t="s">
        <v>1412</v>
      </c>
      <c r="Q18" s="2531" t="s">
        <v>1413</v>
      </c>
      <c r="R18" s="2531" t="s">
        <v>1414</v>
      </c>
      <c r="S18" s="2564" t="s">
        <v>1397</v>
      </c>
      <c r="T18" s="2565" t="s">
        <v>1398</v>
      </c>
      <c r="U18" s="2539" t="s">
        <v>1399</v>
      </c>
      <c r="V18" s="2566" t="s">
        <v>450</v>
      </c>
      <c r="W18" s="2542" t="s">
        <v>1380</v>
      </c>
      <c r="X18" s="2543" t="s">
        <v>1400</v>
      </c>
      <c r="Y18" s="2544" t="s">
        <v>1415</v>
      </c>
      <c r="AA18" s="249"/>
      <c r="AB18" s="249"/>
      <c r="AC18" s="249"/>
    </row>
    <row r="19" spans="1:29" s="307" customFormat="1" ht="21" customHeight="1">
      <c r="A19" s="2575" t="str">
        <f t="shared" ref="A19:Y21" si="7">A72</f>
        <v xml:space="preserve">   2021    10</v>
      </c>
      <c r="B19" s="2576">
        <f t="shared" si="7"/>
        <v>7</v>
      </c>
      <c r="C19" s="2547">
        <f t="shared" si="7"/>
        <v>388</v>
      </c>
      <c r="D19" s="2547">
        <f t="shared" si="7"/>
        <v>257</v>
      </c>
      <c r="E19" s="2547">
        <f t="shared" si="7"/>
        <v>55</v>
      </c>
      <c r="F19" s="2547">
        <f t="shared" si="7"/>
        <v>836</v>
      </c>
      <c r="G19" s="2547">
        <f t="shared" si="7"/>
        <v>209</v>
      </c>
      <c r="H19" s="2547">
        <f t="shared" si="7"/>
        <v>1147</v>
      </c>
      <c r="I19" s="2547">
        <f t="shared" si="7"/>
        <v>1063</v>
      </c>
      <c r="J19" s="2547">
        <f t="shared" si="7"/>
        <v>324</v>
      </c>
      <c r="K19" s="2547">
        <f t="shared" si="7"/>
        <v>219</v>
      </c>
      <c r="L19" s="2547">
        <f t="shared" si="7"/>
        <v>18837</v>
      </c>
      <c r="M19" s="2548">
        <f t="shared" si="7"/>
        <v>23342</v>
      </c>
      <c r="N19" s="2546">
        <f t="shared" si="7"/>
        <v>2820.75</v>
      </c>
      <c r="O19" s="2547">
        <f t="shared" si="7"/>
        <v>2565.8250000000003</v>
      </c>
      <c r="P19" s="2547">
        <f t="shared" si="7"/>
        <v>2603.375</v>
      </c>
      <c r="Q19" s="2547">
        <f t="shared" si="7"/>
        <v>2492.875</v>
      </c>
      <c r="R19" s="2547">
        <f t="shared" si="7"/>
        <v>2506.375</v>
      </c>
      <c r="S19" s="2547">
        <f t="shared" si="7"/>
        <v>12236.5</v>
      </c>
      <c r="T19" s="2547">
        <f t="shared" si="7"/>
        <v>25225.7</v>
      </c>
      <c r="U19" s="2547">
        <f t="shared" si="7"/>
        <v>512.15</v>
      </c>
      <c r="V19" s="2548">
        <f t="shared" si="7"/>
        <v>25737.850000000002</v>
      </c>
      <c r="W19" s="2546">
        <f t="shared" si="7"/>
        <v>49079.850000000006</v>
      </c>
      <c r="X19" s="2552">
        <f t="shared" si="7"/>
        <v>1.9167794612059641</v>
      </c>
      <c r="Y19" s="2553">
        <f t="shared" si="7"/>
        <v>2.0348934207146785</v>
      </c>
      <c r="AA19" s="249"/>
      <c r="AB19" s="249"/>
      <c r="AC19" s="249"/>
    </row>
    <row r="20" spans="1:29" s="307" customFormat="1" ht="21" customHeight="1">
      <c r="A20" s="275" t="str">
        <f t="shared" si="7"/>
        <v xml:space="preserve">             11</v>
      </c>
      <c r="B20" s="2577">
        <f t="shared" si="7"/>
        <v>7</v>
      </c>
      <c r="C20" s="2556">
        <f t="shared" si="7"/>
        <v>391</v>
      </c>
      <c r="D20" s="2556">
        <f t="shared" si="7"/>
        <v>259</v>
      </c>
      <c r="E20" s="2556">
        <f t="shared" si="7"/>
        <v>56</v>
      </c>
      <c r="F20" s="2556">
        <f t="shared" si="7"/>
        <v>834</v>
      </c>
      <c r="G20" s="2556">
        <f t="shared" si="7"/>
        <v>211</v>
      </c>
      <c r="H20" s="2556">
        <f t="shared" si="7"/>
        <v>1143</v>
      </c>
      <c r="I20" s="2556">
        <f t="shared" si="7"/>
        <v>1062</v>
      </c>
      <c r="J20" s="2556">
        <f t="shared" si="7"/>
        <v>327</v>
      </c>
      <c r="K20" s="2556">
        <f t="shared" si="7"/>
        <v>218</v>
      </c>
      <c r="L20" s="2556">
        <f t="shared" si="7"/>
        <v>18808</v>
      </c>
      <c r="M20" s="2557">
        <f t="shared" si="7"/>
        <v>23316</v>
      </c>
      <c r="N20" s="2555">
        <f t="shared" si="7"/>
        <v>2817</v>
      </c>
      <c r="O20" s="2556">
        <f t="shared" si="7"/>
        <v>2568.9250000000002</v>
      </c>
      <c r="P20" s="2556">
        <f t="shared" si="7"/>
        <v>2602.375</v>
      </c>
      <c r="Q20" s="2556">
        <f t="shared" si="7"/>
        <v>2499.875</v>
      </c>
      <c r="R20" s="2556">
        <f t="shared" si="7"/>
        <v>2503.375</v>
      </c>
      <c r="S20" s="2556">
        <f t="shared" si="7"/>
        <v>12248.025</v>
      </c>
      <c r="T20" s="2556">
        <f t="shared" si="7"/>
        <v>25239.574999999997</v>
      </c>
      <c r="U20" s="2556">
        <f t="shared" si="7"/>
        <v>512.65</v>
      </c>
      <c r="V20" s="2557">
        <f t="shared" si="7"/>
        <v>25752.224999999999</v>
      </c>
      <c r="W20" s="2555">
        <f t="shared" si="7"/>
        <v>49068.224999999999</v>
      </c>
      <c r="X20" s="2560">
        <f t="shared" si="7"/>
        <v>1.6124814782532804</v>
      </c>
      <c r="Y20" s="2561">
        <f t="shared" si="7"/>
        <v>1.7872006314478162</v>
      </c>
      <c r="AA20" s="249"/>
      <c r="AB20" s="249"/>
      <c r="AC20" s="249"/>
    </row>
    <row r="21" spans="1:29" s="307" customFormat="1" ht="21" customHeight="1">
      <c r="A21" s="2578" t="str">
        <f t="shared" si="7"/>
        <v xml:space="preserve">             12</v>
      </c>
      <c r="B21" s="2579">
        <f t="shared" si="7"/>
        <v>7</v>
      </c>
      <c r="C21" s="2580">
        <f t="shared" si="7"/>
        <v>541</v>
      </c>
      <c r="D21" s="2580">
        <f t="shared" si="7"/>
        <v>247</v>
      </c>
      <c r="E21" s="2580">
        <f t="shared" si="7"/>
        <v>55</v>
      </c>
      <c r="F21" s="2580">
        <f t="shared" si="7"/>
        <v>834</v>
      </c>
      <c r="G21" s="2580">
        <f t="shared" si="7"/>
        <v>228</v>
      </c>
      <c r="H21" s="2580">
        <f t="shared" si="7"/>
        <v>947</v>
      </c>
      <c r="I21" s="2580">
        <f t="shared" si="7"/>
        <v>1063</v>
      </c>
      <c r="J21" s="2580">
        <f t="shared" si="7"/>
        <v>310</v>
      </c>
      <c r="K21" s="2580">
        <f t="shared" si="7"/>
        <v>209</v>
      </c>
      <c r="L21" s="2580">
        <f t="shared" si="7"/>
        <v>18847</v>
      </c>
      <c r="M21" s="2563">
        <f t="shared" si="7"/>
        <v>23288</v>
      </c>
      <c r="N21" s="2508">
        <f t="shared" si="7"/>
        <v>2810.625</v>
      </c>
      <c r="O21" s="2580">
        <f t="shared" si="7"/>
        <v>2568.9250000000002</v>
      </c>
      <c r="P21" s="2580">
        <f t="shared" si="7"/>
        <v>2598.375</v>
      </c>
      <c r="Q21" s="2580">
        <f t="shared" si="7"/>
        <v>2652.45</v>
      </c>
      <c r="R21" s="2580">
        <f t="shared" si="7"/>
        <v>2502.75</v>
      </c>
      <c r="S21" s="2580">
        <f t="shared" si="7"/>
        <v>12305.025</v>
      </c>
      <c r="T21" s="2580">
        <f t="shared" si="7"/>
        <v>25438.15</v>
      </c>
      <c r="U21" s="2580">
        <f t="shared" si="7"/>
        <v>528.875</v>
      </c>
      <c r="V21" s="2563">
        <f t="shared" si="7"/>
        <v>25967.025000000001</v>
      </c>
      <c r="W21" s="2508">
        <f t="shared" si="7"/>
        <v>49255.025000000001</v>
      </c>
      <c r="X21" s="2581">
        <f t="shared" si="7"/>
        <v>-0.46161737049068563</v>
      </c>
      <c r="Y21" s="2582">
        <f t="shared" si="7"/>
        <v>0.68323726645405092</v>
      </c>
      <c r="AA21" s="249"/>
      <c r="AB21" s="249"/>
      <c r="AC21" s="249"/>
    </row>
    <row r="22" spans="1:29" s="307" customFormat="1" ht="21" customHeight="1">
      <c r="A22" s="2529" t="s">
        <v>1011</v>
      </c>
      <c r="B22" s="2530" t="s">
        <v>1382</v>
      </c>
      <c r="C22" s="2573" t="s">
        <v>1428</v>
      </c>
      <c r="D22" s="2574" t="s">
        <v>1429</v>
      </c>
      <c r="E22" s="2533" t="s">
        <v>1430</v>
      </c>
      <c r="F22" s="2533" t="s">
        <v>1431</v>
      </c>
      <c r="G22" s="2534" t="s">
        <v>1433</v>
      </c>
      <c r="H22" s="2533" t="s">
        <v>1425</v>
      </c>
      <c r="I22" s="2534" t="s">
        <v>1426</v>
      </c>
      <c r="J22" s="2535" t="s">
        <v>1427</v>
      </c>
      <c r="K22" s="2534" t="s">
        <v>1432</v>
      </c>
      <c r="L22" s="2534" t="s">
        <v>1409</v>
      </c>
      <c r="M22" s="2536" t="s">
        <v>192</v>
      </c>
      <c r="N22" s="2530" t="s">
        <v>1410</v>
      </c>
      <c r="O22" s="2531" t="s">
        <v>1411</v>
      </c>
      <c r="P22" s="2531" t="s">
        <v>1412</v>
      </c>
      <c r="Q22" s="2531" t="s">
        <v>1413</v>
      </c>
      <c r="R22" s="2531" t="s">
        <v>1414</v>
      </c>
      <c r="S22" s="2564" t="s">
        <v>1397</v>
      </c>
      <c r="T22" s="2565" t="s">
        <v>1398</v>
      </c>
      <c r="U22" s="2539" t="s">
        <v>1399</v>
      </c>
      <c r="V22" s="2566" t="s">
        <v>450</v>
      </c>
      <c r="W22" s="2542" t="s">
        <v>1380</v>
      </c>
      <c r="X22" s="2543" t="s">
        <v>1400</v>
      </c>
      <c r="Y22" s="2544" t="s">
        <v>1415</v>
      </c>
      <c r="AA22" s="249"/>
      <c r="AB22" s="249"/>
      <c r="AC22" s="249"/>
    </row>
    <row r="23" spans="1:29" s="307" customFormat="1" ht="21" customHeight="1">
      <c r="A23" s="275" t="str">
        <f t="shared" ref="A23:Y32" si="8">A46</f>
        <v xml:space="preserve">   2022    1</v>
      </c>
      <c r="B23" s="2577">
        <f t="shared" si="8"/>
        <v>7</v>
      </c>
      <c r="C23" s="2556">
        <f t="shared" si="8"/>
        <v>551</v>
      </c>
      <c r="D23" s="2556">
        <f t="shared" si="8"/>
        <v>260</v>
      </c>
      <c r="E23" s="2556">
        <f t="shared" si="8"/>
        <v>60</v>
      </c>
      <c r="F23" s="2556">
        <f t="shared" si="8"/>
        <v>861</v>
      </c>
      <c r="G23" s="2556">
        <f t="shared" si="8"/>
        <v>255</v>
      </c>
      <c r="H23" s="2556">
        <f t="shared" si="8"/>
        <v>962</v>
      </c>
      <c r="I23" s="2556">
        <f t="shared" si="8"/>
        <v>1069</v>
      </c>
      <c r="J23" s="2556">
        <f t="shared" si="8"/>
        <v>315</v>
      </c>
      <c r="K23" s="2556">
        <f t="shared" si="8"/>
        <v>209</v>
      </c>
      <c r="L23" s="2556">
        <f t="shared" si="8"/>
        <v>18729</v>
      </c>
      <c r="M23" s="2557">
        <f t="shared" si="8"/>
        <v>23278</v>
      </c>
      <c r="N23" s="2555">
        <f t="shared" si="8"/>
        <v>2806.625</v>
      </c>
      <c r="O23" s="2556">
        <f t="shared" si="8"/>
        <v>2596.875</v>
      </c>
      <c r="P23" s="2556">
        <f t="shared" si="8"/>
        <v>2596.875</v>
      </c>
      <c r="Q23" s="2556">
        <f t="shared" si="8"/>
        <v>2651</v>
      </c>
      <c r="R23" s="2556">
        <f t="shared" si="8"/>
        <v>2507.375</v>
      </c>
      <c r="S23" s="2556">
        <f t="shared" si="8"/>
        <v>12302.875</v>
      </c>
      <c r="T23" s="2556">
        <f t="shared" si="8"/>
        <v>25461.625</v>
      </c>
      <c r="U23" s="2556">
        <f t="shared" si="8"/>
        <v>523.875</v>
      </c>
      <c r="V23" s="2557">
        <f t="shared" si="8"/>
        <v>25985.5</v>
      </c>
      <c r="W23" s="2555">
        <f t="shared" si="8"/>
        <v>49263.5</v>
      </c>
      <c r="X23" s="2560">
        <f t="shared" si="8"/>
        <v>-0.63601826951807938</v>
      </c>
      <c r="Y23" s="2561">
        <f t="shared" si="8"/>
        <v>0.58399294777853328</v>
      </c>
      <c r="AA23" s="249"/>
      <c r="AB23" s="249"/>
      <c r="AC23" s="249"/>
    </row>
    <row r="24" spans="1:29" s="307" customFormat="1" ht="21" customHeight="1">
      <c r="A24" s="275" t="str">
        <f t="shared" si="8"/>
        <v xml:space="preserve">             2</v>
      </c>
      <c r="B24" s="2577">
        <f t="shared" si="8"/>
        <v>7</v>
      </c>
      <c r="C24" s="2556">
        <f t="shared" si="8"/>
        <v>566</v>
      </c>
      <c r="D24" s="2556">
        <f t="shared" si="8"/>
        <v>258</v>
      </c>
      <c r="E24" s="2556">
        <f t="shared" si="8"/>
        <v>60</v>
      </c>
      <c r="F24" s="2556">
        <f t="shared" si="8"/>
        <v>863</v>
      </c>
      <c r="G24" s="2556">
        <f t="shared" si="8"/>
        <v>255</v>
      </c>
      <c r="H24" s="2556">
        <f t="shared" si="8"/>
        <v>968</v>
      </c>
      <c r="I24" s="2556">
        <f t="shared" si="8"/>
        <v>1070</v>
      </c>
      <c r="J24" s="2556">
        <f t="shared" si="8"/>
        <v>316</v>
      </c>
      <c r="K24" s="2556">
        <f t="shared" si="8"/>
        <v>213</v>
      </c>
      <c r="L24" s="2556">
        <f t="shared" si="8"/>
        <v>18709</v>
      </c>
      <c r="M24" s="2557">
        <f t="shared" si="8"/>
        <v>23285</v>
      </c>
      <c r="N24" s="2555">
        <f t="shared" si="8"/>
        <v>2782.625</v>
      </c>
      <c r="O24" s="2556">
        <f t="shared" si="8"/>
        <v>2594.875</v>
      </c>
      <c r="P24" s="2556">
        <f t="shared" si="8"/>
        <v>2595.875</v>
      </c>
      <c r="Q24" s="2556">
        <f t="shared" si="8"/>
        <v>2653.45</v>
      </c>
      <c r="R24" s="2556">
        <f t="shared" si="8"/>
        <v>2501.375</v>
      </c>
      <c r="S24" s="2556">
        <f t="shared" si="8"/>
        <v>12284.9</v>
      </c>
      <c r="T24" s="2556">
        <f t="shared" si="8"/>
        <v>25413.1</v>
      </c>
      <c r="U24" s="2556">
        <f t="shared" si="8"/>
        <v>522.5</v>
      </c>
      <c r="V24" s="2557">
        <f t="shared" si="8"/>
        <v>25935.599999999999</v>
      </c>
      <c r="W24" s="2555">
        <f t="shared" si="8"/>
        <v>49220.6</v>
      </c>
      <c r="X24" s="2560">
        <f t="shared" si="8"/>
        <v>-0.59340846994535568</v>
      </c>
      <c r="Y24" s="2561">
        <f t="shared" si="8"/>
        <v>0.32137301231021098</v>
      </c>
      <c r="AA24" s="249"/>
      <c r="AB24" s="249"/>
      <c r="AC24" s="249"/>
    </row>
    <row r="25" spans="1:29" s="307" customFormat="1" ht="21" customHeight="1">
      <c r="A25" s="275" t="str">
        <f t="shared" si="8"/>
        <v xml:space="preserve">             3</v>
      </c>
      <c r="B25" s="2577">
        <f t="shared" si="8"/>
        <v>7</v>
      </c>
      <c r="C25" s="2556">
        <f t="shared" si="8"/>
        <v>558</v>
      </c>
      <c r="D25" s="2556">
        <f t="shared" si="8"/>
        <v>258</v>
      </c>
      <c r="E25" s="2556">
        <f t="shared" si="8"/>
        <v>59</v>
      </c>
      <c r="F25" s="2556">
        <f t="shared" si="8"/>
        <v>856</v>
      </c>
      <c r="G25" s="2556">
        <f t="shared" si="8"/>
        <v>255</v>
      </c>
      <c r="H25" s="2556">
        <f t="shared" si="8"/>
        <v>960</v>
      </c>
      <c r="I25" s="2556">
        <f t="shared" si="8"/>
        <v>1070</v>
      </c>
      <c r="J25" s="2556">
        <f t="shared" si="8"/>
        <v>312</v>
      </c>
      <c r="K25" s="2556">
        <f t="shared" si="8"/>
        <v>213</v>
      </c>
      <c r="L25" s="2556">
        <f t="shared" si="8"/>
        <v>18804</v>
      </c>
      <c r="M25" s="2557">
        <f t="shared" si="8"/>
        <v>23352</v>
      </c>
      <c r="N25" s="2555">
        <f t="shared" si="8"/>
        <v>2804.875</v>
      </c>
      <c r="O25" s="2556">
        <f t="shared" si="8"/>
        <v>2572.625</v>
      </c>
      <c r="P25" s="2556">
        <f t="shared" si="8"/>
        <v>2597.875</v>
      </c>
      <c r="Q25" s="2556">
        <f t="shared" si="8"/>
        <v>2654.73</v>
      </c>
      <c r="R25" s="2556">
        <f t="shared" si="8"/>
        <v>2500.875</v>
      </c>
      <c r="S25" s="2556">
        <f t="shared" si="8"/>
        <v>12244.225</v>
      </c>
      <c r="T25" s="2556">
        <f t="shared" si="8"/>
        <v>25375.205000000002</v>
      </c>
      <c r="U25" s="2556">
        <f t="shared" si="8"/>
        <v>520</v>
      </c>
      <c r="V25" s="2557">
        <f t="shared" si="8"/>
        <v>25895.205000000002</v>
      </c>
      <c r="W25" s="2555">
        <f t="shared" si="8"/>
        <v>49247.205000000002</v>
      </c>
      <c r="X25" s="2560">
        <f t="shared" si="8"/>
        <v>1.0515383616772622</v>
      </c>
      <c r="Y25" s="2561">
        <f t="shared" si="8"/>
        <v>1.1517680997485069</v>
      </c>
      <c r="AA25" s="249"/>
      <c r="AB25" s="249"/>
      <c r="AC25" s="249"/>
    </row>
    <row r="26" spans="1:29" s="307" customFormat="1" ht="21" customHeight="1">
      <c r="A26" s="275" t="str">
        <f t="shared" si="8"/>
        <v xml:space="preserve">             4</v>
      </c>
      <c r="B26" s="2577">
        <f t="shared" si="8"/>
        <v>7</v>
      </c>
      <c r="C26" s="2556">
        <f t="shared" si="8"/>
        <v>556</v>
      </c>
      <c r="D26" s="2556">
        <f t="shared" si="8"/>
        <v>259</v>
      </c>
      <c r="E26" s="2556">
        <f t="shared" si="8"/>
        <v>59</v>
      </c>
      <c r="F26" s="2556">
        <f t="shared" si="8"/>
        <v>858</v>
      </c>
      <c r="G26" s="2556">
        <f t="shared" si="8"/>
        <v>254</v>
      </c>
      <c r="H26" s="2556">
        <f t="shared" si="8"/>
        <v>961</v>
      </c>
      <c r="I26" s="2556">
        <f t="shared" si="8"/>
        <v>1069</v>
      </c>
      <c r="J26" s="2556">
        <f t="shared" si="8"/>
        <v>312</v>
      </c>
      <c r="K26" s="2556">
        <f t="shared" si="8"/>
        <v>214</v>
      </c>
      <c r="L26" s="2556">
        <f t="shared" si="8"/>
        <v>18885</v>
      </c>
      <c r="M26" s="2557">
        <f t="shared" si="8"/>
        <v>23434</v>
      </c>
      <c r="N26" s="2555">
        <f t="shared" si="8"/>
        <v>2803.625</v>
      </c>
      <c r="O26" s="2556">
        <f t="shared" si="8"/>
        <v>2620.375</v>
      </c>
      <c r="P26" s="2556">
        <f t="shared" si="8"/>
        <v>2690.875</v>
      </c>
      <c r="Q26" s="2556">
        <f t="shared" si="8"/>
        <v>2653.7300000000005</v>
      </c>
      <c r="R26" s="2556">
        <f t="shared" si="8"/>
        <v>2484.875</v>
      </c>
      <c r="S26" s="2556">
        <f t="shared" si="8"/>
        <v>12237.55</v>
      </c>
      <c r="T26" s="2556">
        <f t="shared" si="8"/>
        <v>25491.03</v>
      </c>
      <c r="U26" s="2556">
        <f t="shared" si="8"/>
        <v>513</v>
      </c>
      <c r="V26" s="2557">
        <f t="shared" si="8"/>
        <v>26004.03</v>
      </c>
      <c r="W26" s="2555">
        <f t="shared" si="8"/>
        <v>49438.03</v>
      </c>
      <c r="X26" s="2560">
        <f t="shared" si="8"/>
        <v>0.99991380053443546</v>
      </c>
      <c r="Y26" s="2561">
        <f t="shared" si="8"/>
        <v>1.4322542390790449</v>
      </c>
      <c r="AA26" s="249"/>
      <c r="AB26" s="249"/>
      <c r="AC26" s="249"/>
    </row>
    <row r="27" spans="1:29" s="307" customFormat="1" ht="21" customHeight="1">
      <c r="A27" s="275" t="str">
        <f t="shared" si="8"/>
        <v xml:space="preserve">             5</v>
      </c>
      <c r="B27" s="2577">
        <f t="shared" si="8"/>
        <v>7</v>
      </c>
      <c r="C27" s="2556">
        <f t="shared" si="8"/>
        <v>558</v>
      </c>
      <c r="D27" s="2556">
        <f t="shared" si="8"/>
        <v>260</v>
      </c>
      <c r="E27" s="2556">
        <f t="shared" si="8"/>
        <v>60</v>
      </c>
      <c r="F27" s="2556">
        <f t="shared" si="8"/>
        <v>856</v>
      </c>
      <c r="G27" s="2556">
        <f t="shared" si="8"/>
        <v>253</v>
      </c>
      <c r="H27" s="2556">
        <f t="shared" si="8"/>
        <v>965</v>
      </c>
      <c r="I27" s="2556">
        <f t="shared" si="8"/>
        <v>1071</v>
      </c>
      <c r="J27" s="2556">
        <f t="shared" si="8"/>
        <v>311</v>
      </c>
      <c r="K27" s="2556">
        <f t="shared" si="8"/>
        <v>216</v>
      </c>
      <c r="L27" s="2556">
        <f t="shared" si="8"/>
        <v>18875</v>
      </c>
      <c r="M27" s="2557">
        <f t="shared" si="8"/>
        <v>23432</v>
      </c>
      <c r="N27" s="2555">
        <f t="shared" si="8"/>
        <v>2801.125</v>
      </c>
      <c r="O27" s="2556">
        <f t="shared" si="8"/>
        <v>2670.625</v>
      </c>
      <c r="P27" s="2556">
        <f t="shared" si="8"/>
        <v>2691.88</v>
      </c>
      <c r="Q27" s="2556">
        <f t="shared" si="8"/>
        <v>2540.1200000000003</v>
      </c>
      <c r="R27" s="2556">
        <f t="shared" si="8"/>
        <v>2483.375</v>
      </c>
      <c r="S27" s="2556">
        <f t="shared" si="8"/>
        <v>12245.625</v>
      </c>
      <c r="T27" s="2556">
        <f t="shared" si="8"/>
        <v>25432.75</v>
      </c>
      <c r="U27" s="2556">
        <f t="shared" si="8"/>
        <v>515</v>
      </c>
      <c r="V27" s="2557">
        <f t="shared" si="8"/>
        <v>25947.75</v>
      </c>
      <c r="W27" s="2555">
        <f t="shared" si="8"/>
        <v>49379.75</v>
      </c>
      <c r="X27" s="2560">
        <f t="shared" si="8"/>
        <v>1.0479106472896627</v>
      </c>
      <c r="Y27" s="2561">
        <f t="shared" si="8"/>
        <v>0.78533563901195258</v>
      </c>
      <c r="AA27" s="249"/>
      <c r="AB27" s="249"/>
      <c r="AC27" s="249"/>
    </row>
    <row r="28" spans="1:29" s="307" customFormat="1" ht="21" customHeight="1">
      <c r="A28" s="275" t="str">
        <f t="shared" si="8"/>
        <v xml:space="preserve">             6</v>
      </c>
      <c r="B28" s="2577">
        <f t="shared" si="8"/>
        <v>7</v>
      </c>
      <c r="C28" s="2556">
        <f t="shared" si="8"/>
        <v>555</v>
      </c>
      <c r="D28" s="2556">
        <f t="shared" si="8"/>
        <v>259</v>
      </c>
      <c r="E28" s="2556">
        <f t="shared" si="8"/>
        <v>60</v>
      </c>
      <c r="F28" s="2556">
        <f t="shared" si="8"/>
        <v>1143</v>
      </c>
      <c r="G28" s="2556">
        <f t="shared" si="8"/>
        <v>252</v>
      </c>
      <c r="H28" s="2556">
        <f t="shared" si="8"/>
        <v>963</v>
      </c>
      <c r="I28" s="2556">
        <f t="shared" si="8"/>
        <v>1068</v>
      </c>
      <c r="J28" s="2556">
        <f t="shared" si="8"/>
        <v>312</v>
      </c>
      <c r="K28" s="2556">
        <f t="shared" si="8"/>
        <v>217</v>
      </c>
      <c r="L28" s="2556">
        <f t="shared" si="8"/>
        <v>18866</v>
      </c>
      <c r="M28" s="2557">
        <f t="shared" si="8"/>
        <v>23702</v>
      </c>
      <c r="N28" s="2555">
        <f t="shared" si="8"/>
        <v>2858</v>
      </c>
      <c r="O28" s="2556">
        <f t="shared" si="8"/>
        <v>2664.55</v>
      </c>
      <c r="P28" s="2556">
        <f t="shared" si="8"/>
        <v>2650.88</v>
      </c>
      <c r="Q28" s="2556">
        <f t="shared" si="8"/>
        <v>2650.37</v>
      </c>
      <c r="R28" s="2556">
        <f t="shared" si="8"/>
        <v>2482.9749999999999</v>
      </c>
      <c r="S28" s="2556">
        <f t="shared" si="8"/>
        <v>12175.375</v>
      </c>
      <c r="T28" s="2556">
        <f t="shared" si="8"/>
        <v>25482.15</v>
      </c>
      <c r="U28" s="2556">
        <f t="shared" si="8"/>
        <v>525</v>
      </c>
      <c r="V28" s="2557">
        <f t="shared" si="8"/>
        <v>26007.15</v>
      </c>
      <c r="W28" s="2555">
        <f t="shared" si="8"/>
        <v>49709.15</v>
      </c>
      <c r="X28" s="2560">
        <f t="shared" si="8"/>
        <v>2.1726010863005518</v>
      </c>
      <c r="Y28" s="2561">
        <f t="shared" si="8"/>
        <v>1.7238715486501688</v>
      </c>
      <c r="AA28" s="249"/>
      <c r="AB28" s="249"/>
      <c r="AC28" s="249"/>
    </row>
    <row r="29" spans="1:29" s="307" customFormat="1" ht="21" customHeight="1">
      <c r="A29" s="275" t="str">
        <f t="shared" si="8"/>
        <v xml:space="preserve">             7</v>
      </c>
      <c r="B29" s="2577">
        <f t="shared" si="8"/>
        <v>7</v>
      </c>
      <c r="C29" s="2556">
        <f t="shared" si="8"/>
        <v>556</v>
      </c>
      <c r="D29" s="2556">
        <f t="shared" si="8"/>
        <v>262</v>
      </c>
      <c r="E29" s="2556">
        <f t="shared" si="8"/>
        <v>60</v>
      </c>
      <c r="F29" s="2556">
        <f t="shared" si="8"/>
        <v>870</v>
      </c>
      <c r="G29" s="2556">
        <f t="shared" si="8"/>
        <v>257</v>
      </c>
      <c r="H29" s="2556">
        <f t="shared" si="8"/>
        <v>966</v>
      </c>
      <c r="I29" s="2556">
        <f t="shared" si="8"/>
        <v>1091</v>
      </c>
      <c r="J29" s="2556">
        <f t="shared" si="8"/>
        <v>316</v>
      </c>
      <c r="K29" s="2556">
        <f t="shared" si="8"/>
        <v>221</v>
      </c>
      <c r="L29" s="2556">
        <f t="shared" si="8"/>
        <v>19131</v>
      </c>
      <c r="M29" s="2557">
        <f t="shared" si="8"/>
        <v>23737</v>
      </c>
      <c r="N29" s="2555">
        <f t="shared" si="8"/>
        <v>2839.875</v>
      </c>
      <c r="O29" s="2556">
        <f t="shared" si="8"/>
        <v>2665.6750000000002</v>
      </c>
      <c r="P29" s="2556">
        <f t="shared" si="8"/>
        <v>2646.88</v>
      </c>
      <c r="Q29" s="2556">
        <f t="shared" si="8"/>
        <v>2632.34</v>
      </c>
      <c r="R29" s="2556">
        <f t="shared" si="8"/>
        <v>2480.875</v>
      </c>
      <c r="S29" s="2556">
        <f t="shared" si="8"/>
        <v>12180.35</v>
      </c>
      <c r="T29" s="2556">
        <f t="shared" si="8"/>
        <v>25445.995000000003</v>
      </c>
      <c r="U29" s="2556">
        <f t="shared" si="8"/>
        <v>523.6</v>
      </c>
      <c r="V29" s="2557">
        <f t="shared" si="8"/>
        <v>25969.595000000001</v>
      </c>
      <c r="W29" s="2555">
        <f t="shared" si="8"/>
        <v>49706.595000000001</v>
      </c>
      <c r="X29" s="2560">
        <f t="shared" si="8"/>
        <v>0.95695814903027365</v>
      </c>
      <c r="Y29" s="2561">
        <f t="shared" si="8"/>
        <v>1.1995544145705583</v>
      </c>
      <c r="AA29" s="249"/>
      <c r="AB29" s="249"/>
      <c r="AC29" s="249"/>
    </row>
    <row r="30" spans="1:29" s="307" customFormat="1" ht="21" customHeight="1">
      <c r="A30" s="275" t="str">
        <f t="shared" si="8"/>
        <v xml:space="preserve">             8</v>
      </c>
      <c r="B30" s="2577">
        <f t="shared" si="8"/>
        <v>7</v>
      </c>
      <c r="C30" s="2556">
        <f t="shared" si="8"/>
        <v>557</v>
      </c>
      <c r="D30" s="2556">
        <f t="shared" si="8"/>
        <v>264</v>
      </c>
      <c r="E30" s="2556">
        <f t="shared" si="8"/>
        <v>60</v>
      </c>
      <c r="F30" s="2556">
        <f t="shared" si="8"/>
        <v>863</v>
      </c>
      <c r="G30" s="2556">
        <f t="shared" si="8"/>
        <v>258</v>
      </c>
      <c r="H30" s="2556">
        <f t="shared" si="8"/>
        <v>982</v>
      </c>
      <c r="I30" s="2556">
        <f t="shared" si="8"/>
        <v>1093</v>
      </c>
      <c r="J30" s="2556">
        <f t="shared" si="8"/>
        <v>315</v>
      </c>
      <c r="K30" s="2556">
        <f t="shared" si="8"/>
        <v>221</v>
      </c>
      <c r="L30" s="2556">
        <f t="shared" si="8"/>
        <v>19119</v>
      </c>
      <c r="M30" s="2557">
        <f t="shared" si="8"/>
        <v>23739</v>
      </c>
      <c r="N30" s="2555">
        <f t="shared" si="8"/>
        <v>2837.5</v>
      </c>
      <c r="O30" s="2556">
        <f t="shared" si="8"/>
        <v>2661</v>
      </c>
      <c r="P30" s="2556">
        <f t="shared" si="8"/>
        <v>2654.88</v>
      </c>
      <c r="Q30" s="2556">
        <f t="shared" si="8"/>
        <v>2628.77</v>
      </c>
      <c r="R30" s="2556">
        <f t="shared" si="8"/>
        <v>2474.125</v>
      </c>
      <c r="S30" s="2556">
        <f t="shared" si="8"/>
        <v>12208.65</v>
      </c>
      <c r="T30" s="2556">
        <f t="shared" si="8"/>
        <v>25464.924999999999</v>
      </c>
      <c r="U30" s="2556">
        <f t="shared" si="8"/>
        <v>522.6</v>
      </c>
      <c r="V30" s="2557">
        <f t="shared" si="8"/>
        <v>25987.524999999998</v>
      </c>
      <c r="W30" s="2555">
        <f t="shared" si="8"/>
        <v>49726.524999999994</v>
      </c>
      <c r="X30" s="2560">
        <f t="shared" si="8"/>
        <v>1.0643279833113306</v>
      </c>
      <c r="Y30" s="2561">
        <f t="shared" si="8"/>
        <v>0.82097896043729079</v>
      </c>
      <c r="AA30" s="249"/>
      <c r="AB30" s="249"/>
      <c r="AC30" s="249"/>
    </row>
    <row r="31" spans="1:29" s="307" customFormat="1" ht="21" customHeight="1">
      <c r="A31" s="275" t="str">
        <f t="shared" si="8"/>
        <v xml:space="preserve">             9</v>
      </c>
      <c r="B31" s="2577">
        <f t="shared" si="8"/>
        <v>7</v>
      </c>
      <c r="C31" s="2556">
        <f t="shared" si="8"/>
        <v>554</v>
      </c>
      <c r="D31" s="2556">
        <f t="shared" si="8"/>
        <v>263</v>
      </c>
      <c r="E31" s="2556">
        <f t="shared" si="8"/>
        <v>60</v>
      </c>
      <c r="F31" s="2556">
        <f t="shared" si="8"/>
        <v>857</v>
      </c>
      <c r="G31" s="2556">
        <f t="shared" si="8"/>
        <v>258</v>
      </c>
      <c r="H31" s="2556">
        <f t="shared" si="8"/>
        <v>977</v>
      </c>
      <c r="I31" s="2556">
        <f t="shared" si="8"/>
        <v>1085</v>
      </c>
      <c r="J31" s="2556">
        <f t="shared" si="8"/>
        <v>315</v>
      </c>
      <c r="K31" s="2556">
        <f t="shared" si="8"/>
        <v>220</v>
      </c>
      <c r="L31" s="2556">
        <f t="shared" si="8"/>
        <v>18971</v>
      </c>
      <c r="M31" s="2557">
        <f t="shared" si="8"/>
        <v>23567</v>
      </c>
      <c r="N31" s="2555">
        <f t="shared" si="8"/>
        <v>2841</v>
      </c>
      <c r="O31" s="2556">
        <f t="shared" si="8"/>
        <v>2629.875</v>
      </c>
      <c r="P31" s="2556">
        <f t="shared" si="8"/>
        <v>2641.88</v>
      </c>
      <c r="Q31" s="2556">
        <f t="shared" si="8"/>
        <v>2624.82</v>
      </c>
      <c r="R31" s="2556">
        <f t="shared" si="8"/>
        <v>2467.875</v>
      </c>
      <c r="S31" s="2556">
        <f t="shared" si="8"/>
        <v>12405.125</v>
      </c>
      <c r="T31" s="2556">
        <f t="shared" si="8"/>
        <v>25610.575000000001</v>
      </c>
      <c r="U31" s="2556">
        <f t="shared" si="8"/>
        <v>519.6</v>
      </c>
      <c r="V31" s="2557">
        <f t="shared" si="8"/>
        <v>26130.174999999999</v>
      </c>
      <c r="W31" s="2555">
        <f t="shared" si="8"/>
        <v>49697.175000000003</v>
      </c>
      <c r="X31" s="2560">
        <f t="shared" si="8"/>
        <v>1.2806738579225652</v>
      </c>
      <c r="Y31" s="2561">
        <f t="shared" si="8"/>
        <v>1.3155357144313262</v>
      </c>
      <c r="AA31" s="249"/>
      <c r="AB31" s="249"/>
      <c r="AC31" s="249"/>
    </row>
    <row r="32" spans="1:29" s="307" customFormat="1" ht="21" customHeight="1">
      <c r="A32" s="2583" t="str">
        <f t="shared" si="8"/>
        <v xml:space="preserve">            10</v>
      </c>
      <c r="B32" s="2556">
        <f t="shared" si="8"/>
        <v>7</v>
      </c>
      <c r="C32" s="2556">
        <f t="shared" si="8"/>
        <v>550</v>
      </c>
      <c r="D32" s="2556">
        <f t="shared" si="8"/>
        <v>262</v>
      </c>
      <c r="E32" s="2556">
        <f t="shared" si="8"/>
        <v>60</v>
      </c>
      <c r="F32" s="2556">
        <f t="shared" si="8"/>
        <v>857</v>
      </c>
      <c r="G32" s="2556">
        <f t="shared" si="8"/>
        <v>258</v>
      </c>
      <c r="H32" s="2556">
        <f t="shared" si="8"/>
        <v>973</v>
      </c>
      <c r="I32" s="2556">
        <f t="shared" si="8"/>
        <v>1084</v>
      </c>
      <c r="J32" s="2556">
        <f t="shared" si="8"/>
        <v>315</v>
      </c>
      <c r="K32" s="2556">
        <f t="shared" si="8"/>
        <v>219</v>
      </c>
      <c r="L32" s="2556">
        <f t="shared" si="8"/>
        <v>18958</v>
      </c>
      <c r="M32" s="2557">
        <f t="shared" si="8"/>
        <v>23543</v>
      </c>
      <c r="N32" s="2555">
        <f t="shared" si="8"/>
        <v>2839.625</v>
      </c>
      <c r="O32" s="2556">
        <f t="shared" si="8"/>
        <v>2625.875</v>
      </c>
      <c r="P32" s="2556">
        <f t="shared" si="8"/>
        <v>2640.88</v>
      </c>
      <c r="Q32" s="2556">
        <f t="shared" si="8"/>
        <v>2625.64</v>
      </c>
      <c r="R32" s="2556">
        <f t="shared" si="8"/>
        <v>2443.875</v>
      </c>
      <c r="S32" s="2556">
        <f t="shared" si="8"/>
        <v>12386.3</v>
      </c>
      <c r="T32" s="2556">
        <f t="shared" si="8"/>
        <v>25562.195</v>
      </c>
      <c r="U32" s="2556">
        <f t="shared" si="8"/>
        <v>518.6</v>
      </c>
      <c r="V32" s="2557">
        <f t="shared" si="8"/>
        <v>26080.794999999998</v>
      </c>
      <c r="W32" s="2555">
        <f t="shared" si="8"/>
        <v>49623.794999999998</v>
      </c>
      <c r="X32" s="2560">
        <f t="shared" si="8"/>
        <v>0.86110873104274788</v>
      </c>
      <c r="Y32" s="2561">
        <f t="shared" si="8"/>
        <v>1.1082857832694915</v>
      </c>
      <c r="AA32" s="249"/>
      <c r="AB32" s="249"/>
      <c r="AC32" s="249"/>
    </row>
    <row r="33" spans="1:29" s="307" customFormat="1" ht="21" customHeight="1">
      <c r="A33" s="2584" t="s">
        <v>1011</v>
      </c>
      <c r="B33" s="2531" t="s">
        <v>1382</v>
      </c>
      <c r="C33" s="2573" t="s">
        <v>1428</v>
      </c>
      <c r="D33" s="2573" t="s">
        <v>1429</v>
      </c>
      <c r="E33" s="2534" t="s">
        <v>1430</v>
      </c>
      <c r="F33" s="2534" t="s">
        <v>1416</v>
      </c>
      <c r="G33" s="2534" t="s">
        <v>1433</v>
      </c>
      <c r="H33" s="2534" t="s">
        <v>1425</v>
      </c>
      <c r="I33" s="2534" t="s">
        <v>1426</v>
      </c>
      <c r="J33" s="2585" t="s">
        <v>1434</v>
      </c>
      <c r="K33" s="2534" t="s">
        <v>1432</v>
      </c>
      <c r="L33" s="2534" t="s">
        <v>1409</v>
      </c>
      <c r="M33" s="2536" t="s">
        <v>192</v>
      </c>
      <c r="N33" s="2530" t="s">
        <v>1410</v>
      </c>
      <c r="O33" s="2531" t="s">
        <v>1411</v>
      </c>
      <c r="P33" s="2531" t="s">
        <v>1412</v>
      </c>
      <c r="Q33" s="2531" t="s">
        <v>1413</v>
      </c>
      <c r="R33" s="2531" t="s">
        <v>1414</v>
      </c>
      <c r="S33" s="2565" t="s">
        <v>1397</v>
      </c>
      <c r="T33" s="2565" t="s">
        <v>1398</v>
      </c>
      <c r="U33" s="2540" t="s">
        <v>1399</v>
      </c>
      <c r="V33" s="2566" t="s">
        <v>450</v>
      </c>
      <c r="W33" s="2530" t="s">
        <v>1380</v>
      </c>
      <c r="X33" s="2543" t="s">
        <v>1400</v>
      </c>
      <c r="Y33" s="2544" t="s">
        <v>1415</v>
      </c>
      <c r="AA33" s="249"/>
      <c r="AB33" s="249"/>
      <c r="AC33" s="249"/>
    </row>
    <row r="34" spans="1:29" s="307" customFormat="1" ht="21" customHeight="1">
      <c r="A34" s="2832" t="str">
        <f>A57</f>
        <v xml:space="preserve">            11</v>
      </c>
      <c r="B34" s="2833">
        <f t="shared" ref="B34:Y35" si="9">B57</f>
        <v>7</v>
      </c>
      <c r="C34" s="2834">
        <f t="shared" si="9"/>
        <v>810</v>
      </c>
      <c r="D34" s="2834">
        <f t="shared" si="9"/>
        <v>228</v>
      </c>
      <c r="E34" s="2834">
        <f t="shared" si="9"/>
        <v>154</v>
      </c>
      <c r="F34" s="2834">
        <f t="shared" si="9"/>
        <v>541</v>
      </c>
      <c r="G34" s="2834">
        <f t="shared" si="9"/>
        <v>254</v>
      </c>
      <c r="H34" s="2834">
        <f t="shared" si="9"/>
        <v>949</v>
      </c>
      <c r="I34" s="2834">
        <f t="shared" si="9"/>
        <v>1090</v>
      </c>
      <c r="J34" s="2834">
        <f t="shared" si="9"/>
        <v>324</v>
      </c>
      <c r="K34" s="2834">
        <f t="shared" si="9"/>
        <v>257</v>
      </c>
      <c r="L34" s="2834">
        <f t="shared" si="9"/>
        <v>18944</v>
      </c>
      <c r="M34" s="2838">
        <f t="shared" si="9"/>
        <v>23558</v>
      </c>
      <c r="N34" s="2839">
        <f t="shared" si="9"/>
        <v>2839</v>
      </c>
      <c r="O34" s="2834">
        <f t="shared" si="9"/>
        <v>2625.875</v>
      </c>
      <c r="P34" s="2834">
        <f t="shared" si="9"/>
        <v>2735.875</v>
      </c>
      <c r="Q34" s="2834">
        <f t="shared" si="9"/>
        <v>2630.39</v>
      </c>
      <c r="R34" s="2834">
        <f t="shared" si="9"/>
        <v>2445.375</v>
      </c>
      <c r="S34" s="2834">
        <f t="shared" si="9"/>
        <v>12371.125</v>
      </c>
      <c r="T34" s="2834">
        <f t="shared" si="9"/>
        <v>25647.64</v>
      </c>
      <c r="U34" s="2834">
        <f t="shared" si="9"/>
        <v>524.1</v>
      </c>
      <c r="V34" s="2838">
        <f t="shared" si="9"/>
        <v>26171.739999999998</v>
      </c>
      <c r="W34" s="2839">
        <f t="shared" si="9"/>
        <v>49729.74</v>
      </c>
      <c r="X34" s="2840">
        <f t="shared" si="9"/>
        <v>1.0379138788814579</v>
      </c>
      <c r="Y34" s="2841">
        <f t="shared" si="9"/>
        <v>1.3481535148255341</v>
      </c>
      <c r="AA34" s="249"/>
      <c r="AB34" s="249"/>
      <c r="AC34" s="249"/>
    </row>
    <row r="35" spans="1:29" s="307" customFormat="1" ht="21" customHeight="1">
      <c r="A35" s="2835" t="str">
        <f>A58</f>
        <v xml:space="preserve">            12</v>
      </c>
      <c r="B35" s="2836">
        <f t="shared" si="9"/>
        <v>7</v>
      </c>
      <c r="C35" s="2837">
        <f t="shared" si="9"/>
        <v>804</v>
      </c>
      <c r="D35" s="2837">
        <f t="shared" si="9"/>
        <v>211</v>
      </c>
      <c r="E35" s="2837">
        <f t="shared" si="9"/>
        <v>153</v>
      </c>
      <c r="F35" s="2837">
        <f t="shared" si="9"/>
        <v>545</v>
      </c>
      <c r="G35" s="2837">
        <f t="shared" si="9"/>
        <v>235</v>
      </c>
      <c r="H35" s="2837">
        <f t="shared" si="9"/>
        <v>933</v>
      </c>
      <c r="I35" s="2837">
        <f t="shared" si="9"/>
        <v>1078</v>
      </c>
      <c r="J35" s="2837">
        <f t="shared" si="9"/>
        <v>317</v>
      </c>
      <c r="K35" s="2837">
        <f t="shared" si="9"/>
        <v>253</v>
      </c>
      <c r="L35" s="2837">
        <f t="shared" si="9"/>
        <v>19027</v>
      </c>
      <c r="M35" s="2842">
        <f t="shared" si="9"/>
        <v>23563</v>
      </c>
      <c r="N35" s="2843">
        <f t="shared" si="9"/>
        <v>2821.875</v>
      </c>
      <c r="O35" s="2837">
        <f t="shared" si="9"/>
        <v>2662.05</v>
      </c>
      <c r="P35" s="2837">
        <f t="shared" si="9"/>
        <v>2722.875</v>
      </c>
      <c r="Q35" s="2837">
        <f t="shared" si="9"/>
        <v>2619.0100000000002</v>
      </c>
      <c r="R35" s="2837">
        <f t="shared" si="9"/>
        <v>2466.125</v>
      </c>
      <c r="S35" s="2837">
        <f t="shared" si="9"/>
        <v>12459.75</v>
      </c>
      <c r="T35" s="2837">
        <f t="shared" si="9"/>
        <v>25751.684999999998</v>
      </c>
      <c r="U35" s="2837">
        <f t="shared" si="9"/>
        <v>532.1</v>
      </c>
      <c r="V35" s="2842">
        <f t="shared" si="9"/>
        <v>26283.784999999996</v>
      </c>
      <c r="W35" s="2843">
        <f t="shared" si="9"/>
        <v>49846.784999999996</v>
      </c>
      <c r="X35" s="2844">
        <f t="shared" si="9"/>
        <v>1.1808656818962593</v>
      </c>
      <c r="Y35" s="2845">
        <f t="shared" si="9"/>
        <v>1.2014205657189247</v>
      </c>
      <c r="AA35" s="249"/>
      <c r="AB35" s="249"/>
      <c r="AC35" s="249"/>
    </row>
    <row r="36" spans="1:29" s="307" customFormat="1" ht="3.75" customHeight="1">
      <c r="A36" s="2054"/>
      <c r="B36" s="2586"/>
      <c r="C36" s="2586"/>
      <c r="D36" s="2586"/>
      <c r="E36" s="2586"/>
      <c r="F36" s="2586"/>
      <c r="G36" s="2586"/>
      <c r="H36" s="2586"/>
      <c r="I36" s="2586"/>
      <c r="J36" s="2586"/>
      <c r="K36" s="2586"/>
      <c r="L36" s="2586"/>
      <c r="M36" s="2586"/>
      <c r="N36" s="2586"/>
      <c r="O36" s="2586"/>
      <c r="P36" s="2586"/>
      <c r="Q36" s="2586"/>
      <c r="R36" s="2586"/>
      <c r="S36" s="2586"/>
      <c r="T36" s="2586"/>
      <c r="U36" s="2586"/>
      <c r="V36" s="2586"/>
      <c r="W36" s="632"/>
      <c r="X36" s="2587"/>
      <c r="Y36" s="2587"/>
      <c r="AA36" s="249"/>
      <c r="AB36" s="249"/>
      <c r="AC36" s="249"/>
    </row>
    <row r="37" spans="1:29" s="250" customFormat="1" ht="12" customHeight="1">
      <c r="A37" s="3181" t="s">
        <v>1435</v>
      </c>
      <c r="B37" s="3181"/>
      <c r="C37" s="3181"/>
      <c r="D37" s="3181"/>
      <c r="E37" s="3181"/>
      <c r="F37" s="3181"/>
      <c r="G37" s="3181"/>
      <c r="H37" s="305"/>
      <c r="I37" s="628"/>
      <c r="J37" s="628"/>
      <c r="K37" s="2586"/>
      <c r="L37" s="628"/>
      <c r="M37" s="1520"/>
      <c r="N37" s="1520"/>
      <c r="O37" s="1520"/>
      <c r="P37" s="1520"/>
      <c r="Q37" s="1520"/>
      <c r="R37" s="1520"/>
      <c r="S37" s="1520"/>
      <c r="T37" s="1520"/>
      <c r="U37" s="1520"/>
      <c r="V37" s="1520"/>
      <c r="W37" s="1520"/>
      <c r="X37" s="1520"/>
      <c r="Y37" s="2588"/>
      <c r="AA37" s="249"/>
      <c r="AB37" s="249"/>
      <c r="AC37" s="249"/>
    </row>
    <row r="38" spans="1:29" s="250" customFormat="1" ht="12" customHeight="1">
      <c r="A38" s="3181" t="s">
        <v>1436</v>
      </c>
      <c r="B38" s="3181"/>
      <c r="C38" s="3181"/>
      <c r="D38" s="3181"/>
      <c r="E38" s="3181"/>
      <c r="F38" s="3181"/>
      <c r="G38" s="3181"/>
      <c r="H38" s="305"/>
      <c r="I38" s="628"/>
      <c r="J38" s="628"/>
      <c r="K38" s="628"/>
      <c r="L38" s="2586"/>
      <c r="M38" s="2589"/>
      <c r="N38" s="2587"/>
      <c r="O38" s="2587"/>
      <c r="P38" s="2587"/>
      <c r="Q38" s="2587"/>
      <c r="R38" s="2587"/>
      <c r="S38" s="2587"/>
      <c r="T38" s="2587"/>
      <c r="U38" s="2590"/>
      <c r="V38" s="2590"/>
      <c r="W38" s="2590"/>
      <c r="X38" s="1982"/>
      <c r="Y38" s="1771"/>
      <c r="AA38" s="249"/>
      <c r="AB38" s="249"/>
      <c r="AC38" s="249"/>
    </row>
    <row r="39" spans="1:29" s="250" customFormat="1" ht="14.1" customHeight="1">
      <c r="A39" s="3181"/>
      <c r="B39" s="3181"/>
      <c r="C39" s="3181"/>
      <c r="D39" s="3181"/>
      <c r="E39" s="3181"/>
      <c r="F39" s="3181"/>
      <c r="G39" s="3181"/>
      <c r="H39" s="305"/>
      <c r="I39" s="628"/>
      <c r="J39" s="628"/>
      <c r="K39" s="628"/>
      <c r="L39" s="2586"/>
      <c r="M39" s="2586"/>
      <c r="N39" s="2586"/>
      <c r="O39" s="2586"/>
      <c r="P39" s="2586"/>
      <c r="Q39" s="2590"/>
      <c r="R39" s="2590"/>
      <c r="S39" s="2590"/>
      <c r="T39" s="2590"/>
      <c r="U39" s="2590"/>
      <c r="V39" s="2590"/>
      <c r="W39" s="2590"/>
      <c r="X39" s="1982"/>
      <c r="Y39" s="1771"/>
      <c r="AA39" s="249"/>
      <c r="AB39" s="249"/>
      <c r="AC39" s="249"/>
    </row>
    <row r="40" spans="1:29" s="250" customFormat="1" ht="15" hidden="1" customHeight="1">
      <c r="A40" s="3181"/>
      <c r="B40" s="3181"/>
      <c r="C40" s="3181"/>
      <c r="D40" s="3181"/>
      <c r="E40" s="3181"/>
      <c r="F40" s="3181"/>
      <c r="G40" s="3181"/>
      <c r="H40" s="305"/>
      <c r="I40" s="628"/>
      <c r="J40" s="628"/>
      <c r="K40" s="628"/>
      <c r="L40" s="2586"/>
      <c r="M40" s="2586"/>
      <c r="N40" s="2586"/>
      <c r="O40" s="2586"/>
      <c r="P40" s="2586"/>
      <c r="Q40" s="1982"/>
      <c r="R40" s="1982"/>
      <c r="S40" s="1982"/>
      <c r="T40" s="1982"/>
      <c r="U40" s="1982"/>
      <c r="V40" s="1982"/>
      <c r="W40" s="1982"/>
      <c r="X40" s="1982"/>
      <c r="Y40" s="1771"/>
      <c r="AA40" s="249"/>
      <c r="AB40" s="249"/>
      <c r="AC40" s="249"/>
    </row>
    <row r="41" spans="1:29" s="250" customFormat="1">
      <c r="A41" s="3182"/>
      <c r="B41" s="3183"/>
      <c r="C41" s="3183"/>
      <c r="D41" s="3183"/>
      <c r="E41" s="3183"/>
      <c r="F41" s="3183"/>
      <c r="G41" s="3183"/>
      <c r="H41" s="305"/>
      <c r="I41" s="628"/>
      <c r="J41" s="628"/>
      <c r="K41" s="628"/>
      <c r="L41" s="628"/>
      <c r="M41" s="628"/>
      <c r="N41" s="628"/>
      <c r="O41" s="628"/>
      <c r="P41" s="628"/>
      <c r="Q41" s="1982"/>
      <c r="R41" s="1771"/>
      <c r="S41" s="1771"/>
      <c r="T41" s="1771"/>
      <c r="U41" s="1771"/>
      <c r="V41" s="1771"/>
      <c r="W41" s="1771"/>
      <c r="X41" s="1771"/>
      <c r="Y41" s="2495"/>
      <c r="AA41" s="249"/>
      <c r="AB41" s="249"/>
      <c r="AC41" s="249"/>
    </row>
    <row r="42" spans="1:29" s="250" customFormat="1" ht="17.25" customHeight="1">
      <c r="B42" s="2471"/>
      <c r="C42" s="2471" t="s">
        <v>1437</v>
      </c>
      <c r="H42" s="1771"/>
      <c r="I42" s="628"/>
      <c r="J42" s="628"/>
      <c r="K42" s="628"/>
      <c r="L42" s="628"/>
      <c r="M42" s="3184"/>
      <c r="N42" s="3184"/>
      <c r="O42" s="2471" t="s">
        <v>1438</v>
      </c>
      <c r="P42" s="629"/>
      <c r="Q42" s="2471"/>
      <c r="R42" s="1771"/>
      <c r="S42" s="1771"/>
      <c r="T42" s="1771"/>
      <c r="U42" s="1771"/>
      <c r="V42" s="1771"/>
      <c r="W42" s="1771"/>
      <c r="X42" s="1771"/>
      <c r="Y42" s="2495"/>
      <c r="AA42" s="249"/>
      <c r="AB42" s="249"/>
      <c r="AC42" s="249"/>
    </row>
    <row r="44" spans="1:29" ht="14.25" customHeight="1">
      <c r="A44" s="2591" t="s">
        <v>1333</v>
      </c>
      <c r="B44" s="2255"/>
      <c r="C44" s="2255"/>
      <c r="D44" s="2592"/>
      <c r="E44" s="2592"/>
      <c r="F44" s="2255" t="s">
        <v>1376</v>
      </c>
      <c r="G44" s="2255" t="s">
        <v>1377</v>
      </c>
      <c r="H44" s="2255" t="s">
        <v>1378</v>
      </c>
      <c r="I44" s="2592"/>
      <c r="J44" s="2592"/>
      <c r="K44" s="2592"/>
      <c r="L44" s="2592"/>
      <c r="M44" s="2255"/>
      <c r="N44" s="2934" t="s">
        <v>1379</v>
      </c>
      <c r="O44" s="2934"/>
      <c r="P44" s="2934"/>
      <c r="Q44" s="2934"/>
      <c r="R44" s="2934"/>
      <c r="S44" s="2934"/>
      <c r="T44" s="2934"/>
      <c r="U44" s="2934"/>
      <c r="V44" s="2255"/>
      <c r="W44" s="2593" t="s">
        <v>1380</v>
      </c>
      <c r="X44" s="2934" t="s">
        <v>1381</v>
      </c>
      <c r="Y44" s="2994"/>
    </row>
    <row r="45" spans="1:29" ht="21.75" customHeight="1">
      <c r="A45" s="2591" t="s">
        <v>1333</v>
      </c>
      <c r="B45" s="2594" t="s">
        <v>1439</v>
      </c>
      <c r="C45" s="2454" t="s">
        <v>1428</v>
      </c>
      <c r="D45" s="2595" t="s">
        <v>1429</v>
      </c>
      <c r="E45" s="2595" t="s">
        <v>1430</v>
      </c>
      <c r="F45" s="2596" t="s">
        <v>1431</v>
      </c>
      <c r="G45" s="2596" t="s">
        <v>1440</v>
      </c>
      <c r="H45" s="2597" t="s">
        <v>1425</v>
      </c>
      <c r="I45" s="2598" t="s">
        <v>1426</v>
      </c>
      <c r="J45" s="2599" t="s">
        <v>1427</v>
      </c>
      <c r="K45" s="2599" t="s">
        <v>1441</v>
      </c>
      <c r="L45" s="2534" t="s">
        <v>1409</v>
      </c>
      <c r="M45" s="1999" t="s">
        <v>192</v>
      </c>
      <c r="N45" s="2594" t="s">
        <v>1410</v>
      </c>
      <c r="O45" s="2454" t="s">
        <v>1411</v>
      </c>
      <c r="P45" s="2454" t="s">
        <v>1412</v>
      </c>
      <c r="Q45" s="2454" t="s">
        <v>1413</v>
      </c>
      <c r="R45" s="2454" t="s">
        <v>1414</v>
      </c>
      <c r="S45" s="2596" t="s">
        <v>1442</v>
      </c>
      <c r="T45" s="2565" t="s">
        <v>1443</v>
      </c>
      <c r="U45" s="2564" t="s">
        <v>1444</v>
      </c>
      <c r="V45" s="1999" t="s">
        <v>161</v>
      </c>
      <c r="W45" s="2593"/>
      <c r="X45" s="2085" t="s">
        <v>1400</v>
      </c>
      <c r="Y45" s="2566" t="s">
        <v>1415</v>
      </c>
    </row>
    <row r="46" spans="1:29" ht="21.75" customHeight="1">
      <c r="A46" s="2600" t="s">
        <v>1445</v>
      </c>
      <c r="B46" s="2601">
        <v>7</v>
      </c>
      <c r="C46" s="2454">
        <v>551</v>
      </c>
      <c r="D46" s="2602">
        <v>260</v>
      </c>
      <c r="E46" s="2602">
        <v>60</v>
      </c>
      <c r="F46" s="2602">
        <v>861</v>
      </c>
      <c r="G46" s="2602">
        <v>255</v>
      </c>
      <c r="H46" s="2602">
        <v>962</v>
      </c>
      <c r="I46" s="2602">
        <v>1069</v>
      </c>
      <c r="J46" s="2602">
        <v>315</v>
      </c>
      <c r="K46" s="2602">
        <v>209</v>
      </c>
      <c r="L46" s="2602">
        <v>18729</v>
      </c>
      <c r="M46" s="2603">
        <f t="shared" ref="M46" si="10">SUM(B46:L46)</f>
        <v>23278</v>
      </c>
      <c r="N46" s="2594">
        <v>2806.625</v>
      </c>
      <c r="O46" s="2454">
        <v>2596.875</v>
      </c>
      <c r="P46" s="2454">
        <v>2596.875</v>
      </c>
      <c r="Q46" s="2454">
        <v>2651</v>
      </c>
      <c r="R46" s="2454">
        <v>2507.375</v>
      </c>
      <c r="S46" s="2602">
        <v>12302.875</v>
      </c>
      <c r="T46" s="2604">
        <f t="shared" ref="T46:T55" si="11">SUM(N46:S46)</f>
        <v>25461.625</v>
      </c>
      <c r="U46" s="2602">
        <v>523.875</v>
      </c>
      <c r="V46" s="2549">
        <f t="shared" ref="V46:V50" si="12">SUM(T46:U46)</f>
        <v>25985.5</v>
      </c>
      <c r="W46" s="2549">
        <f t="shared" ref="W46:W55" si="13">M46+V46</f>
        <v>49263.5</v>
      </c>
      <c r="X46" s="2552">
        <f>(M46/M60-1)*100</f>
        <v>-0.63601826951807938</v>
      </c>
      <c r="Y46" s="2552">
        <f>(W46/W60-1)*100</f>
        <v>0.58399294777853328</v>
      </c>
    </row>
    <row r="47" spans="1:29" ht="21.75" customHeight="1">
      <c r="A47" s="2605" t="s">
        <v>1325</v>
      </c>
      <c r="B47" s="2606">
        <v>7</v>
      </c>
      <c r="C47" s="2456">
        <v>566</v>
      </c>
      <c r="D47" s="2607">
        <v>258</v>
      </c>
      <c r="E47" s="2607">
        <v>60</v>
      </c>
      <c r="F47" s="2607">
        <v>863</v>
      </c>
      <c r="G47" s="2607">
        <v>255</v>
      </c>
      <c r="H47" s="2607">
        <v>968</v>
      </c>
      <c r="I47" s="2607">
        <v>1070</v>
      </c>
      <c r="J47" s="2607">
        <v>316</v>
      </c>
      <c r="K47" s="2607">
        <v>213</v>
      </c>
      <c r="L47" s="2607">
        <v>18709</v>
      </c>
      <c r="M47" s="2608">
        <f t="shared" ref="M47:M55" si="14">SUM(B47:L47)</f>
        <v>23285</v>
      </c>
      <c r="N47" s="2609">
        <v>2782.625</v>
      </c>
      <c r="O47" s="2456">
        <v>2594.875</v>
      </c>
      <c r="P47" s="2456">
        <v>2595.875</v>
      </c>
      <c r="Q47" s="2456">
        <v>2653.45</v>
      </c>
      <c r="R47" s="2456">
        <v>2501.375</v>
      </c>
      <c r="S47" s="2607">
        <v>12284.9</v>
      </c>
      <c r="T47" s="2610">
        <f t="shared" si="11"/>
        <v>25413.1</v>
      </c>
      <c r="U47" s="2607">
        <v>522.5</v>
      </c>
      <c r="V47" s="2558">
        <f t="shared" si="12"/>
        <v>25935.599999999999</v>
      </c>
      <c r="W47" s="2558">
        <f t="shared" si="13"/>
        <v>49220.6</v>
      </c>
      <c r="X47" s="2570">
        <f>(M47/M61-1)*100</f>
        <v>-0.59340846994535568</v>
      </c>
      <c r="Y47" s="2570">
        <f>(W47/W61-1)*100</f>
        <v>0.32137301231021098</v>
      </c>
    </row>
    <row r="48" spans="1:29" ht="21.75" customHeight="1">
      <c r="A48" s="2605" t="s">
        <v>1326</v>
      </c>
      <c r="B48" s="2606">
        <v>7</v>
      </c>
      <c r="C48" s="2456">
        <v>558</v>
      </c>
      <c r="D48" s="2607">
        <v>258</v>
      </c>
      <c r="E48" s="2607">
        <v>59</v>
      </c>
      <c r="F48" s="2607">
        <v>856</v>
      </c>
      <c r="G48" s="2607">
        <v>255</v>
      </c>
      <c r="H48" s="2607">
        <v>960</v>
      </c>
      <c r="I48" s="2607">
        <v>1070</v>
      </c>
      <c r="J48" s="2607">
        <v>312</v>
      </c>
      <c r="K48" s="2607">
        <v>213</v>
      </c>
      <c r="L48" s="2607">
        <v>18804</v>
      </c>
      <c r="M48" s="2608">
        <f t="shared" si="14"/>
        <v>23352</v>
      </c>
      <c r="N48" s="2609">
        <v>2804.875</v>
      </c>
      <c r="O48" s="2456">
        <v>2572.625</v>
      </c>
      <c r="P48" s="2456">
        <v>2597.875</v>
      </c>
      <c r="Q48" s="2456">
        <v>2654.73</v>
      </c>
      <c r="R48" s="2456">
        <v>2500.875</v>
      </c>
      <c r="S48" s="2607">
        <v>12244.225</v>
      </c>
      <c r="T48" s="2610">
        <f t="shared" si="11"/>
        <v>25375.205000000002</v>
      </c>
      <c r="U48" s="2607">
        <v>520</v>
      </c>
      <c r="V48" s="2558">
        <f t="shared" si="12"/>
        <v>25895.205000000002</v>
      </c>
      <c r="W48" s="2558">
        <f t="shared" si="13"/>
        <v>49247.205000000002</v>
      </c>
      <c r="X48" s="2570">
        <f>(M48/M62-1)*100</f>
        <v>1.0515383616772622</v>
      </c>
      <c r="Y48" s="2570">
        <f>(W48/W62-1)*100</f>
        <v>1.1517680997485069</v>
      </c>
    </row>
    <row r="49" spans="1:25" ht="21.75" customHeight="1">
      <c r="A49" s="2605" t="s">
        <v>1314</v>
      </c>
      <c r="B49" s="2606">
        <v>7</v>
      </c>
      <c r="C49" s="2456">
        <v>556</v>
      </c>
      <c r="D49" s="2607">
        <v>259</v>
      </c>
      <c r="E49" s="2607">
        <v>59</v>
      </c>
      <c r="F49" s="2607">
        <v>858</v>
      </c>
      <c r="G49" s="2607">
        <v>254</v>
      </c>
      <c r="H49" s="2607">
        <v>961</v>
      </c>
      <c r="I49" s="2607">
        <v>1069</v>
      </c>
      <c r="J49" s="2607">
        <v>312</v>
      </c>
      <c r="K49" s="2607">
        <v>214</v>
      </c>
      <c r="L49" s="2607">
        <v>18885</v>
      </c>
      <c r="M49" s="2608">
        <f t="shared" si="14"/>
        <v>23434</v>
      </c>
      <c r="N49" s="2609">
        <v>2803.625</v>
      </c>
      <c r="O49" s="2456">
        <v>2620.375</v>
      </c>
      <c r="P49" s="2456">
        <v>2690.875</v>
      </c>
      <c r="Q49" s="2456">
        <v>2653.7300000000005</v>
      </c>
      <c r="R49" s="2456">
        <v>2484.875</v>
      </c>
      <c r="S49" s="2607">
        <v>12237.55</v>
      </c>
      <c r="T49" s="2610">
        <f t="shared" si="11"/>
        <v>25491.03</v>
      </c>
      <c r="U49" s="2607">
        <v>513</v>
      </c>
      <c r="V49" s="2558">
        <f t="shared" si="12"/>
        <v>26004.03</v>
      </c>
      <c r="W49" s="2558">
        <f t="shared" si="13"/>
        <v>49438.03</v>
      </c>
      <c r="X49" s="2570">
        <f>(M49/M64-1)*100</f>
        <v>0.99991380053443546</v>
      </c>
      <c r="Y49" s="2570">
        <f>(W49/W64-1)*100</f>
        <v>1.4322542390790449</v>
      </c>
    </row>
    <row r="50" spans="1:25" ht="21.75" customHeight="1">
      <c r="A50" s="2605" t="s">
        <v>1315</v>
      </c>
      <c r="B50" s="2606">
        <v>7</v>
      </c>
      <c r="C50" s="2456">
        <v>558</v>
      </c>
      <c r="D50" s="2607">
        <v>260</v>
      </c>
      <c r="E50" s="2607">
        <v>60</v>
      </c>
      <c r="F50" s="2607">
        <v>856</v>
      </c>
      <c r="G50" s="2607">
        <v>253</v>
      </c>
      <c r="H50" s="2607">
        <v>965</v>
      </c>
      <c r="I50" s="2607">
        <v>1071</v>
      </c>
      <c r="J50" s="2607">
        <v>311</v>
      </c>
      <c r="K50" s="2607">
        <v>216</v>
      </c>
      <c r="L50" s="2607">
        <v>18875</v>
      </c>
      <c r="M50" s="2608">
        <f t="shared" si="14"/>
        <v>23432</v>
      </c>
      <c r="N50" s="2609">
        <v>2801.125</v>
      </c>
      <c r="O50" s="2456">
        <v>2670.625</v>
      </c>
      <c r="P50" s="2456">
        <v>2691.88</v>
      </c>
      <c r="Q50" s="2456">
        <v>2540.1200000000003</v>
      </c>
      <c r="R50" s="2456">
        <v>2483.375</v>
      </c>
      <c r="S50" s="2607">
        <v>12245.625</v>
      </c>
      <c r="T50" s="2610">
        <f t="shared" si="11"/>
        <v>25432.75</v>
      </c>
      <c r="U50" s="2607">
        <v>515</v>
      </c>
      <c r="V50" s="2558">
        <f t="shared" si="12"/>
        <v>25947.75</v>
      </c>
      <c r="W50" s="2558">
        <f t="shared" si="13"/>
        <v>49379.75</v>
      </c>
      <c r="X50" s="2570">
        <f>(M50/M65-1)*100</f>
        <v>1.0479106472896627</v>
      </c>
      <c r="Y50" s="2570">
        <f>(W50/W65-1)*100</f>
        <v>0.78533563901195258</v>
      </c>
    </row>
    <row r="51" spans="1:25" ht="21.75" customHeight="1">
      <c r="A51" s="2605" t="s">
        <v>1316</v>
      </c>
      <c r="B51" s="2609">
        <v>7</v>
      </c>
      <c r="C51" s="2456">
        <v>555</v>
      </c>
      <c r="D51" s="2607">
        <v>259</v>
      </c>
      <c r="E51" s="2607">
        <v>60</v>
      </c>
      <c r="F51" s="2607">
        <v>1143</v>
      </c>
      <c r="G51" s="2607">
        <v>252</v>
      </c>
      <c r="H51" s="2607">
        <v>963</v>
      </c>
      <c r="I51" s="1041">
        <v>1068</v>
      </c>
      <c r="J51" s="2607">
        <v>312</v>
      </c>
      <c r="K51" s="2607">
        <v>217</v>
      </c>
      <c r="L51" s="2607">
        <v>18866</v>
      </c>
      <c r="M51" s="2608">
        <f t="shared" si="14"/>
        <v>23702</v>
      </c>
      <c r="N51" s="2609">
        <v>2858</v>
      </c>
      <c r="O51" s="2456">
        <v>2664.55</v>
      </c>
      <c r="P51" s="2456">
        <v>2650.88</v>
      </c>
      <c r="Q51" s="2456">
        <v>2650.37</v>
      </c>
      <c r="R51" s="2456">
        <v>2482.9749999999999</v>
      </c>
      <c r="S51" s="2607">
        <v>12175.375</v>
      </c>
      <c r="T51" s="2610">
        <f t="shared" si="11"/>
        <v>25482.15</v>
      </c>
      <c r="U51" s="2607">
        <v>525</v>
      </c>
      <c r="V51" s="2558">
        <f t="shared" ref="V51" si="15">SUM(T51:U51)</f>
        <v>26007.15</v>
      </c>
      <c r="W51" s="2558">
        <f t="shared" si="13"/>
        <v>49709.15</v>
      </c>
      <c r="X51" s="2570">
        <f>(M51/M66-1)*100</f>
        <v>2.1726010863005518</v>
      </c>
      <c r="Y51" s="2570">
        <f>(W51/W66-1)*100</f>
        <v>1.7238715486501688</v>
      </c>
    </row>
    <row r="52" spans="1:25" ht="21.75" customHeight="1">
      <c r="A52" s="2605" t="s">
        <v>1317</v>
      </c>
      <c r="B52" s="2609">
        <v>7</v>
      </c>
      <c r="C52" s="2456">
        <v>556</v>
      </c>
      <c r="D52" s="2607">
        <v>262</v>
      </c>
      <c r="E52" s="2607">
        <v>60</v>
      </c>
      <c r="F52" s="2607">
        <v>870</v>
      </c>
      <c r="G52" s="2607">
        <v>257</v>
      </c>
      <c r="H52" s="2607">
        <v>966</v>
      </c>
      <c r="I52" s="1041">
        <v>1091</v>
      </c>
      <c r="J52" s="2607">
        <v>316</v>
      </c>
      <c r="K52" s="2607">
        <v>221</v>
      </c>
      <c r="L52" s="2607">
        <v>19131</v>
      </c>
      <c r="M52" s="2608">
        <f t="shared" si="14"/>
        <v>23737</v>
      </c>
      <c r="N52" s="2609">
        <v>2839.875</v>
      </c>
      <c r="O52" s="2456">
        <v>2665.6750000000002</v>
      </c>
      <c r="P52" s="2456">
        <v>2646.88</v>
      </c>
      <c r="Q52" s="2456">
        <v>2632.34</v>
      </c>
      <c r="R52" s="2456">
        <v>2480.875</v>
      </c>
      <c r="S52" s="2607">
        <v>12180.35</v>
      </c>
      <c r="T52" s="2610">
        <f t="shared" si="11"/>
        <v>25445.995000000003</v>
      </c>
      <c r="U52" s="2607">
        <v>523.6</v>
      </c>
      <c r="V52" s="2558">
        <f t="shared" ref="V52:V55" si="16">SUM(T52:U52)</f>
        <v>25969.595000000001</v>
      </c>
      <c r="W52" s="2558">
        <f t="shared" si="13"/>
        <v>49706.595000000001</v>
      </c>
      <c r="X52" s="2570">
        <f>(M52/M68-1)*100</f>
        <v>0.95695814903027365</v>
      </c>
      <c r="Y52" s="2570">
        <f>(W52/W68-1)*100</f>
        <v>1.1995544145705583</v>
      </c>
    </row>
    <row r="53" spans="1:25" ht="21.75" customHeight="1">
      <c r="A53" s="2605" t="s">
        <v>1318</v>
      </c>
      <c r="B53" s="2609">
        <v>7</v>
      </c>
      <c r="C53" s="2456">
        <v>557</v>
      </c>
      <c r="D53" s="2607">
        <v>264</v>
      </c>
      <c r="E53" s="2607">
        <v>60</v>
      </c>
      <c r="F53" s="2607">
        <v>863</v>
      </c>
      <c r="G53" s="2607">
        <v>258</v>
      </c>
      <c r="H53" s="2607">
        <v>982</v>
      </c>
      <c r="I53" s="1041">
        <v>1093</v>
      </c>
      <c r="J53" s="2607">
        <v>315</v>
      </c>
      <c r="K53" s="2607">
        <v>221</v>
      </c>
      <c r="L53" s="2607">
        <v>19119</v>
      </c>
      <c r="M53" s="2608">
        <f t="shared" si="14"/>
        <v>23739</v>
      </c>
      <c r="N53" s="2609">
        <v>2837.5</v>
      </c>
      <c r="O53" s="2456">
        <v>2661</v>
      </c>
      <c r="P53" s="2456">
        <v>2654.88</v>
      </c>
      <c r="Q53" s="2456">
        <v>2628.77</v>
      </c>
      <c r="R53" s="2456">
        <v>2474.125</v>
      </c>
      <c r="S53" s="2607">
        <v>12208.65</v>
      </c>
      <c r="T53" s="2610">
        <f t="shared" si="11"/>
        <v>25464.924999999999</v>
      </c>
      <c r="U53" s="2607">
        <v>522.6</v>
      </c>
      <c r="V53" s="2558">
        <f t="shared" si="16"/>
        <v>25987.524999999998</v>
      </c>
      <c r="W53" s="2558">
        <f t="shared" si="13"/>
        <v>49726.524999999994</v>
      </c>
      <c r="X53" s="2570">
        <f>(M53/M69-1)*100</f>
        <v>1.0643279833113306</v>
      </c>
      <c r="Y53" s="2570">
        <f>(W53/W69-1)*100</f>
        <v>0.82097896043729079</v>
      </c>
    </row>
    <row r="54" spans="1:25" ht="21.75" customHeight="1">
      <c r="A54" s="2605" t="s">
        <v>1319</v>
      </c>
      <c r="B54" s="2609">
        <v>7</v>
      </c>
      <c r="C54" s="2456">
        <v>554</v>
      </c>
      <c r="D54" s="2607">
        <v>263</v>
      </c>
      <c r="E54" s="2607">
        <v>60</v>
      </c>
      <c r="F54" s="2607">
        <v>857</v>
      </c>
      <c r="G54" s="2607">
        <v>258</v>
      </c>
      <c r="H54" s="2607">
        <v>977</v>
      </c>
      <c r="I54" s="1041">
        <v>1085</v>
      </c>
      <c r="J54" s="2607">
        <v>315</v>
      </c>
      <c r="K54" s="2607">
        <v>220</v>
      </c>
      <c r="L54" s="2607">
        <v>18971</v>
      </c>
      <c r="M54" s="2608">
        <f t="shared" si="14"/>
        <v>23567</v>
      </c>
      <c r="N54" s="2609">
        <v>2841</v>
      </c>
      <c r="O54" s="2456">
        <v>2629.875</v>
      </c>
      <c r="P54" s="2456">
        <v>2641.88</v>
      </c>
      <c r="Q54" s="2456">
        <v>2624.82</v>
      </c>
      <c r="R54" s="2456">
        <v>2467.875</v>
      </c>
      <c r="S54" s="2607">
        <v>12405.125</v>
      </c>
      <c r="T54" s="2610">
        <f t="shared" si="11"/>
        <v>25610.575000000001</v>
      </c>
      <c r="U54" s="2607">
        <v>519.6</v>
      </c>
      <c r="V54" s="2558">
        <f t="shared" si="16"/>
        <v>26130.174999999999</v>
      </c>
      <c r="W54" s="2558">
        <f t="shared" si="13"/>
        <v>49697.175000000003</v>
      </c>
      <c r="X54" s="2570">
        <f>(M54/M70-1)*100</f>
        <v>1.2806738579225652</v>
      </c>
      <c r="Y54" s="2570">
        <f>(W54/W70-1)*100</f>
        <v>1.3155357144313262</v>
      </c>
    </row>
    <row r="55" spans="1:25" ht="21.75" customHeight="1">
      <c r="A55" s="2605" t="s">
        <v>1312</v>
      </c>
      <c r="B55" s="2609">
        <v>7</v>
      </c>
      <c r="C55" s="2456">
        <v>550</v>
      </c>
      <c r="D55" s="2607">
        <v>262</v>
      </c>
      <c r="E55" s="2607">
        <v>60</v>
      </c>
      <c r="F55" s="2607">
        <v>857</v>
      </c>
      <c r="G55" s="2607">
        <v>258</v>
      </c>
      <c r="H55" s="2607">
        <v>973</v>
      </c>
      <c r="I55" s="1041">
        <v>1084</v>
      </c>
      <c r="J55" s="2607">
        <v>315</v>
      </c>
      <c r="K55" s="2607">
        <v>219</v>
      </c>
      <c r="L55" s="2607">
        <v>18958</v>
      </c>
      <c r="M55" s="2608">
        <f t="shared" si="14"/>
        <v>23543</v>
      </c>
      <c r="N55" s="2609">
        <v>2839.625</v>
      </c>
      <c r="O55" s="2456">
        <v>2625.875</v>
      </c>
      <c r="P55" s="2456">
        <v>2640.88</v>
      </c>
      <c r="Q55" s="2456">
        <v>2625.64</v>
      </c>
      <c r="R55" s="2456">
        <v>2443.875</v>
      </c>
      <c r="S55" s="2607">
        <v>12386.3</v>
      </c>
      <c r="T55" s="2610">
        <f t="shared" si="11"/>
        <v>25562.195</v>
      </c>
      <c r="U55" s="2607">
        <v>518.6</v>
      </c>
      <c r="V55" s="2558">
        <f t="shared" si="16"/>
        <v>26080.794999999998</v>
      </c>
      <c r="W55" s="2558">
        <f t="shared" si="13"/>
        <v>49623.794999999998</v>
      </c>
      <c r="X55" s="2570">
        <f>(M55/M72-1)*100</f>
        <v>0.86110873104274788</v>
      </c>
      <c r="Y55" s="2570">
        <f>(W55/W72-1)*100</f>
        <v>1.1082857832694915</v>
      </c>
    </row>
    <row r="56" spans="1:25" ht="21.75" customHeight="1">
      <c r="A56" s="2611" t="s">
        <v>1333</v>
      </c>
      <c r="B56" s="2609" t="s">
        <v>1439</v>
      </c>
      <c r="C56" s="2456" t="s">
        <v>1428</v>
      </c>
      <c r="D56" s="2607" t="s">
        <v>1429</v>
      </c>
      <c r="E56" s="2607" t="s">
        <v>1430</v>
      </c>
      <c r="F56" s="2607" t="s">
        <v>1446</v>
      </c>
      <c r="G56" s="2607" t="s">
        <v>1433</v>
      </c>
      <c r="H56" s="2607" t="s">
        <v>1425</v>
      </c>
      <c r="I56" s="1041" t="s">
        <v>1426</v>
      </c>
      <c r="J56" s="2607" t="s">
        <v>1434</v>
      </c>
      <c r="K56" s="2607" t="s">
        <v>1447</v>
      </c>
      <c r="L56" s="2607" t="s">
        <v>1391</v>
      </c>
      <c r="M56" s="2612" t="s">
        <v>192</v>
      </c>
      <c r="N56" s="2609" t="s">
        <v>1410</v>
      </c>
      <c r="O56" s="2456" t="s">
        <v>1411</v>
      </c>
      <c r="P56" s="2456" t="s">
        <v>1412</v>
      </c>
      <c r="Q56" s="2456" t="s">
        <v>1413</v>
      </c>
      <c r="R56" s="2456" t="s">
        <v>1414</v>
      </c>
      <c r="S56" s="2607" t="s">
        <v>1442</v>
      </c>
      <c r="T56" s="2610" t="s">
        <v>1443</v>
      </c>
      <c r="U56" s="2607" t="s">
        <v>1444</v>
      </c>
      <c r="V56" s="2613" t="s">
        <v>161</v>
      </c>
      <c r="W56" s="2614"/>
      <c r="X56" s="2560" t="s">
        <v>1400</v>
      </c>
      <c r="Y56" s="2615" t="s">
        <v>1415</v>
      </c>
    </row>
    <row r="57" spans="1:25" ht="21.75" customHeight="1">
      <c r="A57" s="2611" t="s">
        <v>1311</v>
      </c>
      <c r="B57" s="2609">
        <v>7</v>
      </c>
      <c r="C57" s="2456">
        <v>810</v>
      </c>
      <c r="D57" s="2607">
        <v>228</v>
      </c>
      <c r="E57" s="2607">
        <v>154</v>
      </c>
      <c r="F57" s="2607">
        <v>541</v>
      </c>
      <c r="G57" s="2607">
        <v>254</v>
      </c>
      <c r="H57" s="2607">
        <v>949</v>
      </c>
      <c r="I57" s="1041">
        <v>1090</v>
      </c>
      <c r="J57" s="2607">
        <v>324</v>
      </c>
      <c r="K57" s="2607">
        <v>257</v>
      </c>
      <c r="L57" s="2607">
        <v>18944</v>
      </c>
      <c r="M57" s="2612">
        <v>23558</v>
      </c>
      <c r="N57" s="2609">
        <v>2839</v>
      </c>
      <c r="O57" s="2456">
        <v>2625.875</v>
      </c>
      <c r="P57" s="2456">
        <v>2735.875</v>
      </c>
      <c r="Q57" s="2456">
        <v>2630.39</v>
      </c>
      <c r="R57" s="2456">
        <v>2445.375</v>
      </c>
      <c r="S57" s="2607">
        <v>12371.125</v>
      </c>
      <c r="T57" s="2610">
        <f>SUM(N57:S57)</f>
        <v>25647.64</v>
      </c>
      <c r="U57" s="2607">
        <v>524.1</v>
      </c>
      <c r="V57" s="2613">
        <f>T57+U57</f>
        <v>26171.739999999998</v>
      </c>
      <c r="W57" s="2616">
        <f>M57+V57</f>
        <v>49729.74</v>
      </c>
      <c r="X57" s="2560">
        <f>(M57/M73-1)*100</f>
        <v>1.0379138788814579</v>
      </c>
      <c r="Y57" s="2615">
        <f>(W57/W73-1)*100</f>
        <v>1.3481535148255341</v>
      </c>
    </row>
    <row r="58" spans="1:25" s="1274" customFormat="1" ht="21.75" customHeight="1">
      <c r="A58" s="2611" t="s">
        <v>1313</v>
      </c>
      <c r="B58" s="2609">
        <v>7</v>
      </c>
      <c r="C58" s="2456">
        <v>804</v>
      </c>
      <c r="D58" s="2607">
        <v>211</v>
      </c>
      <c r="E58" s="2607">
        <v>153</v>
      </c>
      <c r="F58" s="2607">
        <v>545</v>
      </c>
      <c r="G58" s="2607">
        <v>235</v>
      </c>
      <c r="H58" s="2456">
        <v>933</v>
      </c>
      <c r="I58" s="1041">
        <v>1078</v>
      </c>
      <c r="J58" s="2456">
        <v>317</v>
      </c>
      <c r="K58" s="2456">
        <v>253</v>
      </c>
      <c r="L58" s="2456">
        <v>19027</v>
      </c>
      <c r="M58" s="2607">
        <v>23563</v>
      </c>
      <c r="N58" s="2609">
        <v>2821.875</v>
      </c>
      <c r="O58" s="2456">
        <v>2662.05</v>
      </c>
      <c r="P58" s="2456">
        <v>2722.875</v>
      </c>
      <c r="Q58" s="2456">
        <v>2619.0100000000002</v>
      </c>
      <c r="R58" s="2456">
        <v>2466.125</v>
      </c>
      <c r="S58" s="2607">
        <v>12459.75</v>
      </c>
      <c r="T58" s="2617">
        <f>SUM(N58:S58)</f>
        <v>25751.684999999998</v>
      </c>
      <c r="U58" s="2618">
        <f>532.1</f>
        <v>532.1</v>
      </c>
      <c r="V58" s="2619">
        <f>SUM(T58:U58)</f>
        <v>26283.784999999996</v>
      </c>
      <c r="W58" s="2508">
        <f>M58+V58</f>
        <v>49846.784999999996</v>
      </c>
      <c r="X58" s="2560">
        <f>(M58/M74-1)*100</f>
        <v>1.1808656818962593</v>
      </c>
      <c r="Y58" s="2615">
        <f>(W58/W74-1)*100</f>
        <v>1.2014205657189247</v>
      </c>
    </row>
    <row r="59" spans="1:25" ht="22.5">
      <c r="A59" s="2591" t="s">
        <v>1333</v>
      </c>
      <c r="B59" s="2530" t="s">
        <v>1382</v>
      </c>
      <c r="C59" s="2531" t="s">
        <v>1383</v>
      </c>
      <c r="D59" s="2572" t="s">
        <v>1448</v>
      </c>
      <c r="E59" s="2533" t="s">
        <v>1449</v>
      </c>
      <c r="F59" s="2533" t="s">
        <v>1385</v>
      </c>
      <c r="G59" s="2533" t="s">
        <v>1386</v>
      </c>
      <c r="H59" s="2534" t="s">
        <v>1424</v>
      </c>
      <c r="I59" s="2535" t="s">
        <v>1425</v>
      </c>
      <c r="J59" s="2534" t="s">
        <v>1426</v>
      </c>
      <c r="K59" s="2534" t="s">
        <v>1427</v>
      </c>
      <c r="L59" s="2534" t="s">
        <v>1409</v>
      </c>
      <c r="M59" s="2536" t="s">
        <v>192</v>
      </c>
      <c r="N59" s="2530" t="s">
        <v>1410</v>
      </c>
      <c r="O59" s="2531" t="s">
        <v>1411</v>
      </c>
      <c r="P59" s="2531" t="s">
        <v>1412</v>
      </c>
      <c r="Q59" s="2531" t="s">
        <v>1413</v>
      </c>
      <c r="R59" s="2531" t="s">
        <v>1414</v>
      </c>
      <c r="S59" s="2564" t="s">
        <v>1397</v>
      </c>
      <c r="T59" s="2565" t="s">
        <v>1398</v>
      </c>
      <c r="U59" s="2539" t="s">
        <v>1399</v>
      </c>
      <c r="V59" s="2566" t="s">
        <v>450</v>
      </c>
      <c r="W59" s="2620"/>
      <c r="X59" s="2543" t="s">
        <v>1400</v>
      </c>
      <c r="Y59" s="2544" t="s">
        <v>1415</v>
      </c>
    </row>
    <row r="60" spans="1:25" ht="20.100000000000001" customHeight="1">
      <c r="A60" s="2600" t="s">
        <v>1450</v>
      </c>
      <c r="B60" s="2601">
        <v>7</v>
      </c>
      <c r="C60" s="2454">
        <v>623</v>
      </c>
      <c r="D60" s="2602">
        <v>146</v>
      </c>
      <c r="E60" s="2594">
        <v>98</v>
      </c>
      <c r="F60" s="2602">
        <v>847</v>
      </c>
      <c r="G60" s="2602">
        <v>225</v>
      </c>
      <c r="H60" s="2454">
        <v>213</v>
      </c>
      <c r="I60" s="554">
        <v>1096</v>
      </c>
      <c r="J60" s="2454">
        <v>1020</v>
      </c>
      <c r="K60" s="2454">
        <v>317</v>
      </c>
      <c r="L60" s="2454">
        <v>18835</v>
      </c>
      <c r="M60" s="2608">
        <f t="shared" ref="M60:M74" si="17">SUM(B60:L60)</f>
        <v>23427</v>
      </c>
      <c r="N60" s="2456">
        <v>2713.5</v>
      </c>
      <c r="O60" s="2456">
        <v>2605.125</v>
      </c>
      <c r="P60" s="2456">
        <v>2561.125</v>
      </c>
      <c r="Q60" s="2456">
        <v>2501.125</v>
      </c>
      <c r="R60" s="2456">
        <v>2464.625</v>
      </c>
      <c r="S60" s="2456">
        <v>12200.7</v>
      </c>
      <c r="T60" s="2621">
        <f t="shared" ref="T60:T68" si="18">SUM(N60:S60)</f>
        <v>25046.2</v>
      </c>
      <c r="U60" s="2456">
        <v>504.27499999999998</v>
      </c>
      <c r="V60" s="2558">
        <f t="shared" ref="V60:V61" si="19">SUM(T60:U60)</f>
        <v>25550.475000000002</v>
      </c>
      <c r="W60" s="2558">
        <f t="shared" ref="W60:W62" si="20">M60+V60</f>
        <v>48977.475000000006</v>
      </c>
      <c r="X60" s="2527">
        <f>(M60/M76-1)*100</f>
        <v>1.9274277758440705</v>
      </c>
      <c r="Y60" s="2527">
        <f>(W60/W76-1)*100</f>
        <v>1.9119886971322497</v>
      </c>
    </row>
    <row r="61" spans="1:25" ht="20.100000000000001" customHeight="1">
      <c r="A61" s="2605" t="s">
        <v>1451</v>
      </c>
      <c r="B61" s="2606">
        <v>5</v>
      </c>
      <c r="C61" s="2456">
        <v>627</v>
      </c>
      <c r="D61" s="2622">
        <v>150</v>
      </c>
      <c r="E61" s="2623">
        <v>100</v>
      </c>
      <c r="F61" s="2607">
        <v>672</v>
      </c>
      <c r="G61" s="2607">
        <v>232</v>
      </c>
      <c r="H61" s="2456">
        <v>222</v>
      </c>
      <c r="I61" s="2590">
        <v>1110</v>
      </c>
      <c r="J61" s="2624">
        <v>1035</v>
      </c>
      <c r="K61" s="2624">
        <v>319</v>
      </c>
      <c r="L61" s="2624">
        <v>18952</v>
      </c>
      <c r="M61" s="2608">
        <f t="shared" si="17"/>
        <v>23424</v>
      </c>
      <c r="N61" s="2456">
        <v>2701</v>
      </c>
      <c r="O61" s="2456">
        <v>2602.4749999999999</v>
      </c>
      <c r="P61" s="2456">
        <v>2562.125</v>
      </c>
      <c r="Q61" s="2456">
        <v>2611.125</v>
      </c>
      <c r="R61" s="2456">
        <v>2460.5</v>
      </c>
      <c r="S61" s="2456">
        <v>12199.424999999999</v>
      </c>
      <c r="T61" s="2621">
        <f t="shared" si="18"/>
        <v>25136.65</v>
      </c>
      <c r="U61" s="2456">
        <v>502.27499999999998</v>
      </c>
      <c r="V61" s="2558">
        <f t="shared" si="19"/>
        <v>25638.925000000003</v>
      </c>
      <c r="W61" s="2558">
        <f t="shared" si="20"/>
        <v>49062.925000000003</v>
      </c>
      <c r="X61" s="2527">
        <f>(M61/M77-1)*100</f>
        <v>2.0386826973340266</v>
      </c>
      <c r="Y61" s="2527">
        <f>(W61/W77-1)*100</f>
        <v>2.1656855375248085</v>
      </c>
    </row>
    <row r="62" spans="1:25" ht="20.100000000000001" customHeight="1">
      <c r="A62" s="2605" t="s">
        <v>1452</v>
      </c>
      <c r="B62" s="2606">
        <v>6</v>
      </c>
      <c r="C62" s="2456">
        <v>621</v>
      </c>
      <c r="D62" s="2622">
        <v>151</v>
      </c>
      <c r="E62" s="2623">
        <v>100</v>
      </c>
      <c r="F62" s="2607">
        <v>734</v>
      </c>
      <c r="G62" s="2607">
        <v>232</v>
      </c>
      <c r="H62" s="2456">
        <v>220</v>
      </c>
      <c r="I62" s="2590">
        <v>1098</v>
      </c>
      <c r="J62" s="2624">
        <v>1037</v>
      </c>
      <c r="K62" s="2624">
        <v>320</v>
      </c>
      <c r="L62" s="2624">
        <v>18590</v>
      </c>
      <c r="M62" s="2608">
        <f t="shared" si="17"/>
        <v>23109</v>
      </c>
      <c r="N62" s="2456">
        <v>2710.375</v>
      </c>
      <c r="O62" s="2456">
        <v>2565.7249999999999</v>
      </c>
      <c r="P62" s="2456">
        <v>2565.625</v>
      </c>
      <c r="Q62" s="2456">
        <v>2609.5</v>
      </c>
      <c r="R62" s="2456">
        <v>2454.5</v>
      </c>
      <c r="S62" s="2456">
        <v>12170.55</v>
      </c>
      <c r="T62" s="2621">
        <f t="shared" si="18"/>
        <v>25076.275000000001</v>
      </c>
      <c r="U62" s="2456">
        <v>501.17500000000001</v>
      </c>
      <c r="V62" s="2558">
        <f t="shared" ref="V62" si="21">SUM(T62:U62)</f>
        <v>25577.45</v>
      </c>
      <c r="W62" s="2558">
        <f t="shared" si="20"/>
        <v>48686.45</v>
      </c>
      <c r="X62" s="2527">
        <f>(M62/M78-1)*100</f>
        <v>2.661039537983112</v>
      </c>
      <c r="Y62" s="2527">
        <f>(W62/W78-1)*100</f>
        <v>2.4486141388975202</v>
      </c>
    </row>
    <row r="63" spans="1:25" ht="18.75" customHeight="1">
      <c r="A63" s="2625"/>
      <c r="B63" s="2530" t="s">
        <v>1382</v>
      </c>
      <c r="C63" s="2531" t="s">
        <v>1383</v>
      </c>
      <c r="D63" s="2572" t="s">
        <v>1384</v>
      </c>
      <c r="E63" s="2533" t="s">
        <v>1449</v>
      </c>
      <c r="F63" s="2533" t="s">
        <v>1385</v>
      </c>
      <c r="G63" s="2533" t="s">
        <v>1386</v>
      </c>
      <c r="H63" s="2534" t="s">
        <v>1424</v>
      </c>
      <c r="I63" s="2535" t="s">
        <v>1425</v>
      </c>
      <c r="J63" s="2534" t="s">
        <v>1426</v>
      </c>
      <c r="K63" s="2534" t="s">
        <v>1427</v>
      </c>
      <c r="L63" s="2534" t="s">
        <v>1409</v>
      </c>
      <c r="M63" s="2536" t="s">
        <v>192</v>
      </c>
      <c r="N63" s="2530" t="s">
        <v>1410</v>
      </c>
      <c r="O63" s="2531" t="s">
        <v>1411</v>
      </c>
      <c r="P63" s="2531" t="s">
        <v>1412</v>
      </c>
      <c r="Q63" s="2531" t="s">
        <v>1413</v>
      </c>
      <c r="R63" s="2531" t="s">
        <v>1414</v>
      </c>
      <c r="S63" s="2564" t="s">
        <v>1397</v>
      </c>
      <c r="T63" s="2565" t="s">
        <v>1398</v>
      </c>
      <c r="U63" s="2539" t="s">
        <v>1399</v>
      </c>
      <c r="V63" s="2566" t="s">
        <v>450</v>
      </c>
      <c r="W63" s="2508"/>
      <c r="X63" s="2543" t="s">
        <v>1400</v>
      </c>
      <c r="Y63" s="2544" t="s">
        <v>1415</v>
      </c>
    </row>
    <row r="64" spans="1:25" ht="20.100000000000001" customHeight="1">
      <c r="A64" s="2605" t="s">
        <v>1453</v>
      </c>
      <c r="B64" s="2606">
        <v>6</v>
      </c>
      <c r="C64" s="2456">
        <v>496</v>
      </c>
      <c r="D64" s="2622">
        <v>270</v>
      </c>
      <c r="E64" s="2623">
        <v>100</v>
      </c>
      <c r="F64" s="2607">
        <v>663</v>
      </c>
      <c r="G64" s="2607">
        <v>232</v>
      </c>
      <c r="H64" s="2456">
        <v>221</v>
      </c>
      <c r="I64" s="2590">
        <v>1109</v>
      </c>
      <c r="J64" s="2624">
        <v>1038</v>
      </c>
      <c r="K64" s="2624">
        <v>320</v>
      </c>
      <c r="L64" s="2624">
        <v>18747</v>
      </c>
      <c r="M64" s="2608">
        <f t="shared" si="17"/>
        <v>23202</v>
      </c>
      <c r="N64" s="2456">
        <v>2710</v>
      </c>
      <c r="O64" s="2456">
        <v>2565.4</v>
      </c>
      <c r="P64" s="2456">
        <v>2561.125</v>
      </c>
      <c r="Q64" s="2456">
        <v>2607.875</v>
      </c>
      <c r="R64" s="2456">
        <v>2430.5</v>
      </c>
      <c r="S64" s="2456">
        <v>12165.05</v>
      </c>
      <c r="T64" s="2621">
        <f t="shared" si="18"/>
        <v>25039.949999999997</v>
      </c>
      <c r="U64" s="2456">
        <v>498</v>
      </c>
      <c r="V64" s="2558">
        <f t="shared" ref="V64:V66" si="22">SUM(T64:U64)</f>
        <v>25537.949999999997</v>
      </c>
      <c r="W64" s="2558">
        <f t="shared" ref="W64:W66" si="23">M64+V64</f>
        <v>48739.95</v>
      </c>
      <c r="X64" s="2560">
        <f t="shared" ref="X64:X66" si="24">(M64/M79-1)*100</f>
        <v>2.7228051534068376</v>
      </c>
      <c r="Y64" s="2561">
        <f t="shared" ref="Y64:Y66" si="25">(W64/W79-1)*100</f>
        <v>2.4732686725083219</v>
      </c>
    </row>
    <row r="65" spans="1:25" ht="20.100000000000001" customHeight="1">
      <c r="A65" s="2605" t="s">
        <v>1454</v>
      </c>
      <c r="B65" s="2606">
        <v>6</v>
      </c>
      <c r="C65" s="2456">
        <v>496</v>
      </c>
      <c r="D65" s="2622">
        <v>268</v>
      </c>
      <c r="E65" s="2623">
        <v>100</v>
      </c>
      <c r="F65" s="2607">
        <v>663</v>
      </c>
      <c r="G65" s="2607">
        <v>232</v>
      </c>
      <c r="H65" s="2456">
        <v>221</v>
      </c>
      <c r="I65" s="2590">
        <v>1107</v>
      </c>
      <c r="J65" s="2624">
        <v>1036</v>
      </c>
      <c r="K65" s="2624">
        <v>322</v>
      </c>
      <c r="L65" s="2624">
        <v>18738</v>
      </c>
      <c r="M65" s="2608">
        <f t="shared" si="17"/>
        <v>23189</v>
      </c>
      <c r="N65" s="2456">
        <v>2870.875</v>
      </c>
      <c r="O65" s="2456">
        <v>2596.65</v>
      </c>
      <c r="P65" s="2456">
        <v>2641.375</v>
      </c>
      <c r="Q65" s="2456">
        <v>2607</v>
      </c>
      <c r="R65" s="2456">
        <v>2429.25</v>
      </c>
      <c r="S65" s="2456">
        <v>12164.8</v>
      </c>
      <c r="T65" s="2621">
        <f t="shared" si="18"/>
        <v>25309.949999999997</v>
      </c>
      <c r="U65" s="2456">
        <v>496.02499999999998</v>
      </c>
      <c r="V65" s="2558">
        <f t="shared" si="22"/>
        <v>25805.974999999999</v>
      </c>
      <c r="W65" s="2558">
        <f t="shared" si="23"/>
        <v>48994.974999999999</v>
      </c>
      <c r="X65" s="2560">
        <f t="shared" si="24"/>
        <v>2.3570955638931856</v>
      </c>
      <c r="Y65" s="2561">
        <f t="shared" si="25"/>
        <v>2.72899251836074</v>
      </c>
    </row>
    <row r="66" spans="1:25" ht="20.100000000000001" customHeight="1">
      <c r="A66" s="2605" t="s">
        <v>1455</v>
      </c>
      <c r="B66" s="2606">
        <v>7</v>
      </c>
      <c r="C66" s="2456">
        <v>496</v>
      </c>
      <c r="D66" s="2622">
        <v>267</v>
      </c>
      <c r="E66" s="2623">
        <v>99</v>
      </c>
      <c r="F66" s="2607">
        <v>660</v>
      </c>
      <c r="G66" s="2607">
        <v>235</v>
      </c>
      <c r="H66" s="2456">
        <v>219</v>
      </c>
      <c r="I66" s="2590">
        <v>1126</v>
      </c>
      <c r="J66" s="2624">
        <v>1036</v>
      </c>
      <c r="K66" s="2624">
        <v>322</v>
      </c>
      <c r="L66" s="2624">
        <v>18731</v>
      </c>
      <c r="M66" s="2608">
        <f t="shared" si="17"/>
        <v>23198</v>
      </c>
      <c r="N66" s="2456">
        <v>2859.75</v>
      </c>
      <c r="O66" s="2456">
        <v>2593.8000000000002</v>
      </c>
      <c r="P66" s="2456">
        <v>2609.625</v>
      </c>
      <c r="Q66" s="2456">
        <v>2604</v>
      </c>
      <c r="R66" s="2456">
        <v>2427.125</v>
      </c>
      <c r="S66" s="2456">
        <v>12058.675000000001</v>
      </c>
      <c r="T66" s="2621">
        <f t="shared" si="18"/>
        <v>25152.974999999999</v>
      </c>
      <c r="U66" s="2456">
        <v>515.77499999999998</v>
      </c>
      <c r="V66" s="2558">
        <f t="shared" si="22"/>
        <v>25668.75</v>
      </c>
      <c r="W66" s="2558">
        <f t="shared" si="23"/>
        <v>48866.75</v>
      </c>
      <c r="X66" s="2560">
        <f t="shared" si="24"/>
        <v>2.3923022598870025</v>
      </c>
      <c r="Y66" s="2561">
        <f t="shared" si="25"/>
        <v>2.6617247665561505</v>
      </c>
    </row>
    <row r="67" spans="1:25" ht="20.100000000000001" customHeight="1">
      <c r="A67" s="2605"/>
      <c r="B67" s="2530" t="s">
        <v>1382</v>
      </c>
      <c r="C67" s="2531" t="s">
        <v>1383</v>
      </c>
      <c r="D67" s="2533" t="s">
        <v>1449</v>
      </c>
      <c r="E67" s="2572" t="s">
        <v>1456</v>
      </c>
      <c r="F67" s="2572" t="s">
        <v>1457</v>
      </c>
      <c r="G67" s="2533" t="s">
        <v>1458</v>
      </c>
      <c r="H67" s="2533" t="s">
        <v>1386</v>
      </c>
      <c r="I67" s="2535" t="s">
        <v>1425</v>
      </c>
      <c r="J67" s="2534" t="s">
        <v>1426</v>
      </c>
      <c r="K67" s="2534" t="s">
        <v>1427</v>
      </c>
      <c r="L67" s="2534" t="s">
        <v>1409</v>
      </c>
      <c r="M67" s="2536" t="s">
        <v>192</v>
      </c>
      <c r="N67" s="2530" t="s">
        <v>1410</v>
      </c>
      <c r="O67" s="2531" t="s">
        <v>1411</v>
      </c>
      <c r="P67" s="2531" t="s">
        <v>1412</v>
      </c>
      <c r="Q67" s="2531" t="s">
        <v>1413</v>
      </c>
      <c r="R67" s="2531" t="s">
        <v>1414</v>
      </c>
      <c r="S67" s="2564" t="s">
        <v>1397</v>
      </c>
      <c r="T67" s="2565" t="s">
        <v>1398</v>
      </c>
      <c r="U67" s="2539" t="s">
        <v>1399</v>
      </c>
      <c r="V67" s="2566" t="s">
        <v>450</v>
      </c>
      <c r="W67" s="2508"/>
      <c r="X67" s="2543" t="s">
        <v>1400</v>
      </c>
      <c r="Y67" s="2544" t="s">
        <v>1415</v>
      </c>
    </row>
    <row r="68" spans="1:25" ht="20.100000000000001" customHeight="1">
      <c r="A68" s="2605" t="s">
        <v>1459</v>
      </c>
      <c r="B68" s="2606">
        <v>7</v>
      </c>
      <c r="C68" s="2456">
        <v>499</v>
      </c>
      <c r="D68" s="2622">
        <v>111</v>
      </c>
      <c r="E68" s="2623">
        <v>255</v>
      </c>
      <c r="F68" s="2607">
        <v>51</v>
      </c>
      <c r="G68" s="2607">
        <v>1172</v>
      </c>
      <c r="H68" s="2456">
        <v>210</v>
      </c>
      <c r="I68" s="2590">
        <v>1125</v>
      </c>
      <c r="J68" s="2624">
        <v>1047</v>
      </c>
      <c r="K68" s="2624">
        <v>321</v>
      </c>
      <c r="L68" s="2624">
        <v>18714</v>
      </c>
      <c r="M68" s="2608">
        <f t="shared" si="17"/>
        <v>23512</v>
      </c>
      <c r="N68" s="2456">
        <v>2834</v>
      </c>
      <c r="O68" s="2456">
        <v>2601.0500000000002</v>
      </c>
      <c r="P68" s="2456">
        <v>2604.63</v>
      </c>
      <c r="Q68" s="2456">
        <v>2586.125</v>
      </c>
      <c r="R68" s="2456">
        <v>2427.625</v>
      </c>
      <c r="S68" s="2456">
        <v>12036.2</v>
      </c>
      <c r="T68" s="2621">
        <f t="shared" si="18"/>
        <v>25089.63</v>
      </c>
      <c r="U68" s="2456">
        <v>515.77499999999998</v>
      </c>
      <c r="V68" s="2558">
        <f t="shared" ref="V68" si="26">SUM(T68:U68)</f>
        <v>25605.405000000002</v>
      </c>
      <c r="W68" s="2558">
        <f t="shared" ref="W68:W70" si="27">M68+V68</f>
        <v>49117.404999999999</v>
      </c>
      <c r="X68" s="2560">
        <f t="shared" ref="X68:X69" si="28">(M68/M82-1)*100</f>
        <v>3.8607650852548803</v>
      </c>
      <c r="Y68" s="2561">
        <f t="shared" ref="Y68:Y69" si="29">(W68/W82-1)*100</f>
        <v>3.1577560112467262</v>
      </c>
    </row>
    <row r="69" spans="1:25" ht="20.100000000000001" customHeight="1">
      <c r="A69" s="2605" t="s">
        <v>1460</v>
      </c>
      <c r="B69" s="2606">
        <v>7</v>
      </c>
      <c r="C69" s="2456">
        <v>496</v>
      </c>
      <c r="D69" s="2622">
        <v>112</v>
      </c>
      <c r="E69" s="2623">
        <v>257</v>
      </c>
      <c r="F69" s="2607">
        <v>54</v>
      </c>
      <c r="G69" s="2607">
        <v>851</v>
      </c>
      <c r="H69" s="2456">
        <v>211</v>
      </c>
      <c r="I69" s="2590">
        <v>1136</v>
      </c>
      <c r="J69" s="2624">
        <v>1072</v>
      </c>
      <c r="K69" s="2624">
        <v>323</v>
      </c>
      <c r="L69" s="2624">
        <v>18970</v>
      </c>
      <c r="M69" s="2608">
        <f t="shared" si="17"/>
        <v>23489</v>
      </c>
      <c r="N69" s="2456">
        <v>2830</v>
      </c>
      <c r="O69" s="2456">
        <v>2595.8500000000004</v>
      </c>
      <c r="P69" s="2456">
        <v>2602.63</v>
      </c>
      <c r="Q69" s="2456">
        <v>2592.75</v>
      </c>
      <c r="R69" s="2456">
        <v>2426.125</v>
      </c>
      <c r="S69" s="2456">
        <v>12269.475</v>
      </c>
      <c r="T69" s="2621">
        <f t="shared" ref="T69:T74" si="30">SUM(N69:S69)</f>
        <v>25316.83</v>
      </c>
      <c r="U69" s="2456">
        <v>515.77499999999998</v>
      </c>
      <c r="V69" s="2558">
        <f t="shared" ref="V69" si="31">SUM(T69:U69)</f>
        <v>25832.605000000003</v>
      </c>
      <c r="W69" s="2558">
        <f t="shared" si="27"/>
        <v>49321.605000000003</v>
      </c>
      <c r="X69" s="2560">
        <f t="shared" si="28"/>
        <v>1.4161737403393548</v>
      </c>
      <c r="Y69" s="2561">
        <f t="shared" si="29"/>
        <v>2.5100958350913194</v>
      </c>
    </row>
    <row r="70" spans="1:25" ht="20.100000000000001" customHeight="1">
      <c r="A70" s="2605" t="s">
        <v>1461</v>
      </c>
      <c r="B70" s="2606">
        <v>7</v>
      </c>
      <c r="C70" s="2456">
        <v>494</v>
      </c>
      <c r="D70" s="2622">
        <v>114</v>
      </c>
      <c r="E70" s="2623">
        <v>259</v>
      </c>
      <c r="F70" s="2607">
        <v>55</v>
      </c>
      <c r="G70" s="2607">
        <v>855</v>
      </c>
      <c r="H70" s="2456">
        <v>211</v>
      </c>
      <c r="I70" s="2590">
        <v>1145</v>
      </c>
      <c r="J70" s="2624">
        <v>1064</v>
      </c>
      <c r="K70" s="2624">
        <v>323</v>
      </c>
      <c r="L70" s="2624">
        <v>18742</v>
      </c>
      <c r="M70" s="2456">
        <f t="shared" si="17"/>
        <v>23269</v>
      </c>
      <c r="N70" s="2456">
        <v>2829.25</v>
      </c>
      <c r="O70" s="2456">
        <v>2570.5250000000001</v>
      </c>
      <c r="P70" s="2456">
        <v>2599.63</v>
      </c>
      <c r="Q70" s="2456">
        <v>2592.125</v>
      </c>
      <c r="R70" s="2456">
        <v>2422.875</v>
      </c>
      <c r="S70" s="2456">
        <v>12254.325000000001</v>
      </c>
      <c r="T70" s="2621">
        <f t="shared" si="30"/>
        <v>25268.73</v>
      </c>
      <c r="U70" s="2456">
        <v>514.15</v>
      </c>
      <c r="V70" s="2558">
        <f t="shared" ref="V70" si="32">SUM(T70:U70)</f>
        <v>25782.880000000001</v>
      </c>
      <c r="W70" s="2558">
        <f t="shared" si="27"/>
        <v>49051.880000000005</v>
      </c>
      <c r="X70" s="2560">
        <f>(M70/M85-1)*100</f>
        <v>2.0212206243423347</v>
      </c>
      <c r="Y70" s="2561">
        <f>(W70/W85-1)*100</f>
        <v>2.1841413686848554</v>
      </c>
    </row>
    <row r="71" spans="1:25" ht="20.100000000000001" customHeight="1">
      <c r="A71" s="2605"/>
      <c r="B71" s="2530" t="s">
        <v>1382</v>
      </c>
      <c r="C71" s="2531" t="s">
        <v>1383</v>
      </c>
      <c r="D71" s="2533" t="s">
        <v>1429</v>
      </c>
      <c r="E71" s="2574" t="s">
        <v>1430</v>
      </c>
      <c r="F71" s="2574" t="s">
        <v>1431</v>
      </c>
      <c r="G71" s="2533" t="s">
        <v>1386</v>
      </c>
      <c r="H71" s="2533" t="s">
        <v>1425</v>
      </c>
      <c r="I71" s="2535" t="s">
        <v>1426</v>
      </c>
      <c r="J71" s="2534" t="s">
        <v>1427</v>
      </c>
      <c r="K71" s="2534" t="s">
        <v>1462</v>
      </c>
      <c r="L71" s="2534" t="s">
        <v>1409</v>
      </c>
      <c r="M71" s="2536" t="s">
        <v>192</v>
      </c>
      <c r="N71" s="2530" t="s">
        <v>1410</v>
      </c>
      <c r="O71" s="2531" t="s">
        <v>1411</v>
      </c>
      <c r="P71" s="2531" t="s">
        <v>1412</v>
      </c>
      <c r="Q71" s="2531" t="s">
        <v>1413</v>
      </c>
      <c r="R71" s="2531" t="s">
        <v>1414</v>
      </c>
      <c r="S71" s="2564" t="s">
        <v>1397</v>
      </c>
      <c r="T71" s="2565" t="s">
        <v>1398</v>
      </c>
      <c r="U71" s="2539" t="s">
        <v>1399</v>
      </c>
      <c r="V71" s="2566" t="s">
        <v>450</v>
      </c>
      <c r="W71" s="2508"/>
      <c r="X71" s="2543" t="s">
        <v>1400</v>
      </c>
      <c r="Y71" s="2544" t="s">
        <v>1415</v>
      </c>
    </row>
    <row r="72" spans="1:25" ht="20.100000000000001" customHeight="1">
      <c r="A72" s="2605" t="s">
        <v>1463</v>
      </c>
      <c r="B72" s="2606">
        <v>7</v>
      </c>
      <c r="C72" s="2456">
        <v>388</v>
      </c>
      <c r="D72" s="2622">
        <v>257</v>
      </c>
      <c r="E72" s="2623">
        <v>55</v>
      </c>
      <c r="F72" s="2607">
        <v>836</v>
      </c>
      <c r="G72" s="2607">
        <v>209</v>
      </c>
      <c r="H72" s="2456">
        <v>1147</v>
      </c>
      <c r="I72" s="2590">
        <v>1063</v>
      </c>
      <c r="J72" s="2624">
        <v>324</v>
      </c>
      <c r="K72" s="2624">
        <v>219</v>
      </c>
      <c r="L72" s="2624">
        <v>18837</v>
      </c>
      <c r="M72" s="2456">
        <f t="shared" si="17"/>
        <v>23342</v>
      </c>
      <c r="N72" s="2456">
        <v>2820.75</v>
      </c>
      <c r="O72" s="2456">
        <v>2565.8250000000003</v>
      </c>
      <c r="P72" s="2456">
        <v>2603.375</v>
      </c>
      <c r="Q72" s="2456">
        <v>2492.875</v>
      </c>
      <c r="R72" s="2456">
        <v>2506.375</v>
      </c>
      <c r="S72" s="2456">
        <v>12236.5</v>
      </c>
      <c r="T72" s="2621">
        <f t="shared" si="30"/>
        <v>25225.7</v>
      </c>
      <c r="U72" s="2456">
        <v>512.15</v>
      </c>
      <c r="V72" s="2558">
        <f t="shared" ref="V72:V74" si="33">SUM(T72:U72)</f>
        <v>25737.850000000002</v>
      </c>
      <c r="W72" s="2558">
        <f t="shared" ref="W72:W74" si="34">M72+V72</f>
        <v>49079.850000000006</v>
      </c>
      <c r="X72" s="2560">
        <f>(M72/M86-1)*100</f>
        <v>1.9167794612059641</v>
      </c>
      <c r="Y72" s="2561">
        <f>(W72/W86-1)*100</f>
        <v>2.0348934207146785</v>
      </c>
    </row>
    <row r="73" spans="1:25" ht="23.25" customHeight="1">
      <c r="A73" s="2605" t="s">
        <v>1327</v>
      </c>
      <c r="B73" s="2606">
        <v>7</v>
      </c>
      <c r="C73" s="2456">
        <v>391</v>
      </c>
      <c r="D73" s="2622">
        <v>259</v>
      </c>
      <c r="E73" s="2623">
        <v>56</v>
      </c>
      <c r="F73" s="2607">
        <v>834</v>
      </c>
      <c r="G73" s="2607">
        <v>211</v>
      </c>
      <c r="H73" s="2456">
        <v>1143</v>
      </c>
      <c r="I73" s="2590">
        <v>1062</v>
      </c>
      <c r="J73" s="2624">
        <v>327</v>
      </c>
      <c r="K73" s="2624">
        <v>218</v>
      </c>
      <c r="L73" s="2624">
        <v>18808</v>
      </c>
      <c r="M73" s="2456">
        <f t="shared" si="17"/>
        <v>23316</v>
      </c>
      <c r="N73" s="2456">
        <v>2817</v>
      </c>
      <c r="O73" s="2456">
        <v>2568.9250000000002</v>
      </c>
      <c r="P73" s="2456">
        <v>2602.375</v>
      </c>
      <c r="Q73" s="2456">
        <v>2499.875</v>
      </c>
      <c r="R73" s="2456">
        <v>2503.375</v>
      </c>
      <c r="S73" s="2456">
        <v>12248.025</v>
      </c>
      <c r="T73" s="2621">
        <f t="shared" si="30"/>
        <v>25239.574999999997</v>
      </c>
      <c r="U73" s="2456">
        <v>512.65</v>
      </c>
      <c r="V73" s="2558">
        <f t="shared" si="33"/>
        <v>25752.224999999999</v>
      </c>
      <c r="W73" s="2558">
        <f t="shared" si="34"/>
        <v>49068.224999999999</v>
      </c>
      <c r="X73" s="2560">
        <f>(M73/M87-1)*100</f>
        <v>1.6124814782532804</v>
      </c>
      <c r="Y73" s="2561">
        <f>(W73/W87-1)*100</f>
        <v>1.7872006314478162</v>
      </c>
    </row>
    <row r="74" spans="1:25" ht="23.25" customHeight="1">
      <c r="A74" s="2605" t="s">
        <v>1322</v>
      </c>
      <c r="B74" s="2625">
        <v>7</v>
      </c>
      <c r="C74" s="2462">
        <v>541</v>
      </c>
      <c r="D74" s="2626">
        <v>247</v>
      </c>
      <c r="E74" s="2627">
        <v>55</v>
      </c>
      <c r="F74" s="2628">
        <v>834</v>
      </c>
      <c r="G74" s="2628">
        <v>228</v>
      </c>
      <c r="H74" s="2462">
        <v>947</v>
      </c>
      <c r="I74" s="2629">
        <v>1063</v>
      </c>
      <c r="J74" s="2630">
        <v>310</v>
      </c>
      <c r="K74" s="2630">
        <v>209</v>
      </c>
      <c r="L74" s="2630">
        <v>18847</v>
      </c>
      <c r="M74" s="2456">
        <f t="shared" si="17"/>
        <v>23288</v>
      </c>
      <c r="N74" s="2456">
        <v>2810.625</v>
      </c>
      <c r="O74" s="2456">
        <v>2568.9250000000002</v>
      </c>
      <c r="P74" s="2456">
        <v>2598.375</v>
      </c>
      <c r="Q74" s="2456">
        <v>2652.45</v>
      </c>
      <c r="R74" s="2456">
        <v>2502.75</v>
      </c>
      <c r="S74" s="2456">
        <v>12305.025</v>
      </c>
      <c r="T74" s="2621">
        <f t="shared" si="30"/>
        <v>25438.15</v>
      </c>
      <c r="U74" s="2456">
        <v>528.875</v>
      </c>
      <c r="V74" s="2558">
        <f t="shared" si="33"/>
        <v>25967.025000000001</v>
      </c>
      <c r="W74" s="2558">
        <f t="shared" si="34"/>
        <v>49255.025000000001</v>
      </c>
      <c r="X74" s="2560">
        <f>(M74/M88-1)*100</f>
        <v>-0.46161737049068563</v>
      </c>
      <c r="Y74" s="2561">
        <f>(W74/W88-1)*100</f>
        <v>0.68323726645405092</v>
      </c>
    </row>
    <row r="75" spans="1:25" ht="23.25" customHeight="1">
      <c r="A75" s="2631" t="s">
        <v>1333</v>
      </c>
      <c r="B75" s="2508" t="s">
        <v>1439</v>
      </c>
      <c r="C75" s="2580" t="s">
        <v>1428</v>
      </c>
      <c r="D75" s="2632" t="s">
        <v>1464</v>
      </c>
      <c r="E75" s="2620" t="s">
        <v>1385</v>
      </c>
      <c r="F75" s="2633" t="s">
        <v>1386</v>
      </c>
      <c r="G75" s="2633" t="s">
        <v>1418</v>
      </c>
      <c r="H75" s="2634" t="s">
        <v>1419</v>
      </c>
      <c r="I75" s="2635" t="s">
        <v>1420</v>
      </c>
      <c r="J75" s="2634" t="s">
        <v>1390</v>
      </c>
      <c r="K75" s="2634" t="s">
        <v>1421</v>
      </c>
      <c r="L75" s="2634" t="s">
        <v>1391</v>
      </c>
      <c r="M75" s="2085" t="s">
        <v>192</v>
      </c>
      <c r="N75" s="2085" t="s">
        <v>1392</v>
      </c>
      <c r="O75" s="2085" t="s">
        <v>1393</v>
      </c>
      <c r="P75" s="2085" t="s">
        <v>1394</v>
      </c>
      <c r="Q75" s="2085" t="s">
        <v>1395</v>
      </c>
      <c r="R75" s="2085" t="s">
        <v>1396</v>
      </c>
      <c r="S75" s="2565" t="s">
        <v>1397</v>
      </c>
      <c r="T75" s="2565" t="s">
        <v>1398</v>
      </c>
      <c r="U75" s="2565" t="s">
        <v>1465</v>
      </c>
      <c r="V75" s="2085" t="s">
        <v>450</v>
      </c>
      <c r="W75" s="2636" t="s">
        <v>1380</v>
      </c>
      <c r="X75" s="2085" t="s">
        <v>1400</v>
      </c>
      <c r="Y75" s="2566" t="s">
        <v>1401</v>
      </c>
    </row>
    <row r="76" spans="1:25" ht="23.25" customHeight="1">
      <c r="A76" s="2600" t="s">
        <v>1466</v>
      </c>
      <c r="B76" s="2555">
        <v>6</v>
      </c>
      <c r="C76" s="2556">
        <v>182</v>
      </c>
      <c r="D76" s="2637">
        <v>287</v>
      </c>
      <c r="E76" s="2638">
        <v>821</v>
      </c>
      <c r="F76" s="2639">
        <v>220</v>
      </c>
      <c r="G76" s="2639">
        <v>134</v>
      </c>
      <c r="H76" s="2640">
        <v>1216</v>
      </c>
      <c r="I76" s="2641">
        <v>1070</v>
      </c>
      <c r="J76" s="2640">
        <v>308</v>
      </c>
      <c r="K76" s="2640">
        <v>242</v>
      </c>
      <c r="L76" s="2640">
        <v>18498</v>
      </c>
      <c r="M76" s="2608">
        <f t="shared" ref="M76:M78" si="35">SUM(B76:L76)</f>
        <v>22984</v>
      </c>
      <c r="N76" s="2642">
        <v>2403</v>
      </c>
      <c r="O76" s="2642">
        <v>2663</v>
      </c>
      <c r="P76" s="2642">
        <v>2398.375</v>
      </c>
      <c r="Q76" s="2642">
        <v>2406.8249999999998</v>
      </c>
      <c r="R76" s="2642">
        <v>2548</v>
      </c>
      <c r="S76" s="2643">
        <v>12160</v>
      </c>
      <c r="T76" s="2621">
        <f t="shared" ref="T76:T104" si="36">SUM(N76:S76)</f>
        <v>24579.200000000001</v>
      </c>
      <c r="U76" s="2644">
        <v>495.4</v>
      </c>
      <c r="V76" s="2558">
        <f t="shared" ref="V76:V77" si="37">SUM(T76:U76)</f>
        <v>25074.600000000002</v>
      </c>
      <c r="W76" s="2558">
        <f t="shared" ref="W76:W83" si="38">M76+V76</f>
        <v>48058.600000000006</v>
      </c>
      <c r="X76" s="2527">
        <f t="shared" ref="X76:X83" si="39">(M76/M89-1)*100</f>
        <v>3.3128062210635134</v>
      </c>
      <c r="Y76" s="2527">
        <f t="shared" ref="Y76:Y83" si="40">(W76/W89-1)*100</f>
        <v>2.1873862092978147</v>
      </c>
    </row>
    <row r="77" spans="1:25" ht="23.25" customHeight="1">
      <c r="A77" s="2605" t="s">
        <v>1467</v>
      </c>
      <c r="B77" s="2555">
        <v>6</v>
      </c>
      <c r="C77" s="2556">
        <v>183</v>
      </c>
      <c r="D77" s="2637">
        <v>287</v>
      </c>
      <c r="E77" s="2638">
        <v>734</v>
      </c>
      <c r="F77" s="2639">
        <v>231</v>
      </c>
      <c r="G77" s="2639">
        <v>133</v>
      </c>
      <c r="H77" s="2640">
        <v>1230</v>
      </c>
      <c r="I77" s="2641">
        <v>1035</v>
      </c>
      <c r="J77" s="2640">
        <v>311</v>
      </c>
      <c r="K77" s="2640">
        <v>243</v>
      </c>
      <c r="L77" s="2640">
        <v>18563</v>
      </c>
      <c r="M77" s="2608">
        <f t="shared" si="35"/>
        <v>22956</v>
      </c>
      <c r="N77" s="2642">
        <v>2402</v>
      </c>
      <c r="O77" s="2642">
        <v>2666</v>
      </c>
      <c r="P77" s="2642">
        <v>2403</v>
      </c>
      <c r="Q77" s="2642">
        <v>2407</v>
      </c>
      <c r="R77" s="2642">
        <v>2548</v>
      </c>
      <c r="S77" s="2643">
        <v>12146</v>
      </c>
      <c r="T77" s="2621">
        <f t="shared" si="36"/>
        <v>24572</v>
      </c>
      <c r="U77" s="2644">
        <v>494.9</v>
      </c>
      <c r="V77" s="2558">
        <f t="shared" si="37"/>
        <v>25066.9</v>
      </c>
      <c r="W77" s="2558">
        <f t="shared" si="38"/>
        <v>48022.9</v>
      </c>
      <c r="X77" s="2527">
        <f t="shared" si="39"/>
        <v>3.3169809622395352</v>
      </c>
      <c r="Y77" s="2527">
        <f t="shared" si="40"/>
        <v>1.924932002856794</v>
      </c>
    </row>
    <row r="78" spans="1:25" ht="23.25" customHeight="1">
      <c r="A78" s="2605" t="s">
        <v>1468</v>
      </c>
      <c r="B78" s="2555">
        <v>6</v>
      </c>
      <c r="C78" s="2556">
        <v>184</v>
      </c>
      <c r="D78" s="2637">
        <v>284</v>
      </c>
      <c r="E78" s="2638">
        <v>720</v>
      </c>
      <c r="F78" s="2639">
        <v>231</v>
      </c>
      <c r="G78" s="2639">
        <v>134</v>
      </c>
      <c r="H78" s="2640">
        <v>1225</v>
      </c>
      <c r="I78" s="2641">
        <v>1012</v>
      </c>
      <c r="J78" s="2640">
        <v>333</v>
      </c>
      <c r="K78" s="2640">
        <v>241</v>
      </c>
      <c r="L78" s="2640">
        <v>18140</v>
      </c>
      <c r="M78" s="2608">
        <f t="shared" si="35"/>
        <v>22510</v>
      </c>
      <c r="N78" s="2642">
        <v>2502</v>
      </c>
      <c r="O78" s="2642">
        <v>2589</v>
      </c>
      <c r="P78" s="2642">
        <v>2397</v>
      </c>
      <c r="Q78" s="2642">
        <v>2421</v>
      </c>
      <c r="R78" s="2642">
        <v>2472</v>
      </c>
      <c r="S78" s="2643">
        <v>12137</v>
      </c>
      <c r="T78" s="2621">
        <f t="shared" si="36"/>
        <v>24518</v>
      </c>
      <c r="U78" s="2644">
        <v>494.8</v>
      </c>
      <c r="V78" s="2558">
        <f t="shared" ref="V78" si="41">SUM(T78:U78)</f>
        <v>25012.799999999999</v>
      </c>
      <c r="W78" s="2558">
        <f t="shared" si="38"/>
        <v>47522.8</v>
      </c>
      <c r="X78" s="2527">
        <f t="shared" si="39"/>
        <v>3.2048049149511648</v>
      </c>
      <c r="Y78" s="2527">
        <f t="shared" si="40"/>
        <v>1.795234841393456</v>
      </c>
    </row>
    <row r="79" spans="1:25" ht="23.25" customHeight="1">
      <c r="A79" s="2605" t="s">
        <v>1469</v>
      </c>
      <c r="B79" s="2555">
        <v>6</v>
      </c>
      <c r="C79" s="2556">
        <v>184</v>
      </c>
      <c r="D79" s="2637">
        <v>284</v>
      </c>
      <c r="E79" s="2638">
        <v>722</v>
      </c>
      <c r="F79" s="2639">
        <v>231</v>
      </c>
      <c r="G79" s="2639">
        <v>134</v>
      </c>
      <c r="H79" s="2640">
        <v>1224</v>
      </c>
      <c r="I79" s="2641">
        <v>1014</v>
      </c>
      <c r="J79" s="2640">
        <v>332</v>
      </c>
      <c r="K79" s="2640">
        <v>240</v>
      </c>
      <c r="L79" s="2640">
        <v>18216</v>
      </c>
      <c r="M79" s="2608">
        <f t="shared" ref="M79:M88" si="42">SUM(B79:L79)</f>
        <v>22587</v>
      </c>
      <c r="N79" s="2642">
        <v>2500</v>
      </c>
      <c r="O79" s="2642">
        <v>2592</v>
      </c>
      <c r="P79" s="2642">
        <v>2397</v>
      </c>
      <c r="Q79" s="2642">
        <v>2422</v>
      </c>
      <c r="R79" s="2642">
        <v>2456</v>
      </c>
      <c r="S79" s="2643">
        <v>12133</v>
      </c>
      <c r="T79" s="2621">
        <f t="shared" si="36"/>
        <v>24500</v>
      </c>
      <c r="U79" s="2644">
        <v>476.57499999999999</v>
      </c>
      <c r="V79" s="2558">
        <f t="shared" ref="V79:V83" si="43">SUM(T79:U79)</f>
        <v>24976.575000000001</v>
      </c>
      <c r="W79" s="2558">
        <f t="shared" si="38"/>
        <v>47563.574999999997</v>
      </c>
      <c r="X79" s="2527">
        <f t="shared" si="39"/>
        <v>2.9208056137792759</v>
      </c>
      <c r="Y79" s="2527">
        <f t="shared" si="40"/>
        <v>2.508367510996834</v>
      </c>
    </row>
    <row r="80" spans="1:25" ht="23.25" customHeight="1">
      <c r="A80" s="2605" t="s">
        <v>1470</v>
      </c>
      <c r="B80" s="2555">
        <v>6</v>
      </c>
      <c r="C80" s="2556">
        <v>183</v>
      </c>
      <c r="D80" s="2637">
        <v>286</v>
      </c>
      <c r="E80" s="2638">
        <v>796</v>
      </c>
      <c r="F80" s="2639">
        <v>231</v>
      </c>
      <c r="G80" s="2639">
        <v>134</v>
      </c>
      <c r="H80" s="2640">
        <v>1224</v>
      </c>
      <c r="I80" s="2641">
        <v>1015</v>
      </c>
      <c r="J80" s="2640">
        <v>331</v>
      </c>
      <c r="K80" s="2640">
        <v>241</v>
      </c>
      <c r="L80" s="2640">
        <v>18208</v>
      </c>
      <c r="M80" s="2608">
        <f t="shared" si="42"/>
        <v>22655</v>
      </c>
      <c r="N80" s="2642">
        <v>2505.75</v>
      </c>
      <c r="O80" s="2642">
        <v>2588.75</v>
      </c>
      <c r="P80" s="2642">
        <v>2393</v>
      </c>
      <c r="Q80" s="2642">
        <v>2540</v>
      </c>
      <c r="R80" s="2642">
        <v>2448</v>
      </c>
      <c r="S80" s="2643">
        <v>12086</v>
      </c>
      <c r="T80" s="2621">
        <f t="shared" si="36"/>
        <v>24561.5</v>
      </c>
      <c r="U80" s="2644">
        <v>476.92500000000001</v>
      </c>
      <c r="V80" s="2558">
        <f t="shared" si="43"/>
        <v>25038.424999999999</v>
      </c>
      <c r="W80" s="2558">
        <f t="shared" si="38"/>
        <v>47693.425000000003</v>
      </c>
      <c r="X80" s="2527">
        <f t="shared" si="39"/>
        <v>3.254181669021472</v>
      </c>
      <c r="Y80" s="2527">
        <f t="shared" si="40"/>
        <v>2.5726817958930948</v>
      </c>
    </row>
    <row r="81" spans="1:25" ht="23.25" customHeight="1">
      <c r="A81" s="2605" t="s">
        <v>1471</v>
      </c>
      <c r="B81" s="2555">
        <v>6</v>
      </c>
      <c r="C81" s="2556">
        <v>184</v>
      </c>
      <c r="D81" s="2637">
        <v>287</v>
      </c>
      <c r="E81" s="2638">
        <v>723</v>
      </c>
      <c r="F81" s="2639">
        <v>231</v>
      </c>
      <c r="G81" s="2639">
        <v>132</v>
      </c>
      <c r="H81" s="2640">
        <v>1224</v>
      </c>
      <c r="I81" s="2641">
        <v>1015</v>
      </c>
      <c r="J81" s="2640">
        <v>331</v>
      </c>
      <c r="K81" s="2640">
        <v>240</v>
      </c>
      <c r="L81" s="2640">
        <v>18283</v>
      </c>
      <c r="M81" s="2608">
        <f t="shared" si="42"/>
        <v>22656</v>
      </c>
      <c r="N81" s="2642">
        <v>2503.125</v>
      </c>
      <c r="O81" s="2642">
        <v>2589.625</v>
      </c>
      <c r="P81" s="2642">
        <v>2374.875</v>
      </c>
      <c r="Q81" s="2642">
        <v>2541</v>
      </c>
      <c r="R81" s="2642">
        <v>2459.375</v>
      </c>
      <c r="S81" s="2643">
        <v>12000</v>
      </c>
      <c r="T81" s="2621">
        <f t="shared" si="36"/>
        <v>24468</v>
      </c>
      <c r="U81" s="2644">
        <v>475.77499999999998</v>
      </c>
      <c r="V81" s="2558">
        <f t="shared" si="43"/>
        <v>24943.775000000001</v>
      </c>
      <c r="W81" s="2558">
        <f t="shared" si="38"/>
        <v>47599.775000000001</v>
      </c>
      <c r="X81" s="2527">
        <f t="shared" si="39"/>
        <v>2.3629873943884716</v>
      </c>
      <c r="Y81" s="2527">
        <f t="shared" si="40"/>
        <v>1.7663819795685987</v>
      </c>
    </row>
    <row r="82" spans="1:25" ht="23.25" customHeight="1">
      <c r="A82" s="2605" t="s">
        <v>1472</v>
      </c>
      <c r="B82" s="2555">
        <v>6</v>
      </c>
      <c r="C82" s="2556">
        <v>186</v>
      </c>
      <c r="D82" s="2637">
        <v>287</v>
      </c>
      <c r="E82" s="2638">
        <v>720</v>
      </c>
      <c r="F82" s="2639">
        <v>231</v>
      </c>
      <c r="G82" s="2639">
        <v>131</v>
      </c>
      <c r="H82" s="2640">
        <v>1224</v>
      </c>
      <c r="I82" s="2641">
        <v>1017</v>
      </c>
      <c r="J82" s="2640">
        <v>331</v>
      </c>
      <c r="K82" s="2640">
        <v>241</v>
      </c>
      <c r="L82" s="2640">
        <v>18264</v>
      </c>
      <c r="M82" s="2608">
        <f t="shared" si="42"/>
        <v>22638</v>
      </c>
      <c r="N82" s="2642">
        <v>2476.375</v>
      </c>
      <c r="O82" s="2642">
        <v>2589.625</v>
      </c>
      <c r="P82" s="2642">
        <v>2452.875</v>
      </c>
      <c r="Q82" s="2642">
        <v>2527.8249999999998</v>
      </c>
      <c r="R82" s="2642">
        <v>2461.875</v>
      </c>
      <c r="S82" s="2643">
        <v>11991.525</v>
      </c>
      <c r="T82" s="2621">
        <f t="shared" si="36"/>
        <v>24500.1</v>
      </c>
      <c r="U82" s="2644">
        <v>475.77499999999998</v>
      </c>
      <c r="V82" s="2558">
        <f t="shared" si="43"/>
        <v>24975.875</v>
      </c>
      <c r="W82" s="2558">
        <f t="shared" si="38"/>
        <v>47613.875</v>
      </c>
      <c r="X82" s="2527">
        <f t="shared" si="39"/>
        <v>0.35464136891567577</v>
      </c>
      <c r="Y82" s="2527">
        <f t="shared" si="40"/>
        <v>0.59499601223267362</v>
      </c>
    </row>
    <row r="83" spans="1:25" ht="23.25" customHeight="1">
      <c r="A83" s="2605" t="s">
        <v>1473</v>
      </c>
      <c r="B83" s="2555">
        <v>5</v>
      </c>
      <c r="C83" s="2556">
        <v>186</v>
      </c>
      <c r="D83" s="2637">
        <v>290</v>
      </c>
      <c r="E83" s="2638">
        <v>722</v>
      </c>
      <c r="F83" s="2639">
        <v>236</v>
      </c>
      <c r="G83" s="2639">
        <v>134</v>
      </c>
      <c r="H83" s="2640">
        <v>1234</v>
      </c>
      <c r="I83" s="2641">
        <v>1042</v>
      </c>
      <c r="J83" s="2640">
        <v>333</v>
      </c>
      <c r="K83" s="2640">
        <v>247</v>
      </c>
      <c r="L83" s="2640">
        <v>18732</v>
      </c>
      <c r="M83" s="2608">
        <f t="shared" si="42"/>
        <v>23161</v>
      </c>
      <c r="N83" s="2642">
        <v>2472.25</v>
      </c>
      <c r="O83" s="2642">
        <v>2591.625</v>
      </c>
      <c r="P83" s="2642">
        <v>2448.875</v>
      </c>
      <c r="Q83" s="2642">
        <v>2519.375</v>
      </c>
      <c r="R83" s="2642">
        <v>2449.875</v>
      </c>
      <c r="S83" s="2643">
        <v>11994.625</v>
      </c>
      <c r="T83" s="2621">
        <f t="shared" si="36"/>
        <v>24476.625</v>
      </c>
      <c r="U83" s="2644">
        <v>476.27499999999998</v>
      </c>
      <c r="V83" s="2558">
        <f t="shared" si="43"/>
        <v>24952.9</v>
      </c>
      <c r="W83" s="2558">
        <f t="shared" si="38"/>
        <v>48113.9</v>
      </c>
      <c r="X83" s="2527">
        <f t="shared" si="39"/>
        <v>2.6230670388586175</v>
      </c>
      <c r="Y83" s="2527">
        <f t="shared" si="40"/>
        <v>1.3537667535613584</v>
      </c>
    </row>
    <row r="84" spans="1:25" ht="23.25" customHeight="1">
      <c r="A84" s="2529" t="s">
        <v>1011</v>
      </c>
      <c r="B84" s="2530" t="s">
        <v>1382</v>
      </c>
      <c r="C84" s="2531" t="s">
        <v>1383</v>
      </c>
      <c r="D84" s="2572" t="s">
        <v>1448</v>
      </c>
      <c r="E84" s="2533" t="s">
        <v>1449</v>
      </c>
      <c r="F84" s="2533" t="s">
        <v>1385</v>
      </c>
      <c r="G84" s="2533" t="s">
        <v>1386</v>
      </c>
      <c r="H84" s="2534" t="s">
        <v>1424</v>
      </c>
      <c r="I84" s="2535" t="s">
        <v>1425</v>
      </c>
      <c r="J84" s="2534" t="s">
        <v>1426</v>
      </c>
      <c r="K84" s="2534" t="s">
        <v>1427</v>
      </c>
      <c r="L84" s="2534" t="s">
        <v>1409</v>
      </c>
      <c r="M84" s="2536" t="s">
        <v>192</v>
      </c>
      <c r="N84" s="2530" t="s">
        <v>1410</v>
      </c>
      <c r="O84" s="2531" t="s">
        <v>1411</v>
      </c>
      <c r="P84" s="2531" t="s">
        <v>1412</v>
      </c>
      <c r="Q84" s="2531" t="s">
        <v>1413</v>
      </c>
      <c r="R84" s="2531" t="s">
        <v>1414</v>
      </c>
      <c r="S84" s="2564" t="s">
        <v>1397</v>
      </c>
      <c r="T84" s="2565" t="s">
        <v>1398</v>
      </c>
      <c r="U84" s="2539" t="s">
        <v>1399</v>
      </c>
      <c r="V84" s="2566" t="s">
        <v>450</v>
      </c>
      <c r="W84" s="2542" t="s">
        <v>1380</v>
      </c>
      <c r="X84" s="2543" t="s">
        <v>1400</v>
      </c>
      <c r="Y84" s="2544" t="s">
        <v>1415</v>
      </c>
    </row>
    <row r="85" spans="1:25" ht="23.25" customHeight="1">
      <c r="A85" s="2600" t="s">
        <v>1474</v>
      </c>
      <c r="B85" s="2555">
        <v>5</v>
      </c>
      <c r="C85" s="2556">
        <v>664</v>
      </c>
      <c r="D85" s="2637">
        <v>58</v>
      </c>
      <c r="E85" s="2638">
        <v>20</v>
      </c>
      <c r="F85" s="2639">
        <v>716</v>
      </c>
      <c r="G85" s="2639">
        <v>232</v>
      </c>
      <c r="H85" s="2640">
        <v>134</v>
      </c>
      <c r="I85" s="2641">
        <v>1207</v>
      </c>
      <c r="J85" s="2640">
        <v>1016</v>
      </c>
      <c r="K85" s="2640">
        <v>333</v>
      </c>
      <c r="L85" s="2640">
        <v>18423</v>
      </c>
      <c r="M85" s="2608">
        <f t="shared" si="42"/>
        <v>22808</v>
      </c>
      <c r="N85" s="2642">
        <v>2626.125</v>
      </c>
      <c r="O85" s="2642">
        <v>2561.625</v>
      </c>
      <c r="P85" s="2642">
        <v>2444.875</v>
      </c>
      <c r="Q85" s="2642">
        <v>2517.125</v>
      </c>
      <c r="R85" s="2642">
        <v>2408.125</v>
      </c>
      <c r="S85" s="2643">
        <v>12122.875</v>
      </c>
      <c r="T85" s="2621">
        <f t="shared" si="36"/>
        <v>24680.75</v>
      </c>
      <c r="U85" s="2644">
        <v>514.66750000000002</v>
      </c>
      <c r="V85" s="2558">
        <f t="shared" ref="V85:V88" si="44">SUM(T85:U85)</f>
        <v>25195.4175</v>
      </c>
      <c r="W85" s="2558">
        <f t="shared" ref="W85:W100" si="45">M85+V85</f>
        <v>48003.417499999996</v>
      </c>
      <c r="X85" s="2527">
        <f>(M85/M97-1)*100</f>
        <v>1.6172867008242386</v>
      </c>
      <c r="Y85" s="2527">
        <f>(W85/W97-1)*100</f>
        <v>1.1909378161662154</v>
      </c>
    </row>
    <row r="86" spans="1:25" ht="23.25" customHeight="1">
      <c r="A86" s="2605" t="s">
        <v>1475</v>
      </c>
      <c r="B86" s="2555">
        <v>5</v>
      </c>
      <c r="C86" s="2556">
        <v>661</v>
      </c>
      <c r="D86" s="2637">
        <v>58</v>
      </c>
      <c r="E86" s="2638">
        <v>20</v>
      </c>
      <c r="F86" s="2639">
        <v>715</v>
      </c>
      <c r="G86" s="2639">
        <v>232</v>
      </c>
      <c r="H86" s="2640">
        <v>136</v>
      </c>
      <c r="I86" s="2641">
        <v>1206</v>
      </c>
      <c r="J86" s="2640">
        <v>1018</v>
      </c>
      <c r="K86" s="2640">
        <v>333</v>
      </c>
      <c r="L86" s="2640">
        <v>18519</v>
      </c>
      <c r="M86" s="2608">
        <f t="shared" si="42"/>
        <v>22903</v>
      </c>
      <c r="N86" s="2642">
        <v>2645.875</v>
      </c>
      <c r="O86" s="2642">
        <v>2558.5</v>
      </c>
      <c r="P86" s="2642">
        <v>2446.875</v>
      </c>
      <c r="Q86" s="2642">
        <v>2519.125</v>
      </c>
      <c r="R86" s="2642">
        <v>2415.37</v>
      </c>
      <c r="S86" s="2643">
        <v>12106.125</v>
      </c>
      <c r="T86" s="2621">
        <f t="shared" si="36"/>
        <v>24691.87</v>
      </c>
      <c r="U86" s="2644">
        <v>506.17500000000001</v>
      </c>
      <c r="V86" s="2558">
        <f t="shared" si="44"/>
        <v>25198.044999999998</v>
      </c>
      <c r="W86" s="2558">
        <f t="shared" si="45"/>
        <v>48101.044999999998</v>
      </c>
      <c r="X86" s="2527">
        <f>(M86/M98-1)*100</f>
        <v>1.5564029797800583</v>
      </c>
      <c r="Y86" s="2527">
        <f>(W86/W98-1)*100</f>
        <v>1.4768570283327342</v>
      </c>
    </row>
    <row r="87" spans="1:25" ht="23.25" customHeight="1">
      <c r="A87" s="2605" t="s">
        <v>1476</v>
      </c>
      <c r="B87" s="2555">
        <v>7</v>
      </c>
      <c r="C87" s="2556">
        <v>664</v>
      </c>
      <c r="D87" s="2637">
        <v>58</v>
      </c>
      <c r="E87" s="2638">
        <v>21</v>
      </c>
      <c r="F87" s="2639">
        <v>717</v>
      </c>
      <c r="G87" s="2639">
        <v>232</v>
      </c>
      <c r="H87" s="2640">
        <v>136</v>
      </c>
      <c r="I87" s="2641">
        <v>1226</v>
      </c>
      <c r="J87" s="2640">
        <v>1016</v>
      </c>
      <c r="K87" s="2640">
        <v>331</v>
      </c>
      <c r="L87" s="2640">
        <v>18538</v>
      </c>
      <c r="M87" s="2608">
        <f t="shared" si="42"/>
        <v>22946</v>
      </c>
      <c r="N87" s="2642">
        <v>2639.5</v>
      </c>
      <c r="O87" s="2642">
        <v>2608.875</v>
      </c>
      <c r="P87" s="2642">
        <v>2453.875</v>
      </c>
      <c r="Q87" s="2642">
        <v>2526.875</v>
      </c>
      <c r="R87" s="2642">
        <v>2420.1750000000002</v>
      </c>
      <c r="S87" s="2643">
        <v>12106.8</v>
      </c>
      <c r="T87" s="2621">
        <f t="shared" si="36"/>
        <v>24756.1</v>
      </c>
      <c r="U87" s="2644">
        <v>504.57499999999999</v>
      </c>
      <c r="V87" s="2558">
        <f t="shared" si="44"/>
        <v>25260.674999999999</v>
      </c>
      <c r="W87" s="2558">
        <f t="shared" si="45"/>
        <v>48206.675000000003</v>
      </c>
      <c r="X87" s="2527">
        <f>(M87/M99-1)*100</f>
        <v>1.7831795599716038</v>
      </c>
      <c r="Y87" s="2527">
        <f>(W87/W99-1)*100</f>
        <v>1.6460907519082468</v>
      </c>
    </row>
    <row r="88" spans="1:25" ht="23.25" customHeight="1">
      <c r="A88" s="2605" t="s">
        <v>1477</v>
      </c>
      <c r="B88" s="2555">
        <v>7</v>
      </c>
      <c r="C88" s="2556">
        <v>642</v>
      </c>
      <c r="D88" s="2637">
        <v>143</v>
      </c>
      <c r="E88" s="2638">
        <v>91</v>
      </c>
      <c r="F88" s="2639">
        <v>858</v>
      </c>
      <c r="G88" s="2639">
        <v>228</v>
      </c>
      <c r="H88" s="2640">
        <v>211</v>
      </c>
      <c r="I88" s="2641">
        <v>1094</v>
      </c>
      <c r="J88" s="2640">
        <v>1021</v>
      </c>
      <c r="K88" s="2640">
        <v>328</v>
      </c>
      <c r="L88" s="2640">
        <v>18773</v>
      </c>
      <c r="M88" s="2608">
        <f t="shared" si="42"/>
        <v>23396</v>
      </c>
      <c r="N88" s="2642">
        <v>2709.625</v>
      </c>
      <c r="O88" s="2642">
        <v>2607.875</v>
      </c>
      <c r="P88" s="2642">
        <v>2528.125</v>
      </c>
      <c r="Q88" s="2642">
        <v>2504.625</v>
      </c>
      <c r="R88" s="2642">
        <v>2465.63</v>
      </c>
      <c r="S88" s="2643">
        <v>12204.725</v>
      </c>
      <c r="T88" s="2621">
        <f t="shared" si="36"/>
        <v>25020.605000000003</v>
      </c>
      <c r="U88" s="2644">
        <v>504.17500000000001</v>
      </c>
      <c r="V88" s="2558">
        <f t="shared" si="44"/>
        <v>25524.780000000002</v>
      </c>
      <c r="W88" s="2558">
        <f t="shared" si="45"/>
        <v>48920.78</v>
      </c>
      <c r="X88" s="2527">
        <f>(M88/M100-1)*100</f>
        <v>1.8102697998259254</v>
      </c>
      <c r="Y88" s="2527">
        <f>(W88/W100-1)*100</f>
        <v>1.7455362249513717</v>
      </c>
    </row>
    <row r="89" spans="1:25" ht="23.25" customHeight="1">
      <c r="A89" s="2600" t="s">
        <v>1478</v>
      </c>
      <c r="B89" s="2645">
        <v>7</v>
      </c>
      <c r="C89" s="2617">
        <v>152</v>
      </c>
      <c r="D89" s="2646">
        <v>260</v>
      </c>
      <c r="E89" s="1530">
        <v>683</v>
      </c>
      <c r="F89" s="2647">
        <v>207</v>
      </c>
      <c r="G89" s="2647">
        <v>132</v>
      </c>
      <c r="H89" s="2648">
        <v>1170</v>
      </c>
      <c r="I89" s="2649">
        <v>1150</v>
      </c>
      <c r="J89" s="2648">
        <v>312</v>
      </c>
      <c r="K89" s="2648">
        <v>267</v>
      </c>
      <c r="L89" s="2648">
        <v>17907</v>
      </c>
      <c r="M89" s="2608">
        <f t="shared" ref="M89:M110" si="46">SUM(B89:L89)</f>
        <v>22247</v>
      </c>
      <c r="N89" s="2650">
        <v>2400</v>
      </c>
      <c r="O89" s="2650">
        <v>2668</v>
      </c>
      <c r="P89" s="2650">
        <v>2407.125</v>
      </c>
      <c r="Q89" s="2650">
        <v>2339.75</v>
      </c>
      <c r="R89" s="2650">
        <v>2565</v>
      </c>
      <c r="S89" s="2621">
        <v>11965</v>
      </c>
      <c r="T89" s="2621">
        <f t="shared" si="36"/>
        <v>24344.875</v>
      </c>
      <c r="U89" s="2651">
        <v>438</v>
      </c>
      <c r="V89" s="2558">
        <f t="shared" ref="V89:V96" si="47">SUM(T89:U89)</f>
        <v>24782.875</v>
      </c>
      <c r="W89" s="2558">
        <f t="shared" si="45"/>
        <v>47029.875</v>
      </c>
      <c r="X89" s="2527">
        <f>(M89/M101-1)*100</f>
        <v>13.551449571253581</v>
      </c>
      <c r="Y89" s="2527">
        <f>(W89/W101-1)*100</f>
        <v>10.674153998211523</v>
      </c>
    </row>
    <row r="90" spans="1:25" ht="23.25" customHeight="1">
      <c r="A90" s="2600" t="s">
        <v>1479</v>
      </c>
      <c r="B90" s="2645">
        <v>6</v>
      </c>
      <c r="C90" s="2617">
        <v>154</v>
      </c>
      <c r="D90" s="2646">
        <v>263</v>
      </c>
      <c r="E90" s="1530">
        <v>683</v>
      </c>
      <c r="F90" s="2647">
        <v>205</v>
      </c>
      <c r="G90" s="2647">
        <v>133</v>
      </c>
      <c r="H90" s="2648">
        <v>1174</v>
      </c>
      <c r="I90" s="2649">
        <v>1143</v>
      </c>
      <c r="J90" s="2648">
        <v>313</v>
      </c>
      <c r="K90" s="2648">
        <v>269</v>
      </c>
      <c r="L90" s="2648">
        <v>17876</v>
      </c>
      <c r="M90" s="2608">
        <f t="shared" si="46"/>
        <v>22219</v>
      </c>
      <c r="N90" s="2650">
        <v>2397</v>
      </c>
      <c r="O90" s="2650">
        <v>2667</v>
      </c>
      <c r="P90" s="2650">
        <v>2410.375</v>
      </c>
      <c r="Q90" s="2650">
        <v>2339.9499999999998</v>
      </c>
      <c r="R90" s="2650">
        <v>2565</v>
      </c>
      <c r="S90" s="2621">
        <v>12080</v>
      </c>
      <c r="T90" s="2621">
        <f t="shared" si="36"/>
        <v>24459.325000000001</v>
      </c>
      <c r="U90" s="2621">
        <v>437.625</v>
      </c>
      <c r="V90" s="2558">
        <f t="shared" si="47"/>
        <v>24896.95</v>
      </c>
      <c r="W90" s="2558">
        <f t="shared" si="45"/>
        <v>47115.95</v>
      </c>
      <c r="X90" s="2527">
        <f t="shared" ref="X90:X100" si="48">(M90/M102-1)*100</f>
        <v>13.617304152178367</v>
      </c>
      <c r="Y90" s="2527">
        <f t="shared" ref="Y90:Y100" si="49">(W90/W102-1)*100</f>
        <v>10.915864309423462</v>
      </c>
    </row>
    <row r="91" spans="1:25" ht="23.25" customHeight="1">
      <c r="A91" s="2600" t="s">
        <v>1480</v>
      </c>
      <c r="B91" s="2555">
        <v>7</v>
      </c>
      <c r="C91" s="2556">
        <v>153</v>
      </c>
      <c r="D91" s="2637">
        <v>265</v>
      </c>
      <c r="E91" s="2638">
        <v>672</v>
      </c>
      <c r="F91" s="2639">
        <v>207</v>
      </c>
      <c r="G91" s="2639">
        <v>133</v>
      </c>
      <c r="H91" s="2640">
        <v>1160</v>
      </c>
      <c r="I91" s="2641">
        <v>1130</v>
      </c>
      <c r="J91" s="2640">
        <v>311</v>
      </c>
      <c r="K91" s="2640">
        <v>266</v>
      </c>
      <c r="L91" s="2640">
        <v>17507</v>
      </c>
      <c r="M91" s="2608">
        <f t="shared" si="46"/>
        <v>21811</v>
      </c>
      <c r="N91" s="2652">
        <v>2398</v>
      </c>
      <c r="O91" s="2652">
        <v>2665</v>
      </c>
      <c r="P91" s="2652">
        <v>2407.375</v>
      </c>
      <c r="Q91" s="2652">
        <v>2336.1999999999998</v>
      </c>
      <c r="R91" s="2652">
        <v>2560</v>
      </c>
      <c r="S91" s="2653">
        <v>12072</v>
      </c>
      <c r="T91" s="2621">
        <f t="shared" si="36"/>
        <v>24438.575000000001</v>
      </c>
      <c r="U91" s="2653">
        <v>435.125</v>
      </c>
      <c r="V91" s="2558">
        <f t="shared" si="47"/>
        <v>24873.7</v>
      </c>
      <c r="W91" s="2558">
        <f t="shared" si="45"/>
        <v>46684.7</v>
      </c>
      <c r="X91" s="2527">
        <f t="shared" si="48"/>
        <v>13.806417949386907</v>
      </c>
      <c r="Y91" s="2527">
        <f t="shared" si="49"/>
        <v>10.758481613285875</v>
      </c>
    </row>
    <row r="92" spans="1:25" ht="23.25" customHeight="1">
      <c r="A92" s="2600" t="s">
        <v>1481</v>
      </c>
      <c r="B92" s="2555">
        <v>7</v>
      </c>
      <c r="C92" s="2556">
        <v>155</v>
      </c>
      <c r="D92" s="2637">
        <v>265</v>
      </c>
      <c r="E92" s="2638">
        <v>677</v>
      </c>
      <c r="F92" s="2639">
        <v>209</v>
      </c>
      <c r="G92" s="2639">
        <v>135</v>
      </c>
      <c r="H92" s="2640">
        <v>1174</v>
      </c>
      <c r="I92" s="2641">
        <v>1128</v>
      </c>
      <c r="J92" s="2640">
        <v>314</v>
      </c>
      <c r="K92" s="2640">
        <v>267</v>
      </c>
      <c r="L92" s="2640">
        <v>17615</v>
      </c>
      <c r="M92" s="2608">
        <f t="shared" si="46"/>
        <v>21946</v>
      </c>
      <c r="N92" s="2652">
        <v>2328</v>
      </c>
      <c r="O92" s="2652">
        <v>2513</v>
      </c>
      <c r="P92" s="2652">
        <v>2314.875</v>
      </c>
      <c r="Q92" s="2652">
        <v>2347.1999999999998</v>
      </c>
      <c r="R92" s="2652">
        <v>2428</v>
      </c>
      <c r="S92" s="2653">
        <v>12074</v>
      </c>
      <c r="T92" s="2621">
        <f t="shared" si="36"/>
        <v>24005.075000000001</v>
      </c>
      <c r="U92" s="2653">
        <v>448.625</v>
      </c>
      <c r="V92" s="2558">
        <f t="shared" si="47"/>
        <v>24453.7</v>
      </c>
      <c r="W92" s="2558">
        <f t="shared" si="45"/>
        <v>46399.7</v>
      </c>
      <c r="X92" s="2527">
        <f t="shared" si="48"/>
        <v>14.594538144222224</v>
      </c>
      <c r="Y92" s="2527">
        <f t="shared" si="49"/>
        <v>10.150270629569835</v>
      </c>
    </row>
    <row r="93" spans="1:25" ht="23.25" customHeight="1">
      <c r="A93" s="2600" t="s">
        <v>1482</v>
      </c>
      <c r="B93" s="2555">
        <v>7</v>
      </c>
      <c r="C93" s="2556">
        <v>155</v>
      </c>
      <c r="D93" s="2637">
        <v>264</v>
      </c>
      <c r="E93" s="2638">
        <v>677</v>
      </c>
      <c r="F93" s="2639">
        <v>210</v>
      </c>
      <c r="G93" s="2639">
        <v>134</v>
      </c>
      <c r="H93" s="2640">
        <v>1175</v>
      </c>
      <c r="I93" s="2641">
        <v>1129</v>
      </c>
      <c r="J93" s="2640">
        <v>312</v>
      </c>
      <c r="K93" s="2640">
        <v>267</v>
      </c>
      <c r="L93" s="2640">
        <v>17611</v>
      </c>
      <c r="M93" s="2608">
        <f t="shared" si="46"/>
        <v>21941</v>
      </c>
      <c r="N93" s="2652">
        <v>2320</v>
      </c>
      <c r="O93" s="2652">
        <v>2513</v>
      </c>
      <c r="P93" s="2652">
        <v>2309.375</v>
      </c>
      <c r="Q93" s="2652">
        <v>2343.1999999999998</v>
      </c>
      <c r="R93" s="2652">
        <v>2537</v>
      </c>
      <c r="S93" s="2653">
        <v>12085</v>
      </c>
      <c r="T93" s="2621">
        <f t="shared" si="36"/>
        <v>24107.575000000001</v>
      </c>
      <c r="U93" s="2653">
        <v>448.625</v>
      </c>
      <c r="V93" s="2558">
        <f t="shared" si="47"/>
        <v>24556.2</v>
      </c>
      <c r="W93" s="2558">
        <f t="shared" si="45"/>
        <v>46497.2</v>
      </c>
      <c r="X93" s="2527">
        <f t="shared" si="48"/>
        <v>14.103697540173687</v>
      </c>
      <c r="Y93" s="2527">
        <f t="shared" si="49"/>
        <v>10.115094965187321</v>
      </c>
    </row>
    <row r="94" spans="1:25" ht="23.25" customHeight="1">
      <c r="A94" s="2600" t="s">
        <v>1483</v>
      </c>
      <c r="B94" s="2555">
        <v>7</v>
      </c>
      <c r="C94" s="2556">
        <v>155</v>
      </c>
      <c r="D94" s="2637">
        <v>264</v>
      </c>
      <c r="E94" s="2638">
        <v>877</v>
      </c>
      <c r="F94" s="2639">
        <v>209</v>
      </c>
      <c r="G94" s="2639">
        <v>134</v>
      </c>
      <c r="H94" s="2640">
        <v>1175</v>
      </c>
      <c r="I94" s="2641">
        <v>1127</v>
      </c>
      <c r="J94" s="2640">
        <v>313</v>
      </c>
      <c r="K94" s="2640">
        <v>267</v>
      </c>
      <c r="L94" s="2640">
        <v>17605</v>
      </c>
      <c r="M94" s="2608">
        <f t="shared" si="46"/>
        <v>22133</v>
      </c>
      <c r="N94" s="2652">
        <v>2294</v>
      </c>
      <c r="O94" s="2652">
        <v>2565</v>
      </c>
      <c r="P94" s="2652">
        <v>2274.125</v>
      </c>
      <c r="Q94" s="2652">
        <v>2461.4499999999998</v>
      </c>
      <c r="R94" s="2652">
        <v>2533</v>
      </c>
      <c r="S94" s="2653">
        <v>12026</v>
      </c>
      <c r="T94" s="2621">
        <f t="shared" si="36"/>
        <v>24153.575000000001</v>
      </c>
      <c r="U94" s="2653">
        <v>487</v>
      </c>
      <c r="V94" s="2558">
        <f t="shared" si="47"/>
        <v>24640.575000000001</v>
      </c>
      <c r="W94" s="2558">
        <f t="shared" si="45"/>
        <v>46773.574999999997</v>
      </c>
      <c r="X94" s="2527">
        <f t="shared" si="48"/>
        <v>11.641866330390926</v>
      </c>
      <c r="Y94" s="2527">
        <f t="shared" si="49"/>
        <v>9.1387054623515382</v>
      </c>
    </row>
    <row r="95" spans="1:25" ht="23.25" customHeight="1">
      <c r="A95" s="2600" t="s">
        <v>1484</v>
      </c>
      <c r="B95" s="2555">
        <v>7</v>
      </c>
      <c r="C95" s="2556">
        <v>159</v>
      </c>
      <c r="D95" s="2637">
        <v>266</v>
      </c>
      <c r="E95" s="2638">
        <v>689</v>
      </c>
      <c r="F95" s="2639">
        <v>212</v>
      </c>
      <c r="G95" s="2639">
        <v>139</v>
      </c>
      <c r="H95" s="2640">
        <v>1243</v>
      </c>
      <c r="I95" s="2641">
        <v>1143</v>
      </c>
      <c r="J95" s="2640">
        <v>320</v>
      </c>
      <c r="K95" s="2640">
        <v>268</v>
      </c>
      <c r="L95" s="2640">
        <v>18112</v>
      </c>
      <c r="M95" s="2608">
        <f t="shared" si="46"/>
        <v>22558</v>
      </c>
      <c r="N95" s="2652">
        <v>2399</v>
      </c>
      <c r="O95" s="2652">
        <v>2564</v>
      </c>
      <c r="P95" s="2652">
        <v>2277</v>
      </c>
      <c r="Q95" s="2652">
        <v>2437</v>
      </c>
      <c r="R95" s="2652">
        <v>2530</v>
      </c>
      <c r="S95" s="2653">
        <v>12081</v>
      </c>
      <c r="T95" s="2621">
        <f t="shared" si="36"/>
        <v>24288</v>
      </c>
      <c r="U95" s="2653">
        <v>486.25</v>
      </c>
      <c r="V95" s="2558">
        <f t="shared" si="47"/>
        <v>24774.25</v>
      </c>
      <c r="W95" s="2558">
        <f t="shared" si="45"/>
        <v>47332.25</v>
      </c>
      <c r="X95" s="2527">
        <f t="shared" si="48"/>
        <v>3.5435600844579085</v>
      </c>
      <c r="Y95" s="2527">
        <f t="shared" si="49"/>
        <v>2.3541082689776172</v>
      </c>
    </row>
    <row r="96" spans="1:25" ht="23.25" customHeight="1">
      <c r="A96" s="2600" t="s">
        <v>1485</v>
      </c>
      <c r="B96" s="2555">
        <v>7</v>
      </c>
      <c r="C96" s="2556">
        <v>159</v>
      </c>
      <c r="D96" s="2637">
        <v>266</v>
      </c>
      <c r="E96" s="2638">
        <v>687</v>
      </c>
      <c r="F96" s="2639">
        <v>212</v>
      </c>
      <c r="G96" s="2639">
        <v>139</v>
      </c>
      <c r="H96" s="2640">
        <v>1247</v>
      </c>
      <c r="I96" s="2641">
        <v>1148</v>
      </c>
      <c r="J96" s="2640">
        <v>321</v>
      </c>
      <c r="K96" s="2640">
        <v>268</v>
      </c>
      <c r="L96" s="2640">
        <v>18115</v>
      </c>
      <c r="M96" s="2608">
        <f t="shared" si="46"/>
        <v>22569</v>
      </c>
      <c r="N96" s="2652">
        <v>2399</v>
      </c>
      <c r="O96" s="2652">
        <v>2561</v>
      </c>
      <c r="P96" s="2652">
        <v>2367</v>
      </c>
      <c r="Q96" s="2652">
        <v>2435</v>
      </c>
      <c r="R96" s="2652">
        <v>2422</v>
      </c>
      <c r="S96" s="2653">
        <v>12234</v>
      </c>
      <c r="T96" s="2653">
        <f t="shared" si="36"/>
        <v>24418</v>
      </c>
      <c r="U96" s="2653">
        <v>484.25</v>
      </c>
      <c r="V96" s="2558">
        <f t="shared" si="47"/>
        <v>24902.25</v>
      </c>
      <c r="W96" s="2558">
        <f t="shared" si="45"/>
        <v>47471.25</v>
      </c>
      <c r="X96" s="2527">
        <f t="shared" si="48"/>
        <v>3.6463834672789908</v>
      </c>
      <c r="Y96" s="2527">
        <f t="shared" si="49"/>
        <v>2.7124281361895708</v>
      </c>
    </row>
    <row r="97" spans="1:25" ht="23.25" customHeight="1">
      <c r="A97" s="2600" t="s">
        <v>1486</v>
      </c>
      <c r="B97" s="2654">
        <v>7</v>
      </c>
      <c r="C97" s="2608">
        <v>159</v>
      </c>
      <c r="D97" s="2655">
        <v>266</v>
      </c>
      <c r="E97" s="2656">
        <v>893</v>
      </c>
      <c r="F97" s="2657">
        <v>212</v>
      </c>
      <c r="G97" s="2657">
        <v>137</v>
      </c>
      <c r="H97" s="2658">
        <v>1239</v>
      </c>
      <c r="I97" s="2659">
        <v>1131</v>
      </c>
      <c r="J97" s="2658">
        <v>319</v>
      </c>
      <c r="K97" s="2658">
        <v>264</v>
      </c>
      <c r="L97" s="2658">
        <v>17818</v>
      </c>
      <c r="M97" s="2608">
        <f t="shared" si="46"/>
        <v>22445</v>
      </c>
      <c r="N97" s="2652">
        <v>2408</v>
      </c>
      <c r="O97" s="2652">
        <v>2539</v>
      </c>
      <c r="P97" s="2652">
        <v>2363.38</v>
      </c>
      <c r="Q97" s="2652">
        <v>2438.0749999999998</v>
      </c>
      <c r="R97" s="2652">
        <v>2528</v>
      </c>
      <c r="S97" s="2653">
        <v>12233</v>
      </c>
      <c r="T97" s="2653">
        <f t="shared" si="36"/>
        <v>24509.455000000002</v>
      </c>
      <c r="U97" s="2653">
        <v>484</v>
      </c>
      <c r="V97" s="2558">
        <f t="shared" ref="V97:V100" si="50">SUM(T97:U97)</f>
        <v>24993.455000000002</v>
      </c>
      <c r="W97" s="2558">
        <f t="shared" si="45"/>
        <v>47438.455000000002</v>
      </c>
      <c r="X97" s="2527">
        <f t="shared" si="48"/>
        <v>4.8048188270451986</v>
      </c>
      <c r="Y97" s="2527">
        <f t="shared" si="49"/>
        <v>3.3973702995330202</v>
      </c>
    </row>
    <row r="98" spans="1:25" ht="23.25" customHeight="1">
      <c r="A98" s="2600" t="s">
        <v>1487</v>
      </c>
      <c r="B98" s="2555">
        <v>7</v>
      </c>
      <c r="C98" s="2556">
        <v>159</v>
      </c>
      <c r="D98" s="2637">
        <v>267</v>
      </c>
      <c r="E98" s="2638">
        <v>724</v>
      </c>
      <c r="F98" s="2639">
        <v>214</v>
      </c>
      <c r="G98" s="2639">
        <v>136</v>
      </c>
      <c r="H98" s="2640">
        <v>1239</v>
      </c>
      <c r="I98" s="2659">
        <v>1130</v>
      </c>
      <c r="J98" s="2640">
        <v>320</v>
      </c>
      <c r="K98" s="2640">
        <v>263</v>
      </c>
      <c r="L98" s="2640">
        <v>18093</v>
      </c>
      <c r="M98" s="2608">
        <f t="shared" si="46"/>
        <v>22552</v>
      </c>
      <c r="N98" s="2652">
        <v>2399</v>
      </c>
      <c r="O98" s="2652">
        <v>2537</v>
      </c>
      <c r="P98" s="2652">
        <v>2361</v>
      </c>
      <c r="Q98" s="2652">
        <v>2433</v>
      </c>
      <c r="R98" s="2652">
        <v>2419</v>
      </c>
      <c r="S98" s="2653">
        <v>12226</v>
      </c>
      <c r="T98" s="2653">
        <f t="shared" si="36"/>
        <v>24375</v>
      </c>
      <c r="U98" s="2643">
        <v>474</v>
      </c>
      <c r="V98" s="2558">
        <f t="shared" si="50"/>
        <v>24849</v>
      </c>
      <c r="W98" s="2558">
        <f t="shared" si="45"/>
        <v>47401</v>
      </c>
      <c r="X98" s="2527">
        <f t="shared" si="48"/>
        <v>4.5962617689346397</v>
      </c>
      <c r="Y98" s="2527">
        <f t="shared" si="49"/>
        <v>3.1401038450972862</v>
      </c>
    </row>
    <row r="99" spans="1:25" ht="23.25" customHeight="1">
      <c r="A99" s="2600" t="s">
        <v>1488</v>
      </c>
      <c r="B99" s="2555">
        <v>7</v>
      </c>
      <c r="C99" s="2556">
        <v>159</v>
      </c>
      <c r="D99" s="2637">
        <v>267</v>
      </c>
      <c r="E99" s="2638">
        <v>683</v>
      </c>
      <c r="F99" s="2639">
        <v>215</v>
      </c>
      <c r="G99" s="2639">
        <v>136</v>
      </c>
      <c r="H99" s="2640">
        <v>1240</v>
      </c>
      <c r="I99" s="2641">
        <v>1130</v>
      </c>
      <c r="J99" s="2640">
        <v>319</v>
      </c>
      <c r="K99" s="2640">
        <v>263</v>
      </c>
      <c r="L99" s="2640">
        <v>18125</v>
      </c>
      <c r="M99" s="2608">
        <f t="shared" si="46"/>
        <v>22544</v>
      </c>
      <c r="N99" s="2652">
        <v>2391</v>
      </c>
      <c r="O99" s="2652">
        <v>2543</v>
      </c>
      <c r="P99" s="2652">
        <v>2361</v>
      </c>
      <c r="Q99" s="2652">
        <v>2431</v>
      </c>
      <c r="R99" s="2652">
        <v>2449</v>
      </c>
      <c r="S99" s="2653">
        <v>12210</v>
      </c>
      <c r="T99" s="2653">
        <f t="shared" si="36"/>
        <v>24385</v>
      </c>
      <c r="U99" s="2653">
        <v>497</v>
      </c>
      <c r="V99" s="2558">
        <f t="shared" si="50"/>
        <v>24882</v>
      </c>
      <c r="W99" s="2558">
        <f t="shared" si="45"/>
        <v>47426</v>
      </c>
      <c r="X99" s="2527">
        <f t="shared" si="48"/>
        <v>4.6951191194910091</v>
      </c>
      <c r="Y99" s="2527">
        <f t="shared" si="49"/>
        <v>3.2838339980127751</v>
      </c>
    </row>
    <row r="100" spans="1:25" ht="23.25" customHeight="1">
      <c r="A100" s="2600" t="s">
        <v>1489</v>
      </c>
      <c r="B100" s="2555">
        <v>6</v>
      </c>
      <c r="C100" s="2556">
        <v>159</v>
      </c>
      <c r="D100" s="2637">
        <v>279</v>
      </c>
      <c r="E100" s="2638">
        <v>900</v>
      </c>
      <c r="F100" s="2639">
        <v>226</v>
      </c>
      <c r="G100" s="2639">
        <v>134</v>
      </c>
      <c r="H100" s="2640">
        <v>1195</v>
      </c>
      <c r="I100" s="2641">
        <v>1133</v>
      </c>
      <c r="J100" s="2640">
        <v>319</v>
      </c>
      <c r="K100" s="2640">
        <v>259</v>
      </c>
      <c r="L100" s="2640">
        <v>18370</v>
      </c>
      <c r="M100" s="2608">
        <f t="shared" si="46"/>
        <v>22980</v>
      </c>
      <c r="N100" s="2642">
        <v>2408</v>
      </c>
      <c r="O100" s="2642">
        <v>2664</v>
      </c>
      <c r="P100" s="2642">
        <v>2403</v>
      </c>
      <c r="Q100" s="2642">
        <v>2404</v>
      </c>
      <c r="R100" s="2642">
        <v>2551</v>
      </c>
      <c r="S100" s="2643">
        <v>12178</v>
      </c>
      <c r="T100" s="2643">
        <f t="shared" si="36"/>
        <v>24608</v>
      </c>
      <c r="U100" s="2643">
        <v>493.5</v>
      </c>
      <c r="V100" s="2558">
        <f t="shared" si="50"/>
        <v>25101.5</v>
      </c>
      <c r="W100" s="2558">
        <f t="shared" si="45"/>
        <v>48081.5</v>
      </c>
      <c r="X100" s="2527">
        <f t="shared" si="48"/>
        <v>3.1788793103448176</v>
      </c>
      <c r="Y100" s="2527">
        <f t="shared" si="49"/>
        <v>1.9153575696234659</v>
      </c>
    </row>
    <row r="101" spans="1:25" ht="23.25" customHeight="1">
      <c r="A101" s="2600" t="s">
        <v>1490</v>
      </c>
      <c r="B101" s="2555">
        <v>4</v>
      </c>
      <c r="C101" s="2556">
        <f>151-2-16-3</f>
        <v>130</v>
      </c>
      <c r="D101" s="2637">
        <f>250-1-12</f>
        <v>237</v>
      </c>
      <c r="E101" s="2638">
        <f>670-4-3-137</f>
        <v>526</v>
      </c>
      <c r="F101" s="2639">
        <f>202-1</f>
        <v>201</v>
      </c>
      <c r="G101" s="2639">
        <f>134-1-1</f>
        <v>132</v>
      </c>
      <c r="H101" s="2640">
        <f>1131-6-49</f>
        <v>1076</v>
      </c>
      <c r="I101" s="2641">
        <f>1141-29-1</f>
        <v>1111</v>
      </c>
      <c r="J101" s="2640">
        <f>345-7</f>
        <v>338</v>
      </c>
      <c r="K101" s="2640">
        <f>283-4-3</f>
        <v>276</v>
      </c>
      <c r="L101" s="2640">
        <f>17315-1721-33</f>
        <v>15561</v>
      </c>
      <c r="M101" s="2521">
        <f t="shared" si="46"/>
        <v>19592</v>
      </c>
      <c r="N101" s="2642">
        <v>2166</v>
      </c>
      <c r="O101" s="2642">
        <v>2392</v>
      </c>
      <c r="P101" s="2660">
        <v>2138.5</v>
      </c>
      <c r="Q101" s="2660">
        <v>2187.5</v>
      </c>
      <c r="R101" s="2642">
        <v>2436</v>
      </c>
      <c r="S101" s="2643">
        <v>11241</v>
      </c>
      <c r="T101" s="2661">
        <f t="shared" si="36"/>
        <v>22561</v>
      </c>
      <c r="U101" s="2643">
        <v>341</v>
      </c>
      <c r="V101" s="2521">
        <f t="shared" ref="V101" si="51">SUM(T101:U101)</f>
        <v>22902</v>
      </c>
      <c r="W101" s="2521">
        <f t="shared" ref="W101:W111" si="52">SUM(M101:U101)-T101</f>
        <v>42494</v>
      </c>
      <c r="X101" s="2527">
        <f>(M101/M113-1)*100</f>
        <v>3.8922473220914133</v>
      </c>
      <c r="Y101" s="2527">
        <f>(W101/W113-1)*100</f>
        <v>3.9278027783212766</v>
      </c>
    </row>
    <row r="102" spans="1:25" ht="23.25" customHeight="1">
      <c r="A102" s="2600" t="s">
        <v>1491</v>
      </c>
      <c r="B102" s="2555">
        <v>4</v>
      </c>
      <c r="C102" s="2556">
        <f>147-2-16-3</f>
        <v>126</v>
      </c>
      <c r="D102" s="2637">
        <f>242-1-12</f>
        <v>229</v>
      </c>
      <c r="E102" s="2638">
        <f>724-4-3-140</f>
        <v>577</v>
      </c>
      <c r="F102" s="2639">
        <f>201-1</f>
        <v>200</v>
      </c>
      <c r="G102" s="2639">
        <f>130-1-1</f>
        <v>128</v>
      </c>
      <c r="H102" s="2640">
        <f>1125-6-49</f>
        <v>1070</v>
      </c>
      <c r="I102" s="2641">
        <f>1137-29-1</f>
        <v>1107</v>
      </c>
      <c r="J102" s="2640">
        <f>334-7</f>
        <v>327</v>
      </c>
      <c r="K102" s="2640">
        <f>282-4-3</f>
        <v>275</v>
      </c>
      <c r="L102" s="2640">
        <f>17269-1723-33</f>
        <v>15513</v>
      </c>
      <c r="M102" s="2521">
        <f t="shared" si="46"/>
        <v>19556</v>
      </c>
      <c r="N102" s="2642">
        <v>2166</v>
      </c>
      <c r="O102" s="2642">
        <v>2393</v>
      </c>
      <c r="P102" s="2642">
        <v>2140</v>
      </c>
      <c r="Q102" s="2642">
        <v>2189</v>
      </c>
      <c r="R102" s="2642">
        <v>2436</v>
      </c>
      <c r="S102" s="2643">
        <v>11257</v>
      </c>
      <c r="T102" s="2661">
        <f t="shared" si="36"/>
        <v>22581</v>
      </c>
      <c r="U102" s="2643">
        <v>342</v>
      </c>
      <c r="V102" s="2521">
        <f t="shared" ref="V102:V111" si="53">SUM(T102:U102)</f>
        <v>22923</v>
      </c>
      <c r="W102" s="2521">
        <f t="shared" si="52"/>
        <v>42479</v>
      </c>
      <c r="X102" s="2527">
        <f t="shared" ref="X102:X110" si="54">(M102/M114-1)*100</f>
        <v>2.8721725407680143</v>
      </c>
      <c r="Y102" s="2527">
        <f t="shared" ref="Y102:Y110" si="55">(W102/W114-1)*100</f>
        <v>3.5239928837764722</v>
      </c>
    </row>
    <row r="103" spans="1:25" ht="23.25" customHeight="1">
      <c r="A103" s="2600" t="s">
        <v>1492</v>
      </c>
      <c r="B103" s="2555">
        <v>4</v>
      </c>
      <c r="C103" s="2556">
        <f>147-2-16-3</f>
        <v>126</v>
      </c>
      <c r="D103" s="2637">
        <f>240-1-12</f>
        <v>227</v>
      </c>
      <c r="E103" s="2638">
        <f>738-4-3-134</f>
        <v>597</v>
      </c>
      <c r="F103" s="2639">
        <f>200-1</f>
        <v>199</v>
      </c>
      <c r="G103" s="2639">
        <f>130-1-1</f>
        <v>128</v>
      </c>
      <c r="H103" s="2640">
        <f>1110-6-47</f>
        <v>1057</v>
      </c>
      <c r="I103" s="2641">
        <f>1101-28-1</f>
        <v>1072</v>
      </c>
      <c r="J103" s="2640">
        <f>329-7</f>
        <v>322</v>
      </c>
      <c r="K103" s="2640">
        <f>281-4-3</f>
        <v>274</v>
      </c>
      <c r="L103" s="2640">
        <f>16877-1685-33</f>
        <v>15159</v>
      </c>
      <c r="M103" s="2521">
        <f t="shared" si="46"/>
        <v>19165</v>
      </c>
      <c r="N103" s="2642">
        <v>2170</v>
      </c>
      <c r="O103" s="2642">
        <v>2389</v>
      </c>
      <c r="P103" s="2642">
        <v>2142</v>
      </c>
      <c r="Q103" s="2642">
        <v>2214</v>
      </c>
      <c r="R103" s="2642">
        <v>2436</v>
      </c>
      <c r="S103" s="2643">
        <v>11268</v>
      </c>
      <c r="T103" s="2661">
        <f t="shared" si="36"/>
        <v>22619</v>
      </c>
      <c r="U103" s="2643">
        <v>366</v>
      </c>
      <c r="V103" s="2521">
        <f t="shared" si="53"/>
        <v>22985</v>
      </c>
      <c r="W103" s="2521">
        <f t="shared" si="52"/>
        <v>42150</v>
      </c>
      <c r="X103" s="2527">
        <f t="shared" si="54"/>
        <v>2.5743952044530172</v>
      </c>
      <c r="Y103" s="2527">
        <f t="shared" si="55"/>
        <v>3.5117878192534313</v>
      </c>
    </row>
    <row r="104" spans="1:25" ht="23.25" customHeight="1">
      <c r="A104" s="2600" t="s">
        <v>1493</v>
      </c>
      <c r="B104" s="2555">
        <v>5</v>
      </c>
      <c r="C104" s="2556">
        <f>147-3-16-3</f>
        <v>125</v>
      </c>
      <c r="D104" s="2637">
        <f>238-1-11</f>
        <v>226</v>
      </c>
      <c r="E104" s="2638">
        <f>740-4-3-135</f>
        <v>598</v>
      </c>
      <c r="F104" s="2639">
        <f>199-1</f>
        <v>198</v>
      </c>
      <c r="G104" s="2639">
        <f>129-1-1</f>
        <v>127</v>
      </c>
      <c r="H104" s="2640">
        <f>1111-6-49</f>
        <v>1056</v>
      </c>
      <c r="I104" s="2641">
        <f>1102-1-28</f>
        <v>1073</v>
      </c>
      <c r="J104" s="2640">
        <f>325-7</f>
        <v>318</v>
      </c>
      <c r="K104" s="2640">
        <f>280-5-3</f>
        <v>272</v>
      </c>
      <c r="L104" s="2640">
        <f>16877-1691-33</f>
        <v>15153</v>
      </c>
      <c r="M104" s="2521">
        <f t="shared" si="46"/>
        <v>19151</v>
      </c>
      <c r="N104" s="2642">
        <v>2160</v>
      </c>
      <c r="O104" s="2642">
        <v>2389</v>
      </c>
      <c r="P104" s="2642">
        <v>2140</v>
      </c>
      <c r="Q104" s="2642">
        <v>2216</v>
      </c>
      <c r="R104" s="2642">
        <v>2442</v>
      </c>
      <c r="S104" s="2643">
        <v>11272</v>
      </c>
      <c r="T104" s="2661">
        <f t="shared" si="36"/>
        <v>22619</v>
      </c>
      <c r="U104" s="2643">
        <v>354</v>
      </c>
      <c r="V104" s="2521">
        <f t="shared" si="53"/>
        <v>22973</v>
      </c>
      <c r="W104" s="2521">
        <f t="shared" si="52"/>
        <v>42124</v>
      </c>
      <c r="X104" s="2527">
        <f t="shared" si="54"/>
        <v>2.0461448286886563</v>
      </c>
      <c r="Y104" s="2527">
        <f t="shared" si="55"/>
        <v>3.2356094721686102</v>
      </c>
    </row>
    <row r="105" spans="1:25" s="2446" customFormat="1" ht="23.25" customHeight="1">
      <c r="A105" s="2600" t="s">
        <v>1494</v>
      </c>
      <c r="B105" s="2555">
        <v>5</v>
      </c>
      <c r="C105" s="2556">
        <f>147-3-16-3</f>
        <v>125</v>
      </c>
      <c r="D105" s="2637">
        <f>237-1-11</f>
        <v>225</v>
      </c>
      <c r="E105" s="2638">
        <f>742-4-3-138</f>
        <v>597</v>
      </c>
      <c r="F105" s="2639">
        <f>199-1</f>
        <v>198</v>
      </c>
      <c r="G105" s="2639">
        <f>128-1-1</f>
        <v>126</v>
      </c>
      <c r="H105" s="2640">
        <f>1109-5-49</f>
        <v>1055</v>
      </c>
      <c r="I105" s="2641">
        <f>1103-1-28</f>
        <v>1074</v>
      </c>
      <c r="J105" s="2640">
        <f>326-7</f>
        <v>319</v>
      </c>
      <c r="K105" s="2640">
        <f>277-5-2</f>
        <v>270</v>
      </c>
      <c r="L105" s="2640">
        <f>16953-1685-33</f>
        <v>15235</v>
      </c>
      <c r="M105" s="2521">
        <f t="shared" si="46"/>
        <v>19229</v>
      </c>
      <c r="N105" s="2642">
        <v>2185</v>
      </c>
      <c r="O105" s="2642">
        <v>2389</v>
      </c>
      <c r="P105" s="2642">
        <v>2137</v>
      </c>
      <c r="Q105" s="2642">
        <v>2218</v>
      </c>
      <c r="R105" s="2642">
        <v>2442</v>
      </c>
      <c r="S105" s="2643">
        <v>11271</v>
      </c>
      <c r="T105" s="2661">
        <f t="shared" ref="T105:T112" si="56">SUM(N105:S105)</f>
        <v>22642</v>
      </c>
      <c r="U105" s="2643">
        <v>355</v>
      </c>
      <c r="V105" s="2521">
        <f t="shared" si="53"/>
        <v>22997</v>
      </c>
      <c r="W105" s="2521">
        <f t="shared" si="52"/>
        <v>42226</v>
      </c>
      <c r="X105" s="2527">
        <f t="shared" si="54"/>
        <v>2.4890736595245766</v>
      </c>
      <c r="Y105" s="2527">
        <f t="shared" si="55"/>
        <v>3.3912000195881697</v>
      </c>
    </row>
    <row r="106" spans="1:25" ht="23.25" customHeight="1">
      <c r="A106" s="2600" t="s">
        <v>1495</v>
      </c>
      <c r="B106" s="2555">
        <v>4</v>
      </c>
      <c r="C106" s="2556">
        <v>125</v>
      </c>
      <c r="D106" s="2637">
        <f>237-1-10</f>
        <v>226</v>
      </c>
      <c r="E106" s="2638">
        <f>1347-133-3-4</f>
        <v>1207</v>
      </c>
      <c r="F106" s="2639">
        <f>198-1</f>
        <v>197</v>
      </c>
      <c r="G106" s="2639">
        <f>127-1-1</f>
        <v>125</v>
      </c>
      <c r="H106" s="2640">
        <f>1110-48-5</f>
        <v>1057</v>
      </c>
      <c r="I106" s="2641">
        <f>1101-1-28</f>
        <v>1072</v>
      </c>
      <c r="J106" s="2640">
        <f>325-6</f>
        <v>319</v>
      </c>
      <c r="K106" s="2640">
        <f>276-2-5</f>
        <v>269</v>
      </c>
      <c r="L106" s="2640">
        <f>16936-1685-27</f>
        <v>15224</v>
      </c>
      <c r="M106" s="2521">
        <f t="shared" si="46"/>
        <v>19825</v>
      </c>
      <c r="N106" s="2642">
        <v>2183</v>
      </c>
      <c r="O106" s="2642">
        <v>2449</v>
      </c>
      <c r="P106" s="2642">
        <v>2169</v>
      </c>
      <c r="Q106" s="2642">
        <v>2214</v>
      </c>
      <c r="R106" s="2642">
        <v>2436</v>
      </c>
      <c r="S106" s="2643">
        <v>11226</v>
      </c>
      <c r="T106" s="2643">
        <f t="shared" si="56"/>
        <v>22677</v>
      </c>
      <c r="U106" s="2643">
        <v>355</v>
      </c>
      <c r="V106" s="2521">
        <f t="shared" si="53"/>
        <v>23032</v>
      </c>
      <c r="W106" s="2521">
        <f t="shared" si="52"/>
        <v>42857</v>
      </c>
      <c r="X106" s="2527">
        <f t="shared" si="54"/>
        <v>4.783298097251576</v>
      </c>
      <c r="Y106" s="2527">
        <f t="shared" si="55"/>
        <v>3.9814635093167627</v>
      </c>
    </row>
    <row r="107" spans="1:25" ht="23.25" customHeight="1">
      <c r="A107" s="2662" t="s">
        <v>1496</v>
      </c>
      <c r="B107" s="2663">
        <v>6</v>
      </c>
      <c r="C107" s="2664">
        <v>146</v>
      </c>
      <c r="D107" s="2665">
        <v>258</v>
      </c>
      <c r="E107" s="2666">
        <v>675</v>
      </c>
      <c r="F107" s="2667">
        <v>208</v>
      </c>
      <c r="G107" s="2667">
        <v>123</v>
      </c>
      <c r="H107" s="2668">
        <v>1153</v>
      </c>
      <c r="I107" s="2669">
        <v>1134</v>
      </c>
      <c r="J107" s="2668">
        <v>324</v>
      </c>
      <c r="K107" s="2668">
        <v>274</v>
      </c>
      <c r="L107" s="2668">
        <v>17485</v>
      </c>
      <c r="M107" s="2670">
        <f t="shared" si="46"/>
        <v>21786</v>
      </c>
      <c r="N107" s="2671">
        <v>2364</v>
      </c>
      <c r="O107" s="2671">
        <v>2654</v>
      </c>
      <c r="P107" s="2671">
        <v>2382.375</v>
      </c>
      <c r="Q107" s="2671">
        <v>2284.5</v>
      </c>
      <c r="R107" s="2671">
        <v>2538</v>
      </c>
      <c r="S107" s="2672">
        <v>11845</v>
      </c>
      <c r="T107" s="2673">
        <f t="shared" si="56"/>
        <v>24067.875</v>
      </c>
      <c r="U107" s="2672">
        <v>389.75</v>
      </c>
      <c r="V107" s="2670">
        <f t="shared" si="53"/>
        <v>24457.625</v>
      </c>
      <c r="W107" s="2670">
        <f t="shared" si="52"/>
        <v>46243.625</v>
      </c>
      <c r="X107" s="2674">
        <f t="shared" si="54"/>
        <v>14.338196704104123</v>
      </c>
      <c r="Y107" s="2674">
        <f t="shared" si="55"/>
        <v>11.867107745899652</v>
      </c>
    </row>
    <row r="108" spans="1:25" ht="23.25" customHeight="1">
      <c r="A108" s="2600" t="s">
        <v>1497</v>
      </c>
      <c r="B108" s="2555">
        <v>7</v>
      </c>
      <c r="C108" s="2556">
        <v>146</v>
      </c>
      <c r="D108" s="2637">
        <v>258</v>
      </c>
      <c r="E108" s="2638">
        <v>675</v>
      </c>
      <c r="F108" s="2639">
        <v>209</v>
      </c>
      <c r="G108" s="2639">
        <v>123</v>
      </c>
      <c r="H108" s="2640">
        <v>1157</v>
      </c>
      <c r="I108" s="2641">
        <v>1131</v>
      </c>
      <c r="J108" s="2640">
        <v>324</v>
      </c>
      <c r="K108" s="2640">
        <v>276</v>
      </c>
      <c r="L108" s="2640">
        <v>17469</v>
      </c>
      <c r="M108" s="2521">
        <f t="shared" si="46"/>
        <v>21775</v>
      </c>
      <c r="N108" s="2652">
        <v>2363</v>
      </c>
      <c r="O108" s="2652">
        <v>2650</v>
      </c>
      <c r="P108" s="2652">
        <v>2383.88</v>
      </c>
      <c r="Q108" s="2652">
        <v>2284</v>
      </c>
      <c r="R108" s="2652">
        <v>2533</v>
      </c>
      <c r="S108" s="2653">
        <v>11840</v>
      </c>
      <c r="T108" s="2643">
        <f t="shared" si="56"/>
        <v>24053.88</v>
      </c>
      <c r="U108" s="2653">
        <v>388.75</v>
      </c>
      <c r="V108" s="2521">
        <f t="shared" si="53"/>
        <v>24442.63</v>
      </c>
      <c r="W108" s="2521">
        <f t="shared" si="52"/>
        <v>46217.630000000005</v>
      </c>
      <c r="X108" s="2527">
        <f t="shared" si="54"/>
        <v>14.424592748292175</v>
      </c>
      <c r="Y108" s="2527">
        <f t="shared" si="55"/>
        <v>11.744753384912965</v>
      </c>
    </row>
    <row r="109" spans="1:25" ht="23.25" customHeight="1">
      <c r="A109" s="2600" t="s">
        <v>1498</v>
      </c>
      <c r="B109" s="2555">
        <v>7</v>
      </c>
      <c r="C109" s="2556">
        <v>146</v>
      </c>
      <c r="D109" s="2637">
        <v>260</v>
      </c>
      <c r="E109" s="2638">
        <v>667</v>
      </c>
      <c r="F109" s="2639">
        <v>208</v>
      </c>
      <c r="G109" s="2639">
        <v>121</v>
      </c>
      <c r="H109" s="2640">
        <v>1154</v>
      </c>
      <c r="I109" s="2641">
        <v>1111</v>
      </c>
      <c r="J109" s="2640">
        <v>319</v>
      </c>
      <c r="K109" s="2640">
        <v>274</v>
      </c>
      <c r="L109" s="2640">
        <v>17149</v>
      </c>
      <c r="M109" s="2521">
        <f t="shared" si="46"/>
        <v>21416</v>
      </c>
      <c r="N109" s="2652">
        <v>2360</v>
      </c>
      <c r="O109" s="2652">
        <v>2648</v>
      </c>
      <c r="P109" s="2652">
        <v>2381.875</v>
      </c>
      <c r="Q109" s="2652">
        <v>2283.625</v>
      </c>
      <c r="R109" s="2652">
        <v>2531</v>
      </c>
      <c r="S109" s="2653">
        <v>11844</v>
      </c>
      <c r="T109" s="2643">
        <f t="shared" si="56"/>
        <v>24048.5</v>
      </c>
      <c r="U109" s="2653">
        <v>415.25</v>
      </c>
      <c r="V109" s="2521">
        <f t="shared" si="53"/>
        <v>24463.75</v>
      </c>
      <c r="W109" s="2521">
        <f t="shared" si="52"/>
        <v>45879.75</v>
      </c>
      <c r="X109" s="2527">
        <f t="shared" si="54"/>
        <v>14.121283171693477</v>
      </c>
      <c r="Y109" s="2527">
        <f t="shared" si="55"/>
        <v>11.689347095769032</v>
      </c>
    </row>
    <row r="110" spans="1:25" ht="23.25" customHeight="1">
      <c r="A110" s="2600" t="s">
        <v>1499</v>
      </c>
      <c r="B110" s="2555">
        <v>7</v>
      </c>
      <c r="C110" s="2556">
        <v>146</v>
      </c>
      <c r="D110" s="2637">
        <v>259</v>
      </c>
      <c r="E110" s="2638">
        <v>670</v>
      </c>
      <c r="F110" s="2639">
        <v>208</v>
      </c>
      <c r="G110" s="2639">
        <v>121</v>
      </c>
      <c r="H110" s="2640">
        <v>1156</v>
      </c>
      <c r="I110" s="2641">
        <v>1109</v>
      </c>
      <c r="J110" s="2640">
        <v>319</v>
      </c>
      <c r="K110" s="2640">
        <v>273</v>
      </c>
      <c r="L110" s="2640">
        <v>17293</v>
      </c>
      <c r="M110" s="2456">
        <f t="shared" si="46"/>
        <v>21561</v>
      </c>
      <c r="N110" s="2652">
        <v>2362</v>
      </c>
      <c r="O110" s="2652">
        <v>2621</v>
      </c>
      <c r="P110" s="2652">
        <v>2384.875</v>
      </c>
      <c r="Q110" s="2652">
        <v>2286.75</v>
      </c>
      <c r="R110" s="2652">
        <v>2508</v>
      </c>
      <c r="S110" s="2653">
        <v>11829</v>
      </c>
      <c r="T110" s="2643">
        <f t="shared" si="56"/>
        <v>23991.625</v>
      </c>
      <c r="U110" s="2653">
        <v>405.25</v>
      </c>
      <c r="V110" s="2521">
        <f t="shared" si="53"/>
        <v>24396.875</v>
      </c>
      <c r="W110" s="2521">
        <f t="shared" si="52"/>
        <v>45957.875</v>
      </c>
      <c r="X110" s="2527">
        <f t="shared" si="54"/>
        <v>14.619105842326308</v>
      </c>
      <c r="Y110" s="2527">
        <f t="shared" si="55"/>
        <v>11.700065623177135</v>
      </c>
    </row>
    <row r="111" spans="1:25" ht="23.25" customHeight="1">
      <c r="A111" s="2600" t="s">
        <v>1500</v>
      </c>
      <c r="B111" s="2555">
        <v>7</v>
      </c>
      <c r="C111" s="2556">
        <v>146</v>
      </c>
      <c r="D111" s="2637">
        <v>261</v>
      </c>
      <c r="E111" s="2638">
        <v>670</v>
      </c>
      <c r="F111" s="2639">
        <v>207</v>
      </c>
      <c r="G111" s="2639">
        <v>122</v>
      </c>
      <c r="H111" s="2640">
        <v>1151</v>
      </c>
      <c r="I111" s="2641">
        <v>1107</v>
      </c>
      <c r="J111" s="2640">
        <v>318</v>
      </c>
      <c r="K111" s="2640">
        <v>273</v>
      </c>
      <c r="L111" s="2640">
        <v>17271</v>
      </c>
      <c r="M111" s="2556">
        <f>SUM(B111:L111)</f>
        <v>21533</v>
      </c>
      <c r="N111" s="2652">
        <v>2360</v>
      </c>
      <c r="O111" s="2652">
        <v>2617</v>
      </c>
      <c r="P111" s="2652">
        <v>2378.375</v>
      </c>
      <c r="Q111" s="2652">
        <v>2286</v>
      </c>
      <c r="R111" s="2652">
        <v>2504</v>
      </c>
      <c r="S111" s="2653">
        <v>11837</v>
      </c>
      <c r="T111" s="2643">
        <f t="shared" si="56"/>
        <v>23982.375</v>
      </c>
      <c r="U111" s="2653">
        <v>402.75</v>
      </c>
      <c r="V111" s="2556">
        <f t="shared" si="53"/>
        <v>24385.125</v>
      </c>
      <c r="W111" s="2556">
        <f t="shared" si="52"/>
        <v>45918.125</v>
      </c>
      <c r="X111" s="2527">
        <f>(M111/M123-1)*100</f>
        <v>14.555514177794326</v>
      </c>
      <c r="Y111" s="2527">
        <f>(W111/W123-1)*100</f>
        <v>11.541778255509595</v>
      </c>
    </row>
    <row r="112" spans="1:25" ht="23.25" customHeight="1">
      <c r="A112" s="2605" t="s">
        <v>1501</v>
      </c>
      <c r="B112" s="2555">
        <v>7</v>
      </c>
      <c r="C112" s="2556">
        <v>145</v>
      </c>
      <c r="D112" s="2637">
        <v>256</v>
      </c>
      <c r="E112" s="2638">
        <v>1435</v>
      </c>
      <c r="F112" s="2639">
        <v>205</v>
      </c>
      <c r="G112" s="2639">
        <v>120</v>
      </c>
      <c r="H112" s="2640">
        <v>1150</v>
      </c>
      <c r="I112" s="2641">
        <v>1102</v>
      </c>
      <c r="J112" s="2640">
        <v>319</v>
      </c>
      <c r="K112" s="2640">
        <v>271</v>
      </c>
      <c r="L112" s="2640">
        <f>1026+999+1053+1027+1717+1119+888+1516+999+1692+1439+780+1409+1262+336</f>
        <v>17262</v>
      </c>
      <c r="M112" s="2556">
        <f>SUM(B112:L112)</f>
        <v>22272</v>
      </c>
      <c r="N112" s="2652">
        <v>2401</v>
      </c>
      <c r="O112" s="2652">
        <v>2672</v>
      </c>
      <c r="P112" s="2652">
        <v>2433.125</v>
      </c>
      <c r="Q112" s="2652">
        <v>2355.75</v>
      </c>
      <c r="R112" s="2652">
        <v>2537</v>
      </c>
      <c r="S112" s="2653">
        <v>12068</v>
      </c>
      <c r="T112" s="2643">
        <f t="shared" si="56"/>
        <v>24466.875</v>
      </c>
      <c r="U112" s="2653">
        <v>439</v>
      </c>
      <c r="V112" s="2556">
        <f t="shared" ref="V112" si="57">SUM(T112:U112)</f>
        <v>24905.875</v>
      </c>
      <c r="W112" s="2556">
        <f t="shared" ref="W112" si="58">SUM(M112:U112)-T112</f>
        <v>47177.875</v>
      </c>
      <c r="X112" s="2527">
        <f>(M112/M124-1)*100</f>
        <v>13.632653061224499</v>
      </c>
      <c r="Y112" s="2527">
        <f>(W112/W124-1)*100</f>
        <v>11.185970328647343</v>
      </c>
    </row>
    <row r="113" spans="1:25" ht="23.25" customHeight="1">
      <c r="A113" s="2600" t="s">
        <v>1502</v>
      </c>
      <c r="B113" s="2675">
        <v>7</v>
      </c>
      <c r="C113" s="2676">
        <f>174-4-17-9</f>
        <v>144</v>
      </c>
      <c r="D113" s="2676">
        <f>253-1-9</f>
        <v>243</v>
      </c>
      <c r="E113" s="2676">
        <f>659-133-2-4</f>
        <v>520</v>
      </c>
      <c r="F113" s="2677">
        <f>175-1-1</f>
        <v>173</v>
      </c>
      <c r="G113" s="2677">
        <f>129-1-1</f>
        <v>127</v>
      </c>
      <c r="H113" s="2677">
        <f>1092-51-4</f>
        <v>1037</v>
      </c>
      <c r="I113" s="2678">
        <f>1106-1-29</f>
        <v>1076</v>
      </c>
      <c r="J113" s="2677">
        <f>311</f>
        <v>311</v>
      </c>
      <c r="K113" s="2677">
        <f>276-2-3</f>
        <v>271</v>
      </c>
      <c r="L113" s="2677">
        <f>16771-1777-3-42</f>
        <v>14949</v>
      </c>
      <c r="M113" s="2521">
        <f t="shared" ref="M113:M115" si="59">SUM(B113:L113)</f>
        <v>18858</v>
      </c>
      <c r="N113" s="2679">
        <v>2090</v>
      </c>
      <c r="O113" s="2679">
        <v>2292</v>
      </c>
      <c r="P113" s="2679">
        <v>2023</v>
      </c>
      <c r="Q113" s="2679">
        <v>2031</v>
      </c>
      <c r="R113" s="2679">
        <v>2281</v>
      </c>
      <c r="S113" s="2661">
        <v>10971</v>
      </c>
      <c r="T113" s="2661">
        <f t="shared" ref="T113:T124" si="60">SUM(N113:S113)</f>
        <v>21688</v>
      </c>
      <c r="U113" s="2680">
        <v>342</v>
      </c>
      <c r="V113" s="2521">
        <f t="shared" ref="V113:V123" si="61">SUM(T113:U113)</f>
        <v>22030</v>
      </c>
      <c r="W113" s="2521">
        <f t="shared" ref="W113:W123" si="62">SUM(M113:U113)-T113</f>
        <v>40888</v>
      </c>
      <c r="X113" s="2527">
        <f>(M113/M125-1)*100</f>
        <v>3.2466465918423282</v>
      </c>
      <c r="Y113" s="2527">
        <f>(W113/W125-1)*100</f>
        <v>4.5327879330180343</v>
      </c>
    </row>
    <row r="114" spans="1:25" ht="23.25" customHeight="1">
      <c r="A114" s="2600" t="s">
        <v>1503</v>
      </c>
      <c r="B114" s="2675">
        <v>7</v>
      </c>
      <c r="C114" s="2676">
        <f>178-4-17-9</f>
        <v>148</v>
      </c>
      <c r="D114" s="2676">
        <f>244-1-10</f>
        <v>233</v>
      </c>
      <c r="E114" s="2676">
        <f>854-133-2-4</f>
        <v>715</v>
      </c>
      <c r="F114" s="2677">
        <f>179-1-1</f>
        <v>177</v>
      </c>
      <c r="G114" s="2677">
        <f>122-1-1</f>
        <v>120</v>
      </c>
      <c r="H114" s="2677">
        <f>1081-50-4</f>
        <v>1027</v>
      </c>
      <c r="I114" s="2678">
        <f>1104-1-29</f>
        <v>1074</v>
      </c>
      <c r="J114" s="2677">
        <f>300</f>
        <v>300</v>
      </c>
      <c r="K114" s="2677">
        <f>269-2-2</f>
        <v>265</v>
      </c>
      <c r="L114" s="2677">
        <f>16764-1776-2-42</f>
        <v>14944</v>
      </c>
      <c r="M114" s="2521">
        <f t="shared" si="59"/>
        <v>19010</v>
      </c>
      <c r="N114" s="2679">
        <v>2090</v>
      </c>
      <c r="O114" s="2679">
        <v>2333</v>
      </c>
      <c r="P114" s="2679">
        <v>2021</v>
      </c>
      <c r="Q114" s="2679">
        <v>2027</v>
      </c>
      <c r="R114" s="2679">
        <v>2282</v>
      </c>
      <c r="S114" s="2661">
        <v>10930</v>
      </c>
      <c r="T114" s="2661">
        <f t="shared" si="60"/>
        <v>21683</v>
      </c>
      <c r="U114" s="2680">
        <v>340</v>
      </c>
      <c r="V114" s="2521">
        <f t="shared" si="61"/>
        <v>22023</v>
      </c>
      <c r="W114" s="2521">
        <f t="shared" si="62"/>
        <v>41033</v>
      </c>
      <c r="X114" s="2527">
        <f t="shared" ref="X114:X177" si="63">(M114/M126-1)*100</f>
        <v>4.1529695375849274</v>
      </c>
      <c r="Y114" s="2527">
        <f t="shared" ref="Y114:Y177" si="64">(W114/W126-1)*100</f>
        <v>5.0162516315614303</v>
      </c>
    </row>
    <row r="115" spans="1:25" ht="23.25" customHeight="1">
      <c r="A115" s="2600" t="s">
        <v>1504</v>
      </c>
      <c r="B115" s="2675">
        <v>7</v>
      </c>
      <c r="C115" s="2676">
        <f>185-4-16-10</f>
        <v>155</v>
      </c>
      <c r="D115" s="2676">
        <f>248-1-11</f>
        <v>236</v>
      </c>
      <c r="E115" s="2676">
        <f>658-132-2-4</f>
        <v>520</v>
      </c>
      <c r="F115" s="2677">
        <f>190-1-1</f>
        <v>188</v>
      </c>
      <c r="G115" s="2677">
        <f>132-1-1</f>
        <v>130</v>
      </c>
      <c r="H115" s="2677">
        <f>1092-50-4</f>
        <v>1038</v>
      </c>
      <c r="I115" s="2678">
        <f>1097-1-29</f>
        <v>1067</v>
      </c>
      <c r="J115" s="2677">
        <f>310</f>
        <v>310</v>
      </c>
      <c r="K115" s="2677">
        <f>272-3-2</f>
        <v>267</v>
      </c>
      <c r="L115" s="2677">
        <f>16562-1752-2-42</f>
        <v>14766</v>
      </c>
      <c r="M115" s="2521">
        <f t="shared" si="59"/>
        <v>18684</v>
      </c>
      <c r="N115" s="2456">
        <v>2089</v>
      </c>
      <c r="O115" s="2456">
        <v>2337</v>
      </c>
      <c r="P115" s="2456">
        <v>2015</v>
      </c>
      <c r="Q115" s="2456">
        <v>2027</v>
      </c>
      <c r="R115" s="2456">
        <v>2311</v>
      </c>
      <c r="S115" s="2661">
        <v>10909</v>
      </c>
      <c r="T115" s="2661">
        <f t="shared" si="60"/>
        <v>21688</v>
      </c>
      <c r="U115" s="2680">
        <v>348</v>
      </c>
      <c r="V115" s="2521">
        <f t="shared" si="61"/>
        <v>22036</v>
      </c>
      <c r="W115" s="2521">
        <f t="shared" si="62"/>
        <v>40720</v>
      </c>
      <c r="X115" s="2527">
        <f t="shared" si="63"/>
        <v>4.0485604499638006</v>
      </c>
      <c r="Y115" s="2527">
        <f t="shared" si="64"/>
        <v>4.9565688068665015</v>
      </c>
    </row>
    <row r="116" spans="1:25" ht="23.25" customHeight="1">
      <c r="A116" s="2600" t="s">
        <v>1505</v>
      </c>
      <c r="B116" s="2675">
        <v>7</v>
      </c>
      <c r="C116" s="2676">
        <f>149-4-16-2</f>
        <v>127</v>
      </c>
      <c r="D116" s="2676">
        <f>246-1-11</f>
        <v>234</v>
      </c>
      <c r="E116" s="2676">
        <f>663-132-2-4</f>
        <v>525</v>
      </c>
      <c r="F116" s="2677">
        <f>190-1-1</f>
        <v>188</v>
      </c>
      <c r="G116" s="2677">
        <f>132-1-1</f>
        <v>130</v>
      </c>
      <c r="H116" s="2677">
        <f>1093-50-3</f>
        <v>1040</v>
      </c>
      <c r="I116" s="2678">
        <f>1096-1-29</f>
        <v>1066</v>
      </c>
      <c r="J116" s="2677">
        <f>340-6</f>
        <v>334</v>
      </c>
      <c r="K116" s="2677">
        <f>280-3-4</f>
        <v>273</v>
      </c>
      <c r="L116" s="2677">
        <f>16636-1749-2-42</f>
        <v>14843</v>
      </c>
      <c r="M116" s="2521">
        <f t="shared" ref="M116:M120" si="65">SUM(B116:L116)</f>
        <v>18767</v>
      </c>
      <c r="N116" s="2456">
        <v>2089</v>
      </c>
      <c r="O116" s="2456">
        <v>2338</v>
      </c>
      <c r="P116" s="2456">
        <v>2016</v>
      </c>
      <c r="Q116" s="2456">
        <v>2025.75</v>
      </c>
      <c r="R116" s="2456">
        <v>2312</v>
      </c>
      <c r="S116" s="2681">
        <v>10908</v>
      </c>
      <c r="T116" s="2661">
        <f t="shared" si="60"/>
        <v>21688.75</v>
      </c>
      <c r="U116" s="2680">
        <v>348</v>
      </c>
      <c r="V116" s="2521">
        <f t="shared" si="61"/>
        <v>22036.75</v>
      </c>
      <c r="W116" s="2521">
        <f t="shared" si="62"/>
        <v>40803.75</v>
      </c>
      <c r="X116" s="2527">
        <f t="shared" si="63"/>
        <v>3.5020957423339993</v>
      </c>
      <c r="Y116" s="2527">
        <f t="shared" si="64"/>
        <v>4.5660140433601448</v>
      </c>
    </row>
    <row r="117" spans="1:25" ht="23.25" customHeight="1">
      <c r="A117" s="2600" t="s">
        <v>1506</v>
      </c>
      <c r="B117" s="2675">
        <v>7</v>
      </c>
      <c r="C117" s="2676">
        <f>150-4-17-2</f>
        <v>127</v>
      </c>
      <c r="D117" s="2676">
        <f>246-1-11</f>
        <v>234</v>
      </c>
      <c r="E117" s="2676">
        <f>662-133-2-4</f>
        <v>523</v>
      </c>
      <c r="F117" s="2677">
        <f>190-1-1</f>
        <v>188</v>
      </c>
      <c r="G117" s="2677">
        <f>132-1-1</f>
        <v>130</v>
      </c>
      <c r="H117" s="2677">
        <f>1096-50-3</f>
        <v>1043</v>
      </c>
      <c r="I117" s="2678">
        <f>1096-1-29</f>
        <v>1066</v>
      </c>
      <c r="J117" s="2677">
        <f>340-6</f>
        <v>334</v>
      </c>
      <c r="K117" s="2677">
        <f>280-3-4</f>
        <v>273</v>
      </c>
      <c r="L117" s="2677">
        <f>16631-1750-2-42</f>
        <v>14837</v>
      </c>
      <c r="M117" s="2521">
        <f t="shared" si="65"/>
        <v>18762</v>
      </c>
      <c r="N117" s="2456">
        <v>2089</v>
      </c>
      <c r="O117" s="2682">
        <v>2338</v>
      </c>
      <c r="P117" s="2456">
        <v>2017</v>
      </c>
      <c r="Q117" s="2456">
        <v>2034</v>
      </c>
      <c r="R117" s="2456">
        <v>2312</v>
      </c>
      <c r="S117" s="2681">
        <v>10940</v>
      </c>
      <c r="T117" s="2661">
        <f t="shared" si="60"/>
        <v>21730</v>
      </c>
      <c r="U117" s="2680">
        <v>349</v>
      </c>
      <c r="V117" s="2521">
        <f t="shared" si="61"/>
        <v>22079</v>
      </c>
      <c r="W117" s="2521">
        <f t="shared" si="62"/>
        <v>40841</v>
      </c>
      <c r="X117" s="2527">
        <f t="shared" si="63"/>
        <v>2.4126637554585217</v>
      </c>
      <c r="Y117" s="2527">
        <f t="shared" si="64"/>
        <v>4.1304403253359157</v>
      </c>
    </row>
    <row r="118" spans="1:25" ht="23.25" customHeight="1">
      <c r="A118" s="2605" t="s">
        <v>1507</v>
      </c>
      <c r="B118" s="2675">
        <v>7</v>
      </c>
      <c r="C118" s="2676">
        <f>150-4-17-2</f>
        <v>127</v>
      </c>
      <c r="D118" s="2676">
        <f>245-1-11</f>
        <v>233</v>
      </c>
      <c r="E118" s="2676">
        <f>836-133-2-4</f>
        <v>697</v>
      </c>
      <c r="F118" s="2677">
        <f>190-1-1</f>
        <v>188</v>
      </c>
      <c r="G118" s="2677">
        <f>131-1-1</f>
        <v>129</v>
      </c>
      <c r="H118" s="2677">
        <f>1097-50-3</f>
        <v>1044</v>
      </c>
      <c r="I118" s="2678">
        <f>1094-1-29</f>
        <v>1064</v>
      </c>
      <c r="J118" s="2677">
        <f>339-5</f>
        <v>334</v>
      </c>
      <c r="K118" s="2677">
        <f>279-3-3</f>
        <v>273</v>
      </c>
      <c r="L118" s="2677">
        <f>16609-1747-2-36</f>
        <v>14824</v>
      </c>
      <c r="M118" s="2521">
        <f t="shared" si="65"/>
        <v>18920</v>
      </c>
      <c r="N118" s="2683">
        <v>2157</v>
      </c>
      <c r="O118" s="2684">
        <v>2353</v>
      </c>
      <c r="P118" s="2683">
        <v>2033</v>
      </c>
      <c r="Q118" s="2456">
        <v>2034</v>
      </c>
      <c r="R118" s="2683">
        <v>2310</v>
      </c>
      <c r="S118" s="2685">
        <v>11059</v>
      </c>
      <c r="T118" s="2661">
        <f t="shared" si="60"/>
        <v>21946</v>
      </c>
      <c r="U118" s="2680">
        <v>350</v>
      </c>
      <c r="V118" s="2521">
        <f t="shared" si="61"/>
        <v>22296</v>
      </c>
      <c r="W118" s="2521">
        <f t="shared" si="62"/>
        <v>41216</v>
      </c>
      <c r="X118" s="2527">
        <f t="shared" si="63"/>
        <v>3.3315128345166478</v>
      </c>
      <c r="Y118" s="2527">
        <f t="shared" si="64"/>
        <v>4.9126915440614871</v>
      </c>
    </row>
    <row r="119" spans="1:25" ht="23.25" customHeight="1">
      <c r="A119" s="2605" t="s">
        <v>1508</v>
      </c>
      <c r="B119" s="2675">
        <v>7</v>
      </c>
      <c r="C119" s="2676">
        <f>151-4-17-3</f>
        <v>127</v>
      </c>
      <c r="D119" s="2676">
        <f>247-1-11</f>
        <v>235</v>
      </c>
      <c r="E119" s="2676">
        <f>661-137-3-4</f>
        <v>517</v>
      </c>
      <c r="F119" s="2677">
        <f>190-1-1</f>
        <v>188</v>
      </c>
      <c r="G119" s="2677">
        <f>133-1-1</f>
        <v>131</v>
      </c>
      <c r="H119" s="2677">
        <f>1106-50-3</f>
        <v>1053</v>
      </c>
      <c r="I119" s="2678">
        <f>1130-1-29</f>
        <v>1100</v>
      </c>
      <c r="J119" s="2677">
        <f>341-5</f>
        <v>336</v>
      </c>
      <c r="K119" s="2677">
        <f>286-3-3</f>
        <v>280</v>
      </c>
      <c r="L119" s="2677">
        <f>16864-1746-2-36</f>
        <v>15080</v>
      </c>
      <c r="M119" s="2521">
        <f t="shared" si="65"/>
        <v>19054</v>
      </c>
      <c r="N119" s="2683">
        <v>2149</v>
      </c>
      <c r="O119" s="2684">
        <v>2353</v>
      </c>
      <c r="P119" s="2683">
        <v>2033</v>
      </c>
      <c r="Q119" s="2456">
        <v>2034</v>
      </c>
      <c r="R119" s="2683">
        <v>2307</v>
      </c>
      <c r="S119" s="2685">
        <v>11060</v>
      </c>
      <c r="T119" s="2661">
        <f t="shared" si="60"/>
        <v>21936</v>
      </c>
      <c r="U119" s="2686">
        <v>348</v>
      </c>
      <c r="V119" s="2521">
        <f t="shared" si="61"/>
        <v>22284</v>
      </c>
      <c r="W119" s="2521">
        <f t="shared" si="62"/>
        <v>41338</v>
      </c>
      <c r="X119" s="2527">
        <f t="shared" si="63"/>
        <v>4.0747214332532256</v>
      </c>
      <c r="Y119" s="2527">
        <f t="shared" si="64"/>
        <v>4.7459774483719741</v>
      </c>
    </row>
    <row r="120" spans="1:25" ht="23.25" customHeight="1">
      <c r="A120" s="2605" t="s">
        <v>1509</v>
      </c>
      <c r="B120" s="2675">
        <v>7</v>
      </c>
      <c r="C120" s="2676">
        <f>151-4-17-3</f>
        <v>127</v>
      </c>
      <c r="D120" s="2676">
        <f>246-1-11</f>
        <v>234</v>
      </c>
      <c r="E120" s="2676">
        <f>659-136-3-4</f>
        <v>516</v>
      </c>
      <c r="F120" s="2677">
        <f>191-1-1</f>
        <v>189</v>
      </c>
      <c r="G120" s="2677">
        <f>131-1-1</f>
        <v>129</v>
      </c>
      <c r="H120" s="2677">
        <f>1108-50-5</f>
        <v>1053</v>
      </c>
      <c r="I120" s="2678">
        <f>1129-1-29</f>
        <v>1099</v>
      </c>
      <c r="J120" s="2677">
        <f>342-6</f>
        <v>336</v>
      </c>
      <c r="K120" s="2677">
        <f>285-3-3</f>
        <v>279</v>
      </c>
      <c r="L120" s="2677">
        <f>16840-1741-2-36</f>
        <v>15061</v>
      </c>
      <c r="M120" s="2521">
        <f t="shared" si="65"/>
        <v>19030</v>
      </c>
      <c r="N120" s="2683">
        <v>2149</v>
      </c>
      <c r="O120" s="2684">
        <v>2353</v>
      </c>
      <c r="P120" s="2683">
        <v>2033</v>
      </c>
      <c r="Q120" s="2456">
        <v>2062</v>
      </c>
      <c r="R120" s="2683">
        <v>2307</v>
      </c>
      <c r="S120" s="2685">
        <v>11086</v>
      </c>
      <c r="T120" s="2661">
        <f t="shared" si="60"/>
        <v>21990</v>
      </c>
      <c r="U120" s="2686">
        <v>340</v>
      </c>
      <c r="V120" s="2521">
        <f t="shared" si="61"/>
        <v>22330</v>
      </c>
      <c r="W120" s="2521">
        <f t="shared" si="62"/>
        <v>41360</v>
      </c>
      <c r="X120" s="2527">
        <f t="shared" si="63"/>
        <v>3.9493090074834702</v>
      </c>
      <c r="Y120" s="2527">
        <f t="shared" si="64"/>
        <v>4.6002883083381851</v>
      </c>
    </row>
    <row r="121" spans="1:25" ht="23.25" customHeight="1">
      <c r="A121" s="2605" t="s">
        <v>1510</v>
      </c>
      <c r="B121" s="2675">
        <v>7</v>
      </c>
      <c r="C121" s="2676">
        <f>151-4-17-3</f>
        <v>127</v>
      </c>
      <c r="D121" s="2676">
        <f>249-1-13</f>
        <v>235</v>
      </c>
      <c r="E121" s="2676">
        <f>661-135-3-4</f>
        <v>519</v>
      </c>
      <c r="F121" s="2677">
        <f>198-1-1</f>
        <v>196</v>
      </c>
      <c r="G121" s="2677">
        <f>132-1-1</f>
        <v>130</v>
      </c>
      <c r="H121" s="2677">
        <f>1125-50-6</f>
        <v>1069</v>
      </c>
      <c r="I121" s="2678">
        <f>1111-1-29</f>
        <v>1081</v>
      </c>
      <c r="J121" s="2677">
        <f>340-7</f>
        <v>333</v>
      </c>
      <c r="K121" s="2677">
        <f>286-4-3</f>
        <v>279</v>
      </c>
      <c r="L121" s="2677">
        <f>16555-1727-2-36</f>
        <v>14790</v>
      </c>
      <c r="M121" s="2521">
        <f>SUM(B121:L121)</f>
        <v>18766</v>
      </c>
      <c r="N121" s="2683">
        <v>2140</v>
      </c>
      <c r="O121" s="2684">
        <v>2335</v>
      </c>
      <c r="P121" s="2683">
        <v>2035</v>
      </c>
      <c r="Q121" s="2683">
        <v>2065</v>
      </c>
      <c r="R121" s="2456">
        <v>2307</v>
      </c>
      <c r="S121" s="2685">
        <v>11089</v>
      </c>
      <c r="T121" s="2661">
        <f t="shared" si="60"/>
        <v>21971</v>
      </c>
      <c r="U121" s="2686">
        <v>341</v>
      </c>
      <c r="V121" s="2521">
        <f t="shared" si="61"/>
        <v>22312</v>
      </c>
      <c r="W121" s="2521">
        <f t="shared" si="62"/>
        <v>41078</v>
      </c>
      <c r="X121" s="2527">
        <f t="shared" si="63"/>
        <v>2.8104969046184092</v>
      </c>
      <c r="Y121" s="2527">
        <f t="shared" si="64"/>
        <v>2.6847315268473171</v>
      </c>
    </row>
    <row r="122" spans="1:25" ht="23.25" customHeight="1">
      <c r="A122" s="2605" t="s">
        <v>1511</v>
      </c>
      <c r="B122" s="2567">
        <v>7</v>
      </c>
      <c r="C122" s="2568">
        <v>127</v>
      </c>
      <c r="D122" s="2568">
        <v>235</v>
      </c>
      <c r="E122" s="2568">
        <v>524</v>
      </c>
      <c r="F122" s="2687">
        <v>213</v>
      </c>
      <c r="G122" s="2687">
        <v>130</v>
      </c>
      <c r="H122" s="2687">
        <v>1063</v>
      </c>
      <c r="I122" s="2688">
        <v>1079</v>
      </c>
      <c r="J122" s="2687">
        <v>337</v>
      </c>
      <c r="K122" s="2687">
        <v>280</v>
      </c>
      <c r="L122" s="2687">
        <v>14816</v>
      </c>
      <c r="M122" s="2521">
        <f t="shared" ref="M122:M124" si="66">SUM(B122:L122)</f>
        <v>18811</v>
      </c>
      <c r="N122" s="2683">
        <v>2145</v>
      </c>
      <c r="O122" s="2684">
        <v>2333</v>
      </c>
      <c r="P122" s="2683">
        <v>2032</v>
      </c>
      <c r="Q122" s="2683">
        <v>2061</v>
      </c>
      <c r="R122" s="2456">
        <v>2329</v>
      </c>
      <c r="S122" s="2685">
        <v>11091</v>
      </c>
      <c r="T122" s="2661">
        <f t="shared" si="60"/>
        <v>21991</v>
      </c>
      <c r="U122" s="2686">
        <v>342</v>
      </c>
      <c r="V122" s="2521">
        <f t="shared" si="61"/>
        <v>22333</v>
      </c>
      <c r="W122" s="2521">
        <f t="shared" si="62"/>
        <v>41144</v>
      </c>
      <c r="X122" s="2527">
        <f t="shared" si="63"/>
        <v>2.2003694447462863</v>
      </c>
      <c r="Y122" s="2527">
        <f t="shared" si="64"/>
        <v>2.396655135511816</v>
      </c>
    </row>
    <row r="123" spans="1:25" ht="23.25" customHeight="1">
      <c r="A123" s="2605" t="s">
        <v>1512</v>
      </c>
      <c r="B123" s="2567">
        <v>6</v>
      </c>
      <c r="C123" s="2568">
        <v>127</v>
      </c>
      <c r="D123" s="2568">
        <v>235</v>
      </c>
      <c r="E123" s="2568">
        <v>524</v>
      </c>
      <c r="F123" s="2687">
        <v>196</v>
      </c>
      <c r="G123" s="2687">
        <v>130</v>
      </c>
      <c r="H123" s="2687">
        <v>1065</v>
      </c>
      <c r="I123" s="2688">
        <v>1077</v>
      </c>
      <c r="J123" s="2687">
        <v>334</v>
      </c>
      <c r="K123" s="2687">
        <v>277</v>
      </c>
      <c r="L123" s="2687">
        <v>14826</v>
      </c>
      <c r="M123" s="2521">
        <f t="shared" si="66"/>
        <v>18797</v>
      </c>
      <c r="N123" s="2683">
        <v>2157</v>
      </c>
      <c r="O123" s="2684">
        <v>2332</v>
      </c>
      <c r="P123" s="2689">
        <v>2028.5</v>
      </c>
      <c r="Q123" s="2690">
        <v>2057.75</v>
      </c>
      <c r="R123" s="2691">
        <v>2327</v>
      </c>
      <c r="S123" s="2692">
        <v>11098</v>
      </c>
      <c r="T123" s="2661">
        <f t="shared" si="60"/>
        <v>22000.25</v>
      </c>
      <c r="U123" s="2693">
        <v>369.5</v>
      </c>
      <c r="V123" s="2521">
        <f t="shared" si="61"/>
        <v>22369.75</v>
      </c>
      <c r="W123" s="2521">
        <f t="shared" si="62"/>
        <v>41166.75</v>
      </c>
      <c r="X123" s="2527">
        <f t="shared" si="63"/>
        <v>1.1407048695184274</v>
      </c>
      <c r="Y123" s="2527">
        <f t="shared" si="64"/>
        <v>2.0014123243886184</v>
      </c>
    </row>
    <row r="124" spans="1:25" ht="23.25" customHeight="1">
      <c r="A124" s="2605" t="s">
        <v>1513</v>
      </c>
      <c r="B124" s="2567">
        <v>4</v>
      </c>
      <c r="C124" s="2568">
        <v>127</v>
      </c>
      <c r="D124" s="2568">
        <v>235</v>
      </c>
      <c r="E124" s="2568">
        <v>1144</v>
      </c>
      <c r="F124" s="2687">
        <v>196</v>
      </c>
      <c r="G124" s="2687">
        <v>130</v>
      </c>
      <c r="H124" s="2687">
        <v>1066</v>
      </c>
      <c r="I124" s="2688">
        <v>1077</v>
      </c>
      <c r="J124" s="2687">
        <v>334</v>
      </c>
      <c r="K124" s="2687">
        <v>277</v>
      </c>
      <c r="L124" s="2687">
        <v>15010</v>
      </c>
      <c r="M124" s="2521">
        <f t="shared" si="66"/>
        <v>19600</v>
      </c>
      <c r="N124" s="2683">
        <v>2163</v>
      </c>
      <c r="O124" s="2684">
        <v>2394</v>
      </c>
      <c r="P124" s="2683">
        <v>2137</v>
      </c>
      <c r="Q124" s="2456">
        <v>2180</v>
      </c>
      <c r="R124" s="2683">
        <v>2368</v>
      </c>
      <c r="S124" s="2692">
        <v>11220</v>
      </c>
      <c r="T124" s="2694">
        <f t="shared" si="60"/>
        <v>22462</v>
      </c>
      <c r="U124" s="2693">
        <v>369.5</v>
      </c>
      <c r="V124" s="2521">
        <f t="shared" ref="V124" si="67">SUM(T124:U124)</f>
        <v>22831.5</v>
      </c>
      <c r="W124" s="2521">
        <f t="shared" ref="W124:W162" si="68">SUM(M124:U124)-T124</f>
        <v>42431.5</v>
      </c>
      <c r="X124" s="2527">
        <f t="shared" si="63"/>
        <v>3.9291584919667111</v>
      </c>
      <c r="Y124" s="2527">
        <f t="shared" si="64"/>
        <v>3.8130306070021769</v>
      </c>
    </row>
    <row r="125" spans="1:25" ht="23.25" customHeight="1">
      <c r="A125" s="2600" t="s">
        <v>1514</v>
      </c>
      <c r="B125" s="2695">
        <v>6</v>
      </c>
      <c r="C125" s="2521">
        <f>183-3-15-3</f>
        <v>162</v>
      </c>
      <c r="D125" s="2521">
        <f>238-1-13</f>
        <v>224</v>
      </c>
      <c r="E125" s="2521">
        <f>1050-130-2-7</f>
        <v>911</v>
      </c>
      <c r="F125" s="2696">
        <f>152</f>
        <v>152</v>
      </c>
      <c r="G125" s="2696">
        <f>76-1-1</f>
        <v>74</v>
      </c>
      <c r="H125" s="2696">
        <f>809-1-41-5</f>
        <v>762</v>
      </c>
      <c r="I125" s="2697">
        <f>1088-1-29</f>
        <v>1058</v>
      </c>
      <c r="J125" s="2696">
        <f>323-6</f>
        <v>317</v>
      </c>
      <c r="K125" s="2696">
        <f>241-3-5</f>
        <v>233</v>
      </c>
      <c r="L125" s="2696">
        <f>16209-1778-8-57</f>
        <v>14366</v>
      </c>
      <c r="M125" s="2521">
        <f t="shared" ref="M125" si="69">SUM(B125:L125)</f>
        <v>18265</v>
      </c>
      <c r="N125" s="2255">
        <v>2180</v>
      </c>
      <c r="O125" s="2255">
        <v>1736</v>
      </c>
      <c r="P125" s="2255">
        <v>1961</v>
      </c>
      <c r="Q125" s="2255">
        <v>1955</v>
      </c>
      <c r="R125" s="2255">
        <v>2167</v>
      </c>
      <c r="S125" s="2255">
        <v>10485</v>
      </c>
      <c r="T125" s="2255">
        <f t="shared" ref="T125:T156" si="70">SUM(N125:S125)</f>
        <v>20484</v>
      </c>
      <c r="U125" s="2698">
        <v>366</v>
      </c>
      <c r="V125" s="2521">
        <f t="shared" ref="V125:V148" si="71">SUM(T125:U125)</f>
        <v>20850</v>
      </c>
      <c r="W125" s="2521">
        <f t="shared" si="68"/>
        <v>39115</v>
      </c>
      <c r="X125" s="2527">
        <f t="shared" si="63"/>
        <v>2.6989035704245046</v>
      </c>
      <c r="Y125" s="2527">
        <f t="shared" si="64"/>
        <v>5.0363189623920945</v>
      </c>
    </row>
    <row r="126" spans="1:25" ht="23.25" customHeight="1">
      <c r="A126" s="2600" t="s">
        <v>1515</v>
      </c>
      <c r="B126" s="2675">
        <v>6</v>
      </c>
      <c r="C126" s="2521">
        <f>192-3-15-3</f>
        <v>171</v>
      </c>
      <c r="D126" s="2521">
        <f>255-1-13</f>
        <v>241</v>
      </c>
      <c r="E126" s="2521">
        <f>920-130-2-6</f>
        <v>782</v>
      </c>
      <c r="F126" s="2677">
        <v>157</v>
      </c>
      <c r="G126" s="2696">
        <f>81-1-1</f>
        <v>79</v>
      </c>
      <c r="H126" s="2696">
        <f>822-1-41-5</f>
        <v>775</v>
      </c>
      <c r="I126" s="2697">
        <f>1092-1-29</f>
        <v>1062</v>
      </c>
      <c r="J126" s="2696">
        <f>333-6</f>
        <v>327</v>
      </c>
      <c r="K126" s="2696">
        <f>254-3-5</f>
        <v>246</v>
      </c>
      <c r="L126" s="2696">
        <f>16232-1761-7-58</f>
        <v>14406</v>
      </c>
      <c r="M126" s="2521">
        <f t="shared" ref="M126:M130" si="72">SUM(B126:L126)</f>
        <v>18252</v>
      </c>
      <c r="N126" s="2679">
        <v>2179</v>
      </c>
      <c r="O126" s="2679">
        <v>1736</v>
      </c>
      <c r="P126" s="2679">
        <v>1954</v>
      </c>
      <c r="Q126" s="2679">
        <v>1951</v>
      </c>
      <c r="R126" s="2679">
        <v>2165</v>
      </c>
      <c r="S126" s="2661">
        <v>10472</v>
      </c>
      <c r="T126" s="2255">
        <f t="shared" si="70"/>
        <v>20457</v>
      </c>
      <c r="U126" s="2699">
        <v>364</v>
      </c>
      <c r="V126" s="2521">
        <f t="shared" si="71"/>
        <v>20821</v>
      </c>
      <c r="W126" s="2521">
        <f t="shared" si="68"/>
        <v>39073</v>
      </c>
      <c r="X126" s="2527">
        <f t="shared" si="63"/>
        <v>1.5071464323452632</v>
      </c>
      <c r="Y126" s="2527">
        <f t="shared" si="64"/>
        <v>3.3308210030809082</v>
      </c>
    </row>
    <row r="127" spans="1:25" ht="23.25" customHeight="1">
      <c r="A127" s="2600" t="s">
        <v>1516</v>
      </c>
      <c r="B127" s="2675">
        <v>6</v>
      </c>
      <c r="C127" s="2676">
        <f>203-3-16-3</f>
        <v>181</v>
      </c>
      <c r="D127" s="2676">
        <f>252-1-13</f>
        <v>238</v>
      </c>
      <c r="E127" s="2676">
        <f>792-131-2</f>
        <v>659</v>
      </c>
      <c r="F127" s="2677">
        <f>158</f>
        <v>158</v>
      </c>
      <c r="G127" s="2677">
        <f>81-1-1</f>
        <v>79</v>
      </c>
      <c r="H127" s="2677">
        <f>816-1-5-41</f>
        <v>769</v>
      </c>
      <c r="I127" s="2678">
        <f>1085-1-29</f>
        <v>1055</v>
      </c>
      <c r="J127" s="2677">
        <f>335-6</f>
        <v>329</v>
      </c>
      <c r="K127" s="2677">
        <f>253-2-5</f>
        <v>246</v>
      </c>
      <c r="L127" s="2677">
        <f>16062-1762-5-58</f>
        <v>14237</v>
      </c>
      <c r="M127" s="2521">
        <f t="shared" si="72"/>
        <v>17957</v>
      </c>
      <c r="N127" s="2679">
        <v>2179</v>
      </c>
      <c r="O127" s="2679">
        <v>1736</v>
      </c>
      <c r="P127" s="2679">
        <v>1955</v>
      </c>
      <c r="Q127" s="2679">
        <v>1948</v>
      </c>
      <c r="R127" s="2679">
        <v>2207</v>
      </c>
      <c r="S127" s="2661">
        <v>10452</v>
      </c>
      <c r="T127" s="2255">
        <f t="shared" si="70"/>
        <v>20477</v>
      </c>
      <c r="U127" s="2699">
        <v>363</v>
      </c>
      <c r="V127" s="2521">
        <f t="shared" si="71"/>
        <v>20840</v>
      </c>
      <c r="W127" s="2521">
        <f t="shared" si="68"/>
        <v>38797</v>
      </c>
      <c r="X127" s="2527">
        <f t="shared" si="63"/>
        <v>1.4806442497880656</v>
      </c>
      <c r="Y127" s="2527">
        <f t="shared" si="64"/>
        <v>3.6341538338252821</v>
      </c>
    </row>
    <row r="128" spans="1:25" ht="23.25" customHeight="1">
      <c r="A128" s="2600" t="s">
        <v>1517</v>
      </c>
      <c r="B128" s="2675">
        <v>6</v>
      </c>
      <c r="C128" s="2676">
        <f>206-3-17-3</f>
        <v>183</v>
      </c>
      <c r="D128" s="2676">
        <f>255-1-13</f>
        <v>241</v>
      </c>
      <c r="E128" s="2676">
        <f>631-122-2</f>
        <v>507</v>
      </c>
      <c r="F128" s="2677">
        <f>158</f>
        <v>158</v>
      </c>
      <c r="G128" s="2677">
        <f>120-1-1</f>
        <v>118</v>
      </c>
      <c r="H128" s="2677">
        <f>947-1-5-50</f>
        <v>891</v>
      </c>
      <c r="I128" s="2678">
        <f>1089-1-29</f>
        <v>1059</v>
      </c>
      <c r="J128" s="2677">
        <f>331-6</f>
        <v>325</v>
      </c>
      <c r="K128" s="2677">
        <f>250-2-5</f>
        <v>243</v>
      </c>
      <c r="L128" s="2677">
        <f>16221-1757-5-58</f>
        <v>14401</v>
      </c>
      <c r="M128" s="2521">
        <f t="shared" si="72"/>
        <v>18132</v>
      </c>
      <c r="N128" s="2700">
        <v>2178</v>
      </c>
      <c r="O128" s="2679">
        <v>1736</v>
      </c>
      <c r="P128" s="2700">
        <v>2020</v>
      </c>
      <c r="Q128" s="2700">
        <v>1939</v>
      </c>
      <c r="R128" s="2700">
        <v>2204</v>
      </c>
      <c r="S128" s="2680">
        <v>10450</v>
      </c>
      <c r="T128" s="2255">
        <f t="shared" si="70"/>
        <v>20527</v>
      </c>
      <c r="U128" s="2699">
        <v>363</v>
      </c>
      <c r="V128" s="2521">
        <f t="shared" si="71"/>
        <v>20890</v>
      </c>
      <c r="W128" s="2521">
        <f t="shared" si="68"/>
        <v>39022</v>
      </c>
      <c r="X128" s="2527">
        <f t="shared" si="63"/>
        <v>2.319282207550355</v>
      </c>
      <c r="Y128" s="2527">
        <f t="shared" si="64"/>
        <v>4.1906414792070024</v>
      </c>
    </row>
    <row r="129" spans="1:25" ht="23.25" customHeight="1">
      <c r="A129" s="2600" t="s">
        <v>1518</v>
      </c>
      <c r="B129" s="2675">
        <v>7</v>
      </c>
      <c r="C129" s="2676">
        <f>206-4-17-3</f>
        <v>182</v>
      </c>
      <c r="D129" s="2676">
        <f>258-1-13</f>
        <v>244</v>
      </c>
      <c r="E129" s="2676">
        <f>835-120-2-6</f>
        <v>707</v>
      </c>
      <c r="F129" s="2677">
        <f>159</f>
        <v>159</v>
      </c>
      <c r="G129" s="2677">
        <f>121-1-1</f>
        <v>119</v>
      </c>
      <c r="H129" s="2677">
        <f>944-1-5-49</f>
        <v>889</v>
      </c>
      <c r="I129" s="2678">
        <f>1091-1-29</f>
        <v>1061</v>
      </c>
      <c r="J129" s="2677">
        <f>330-6</f>
        <v>324</v>
      </c>
      <c r="K129" s="2677">
        <f>249-2-4</f>
        <v>243</v>
      </c>
      <c r="L129" s="2677">
        <f>16206-1758-5-58</f>
        <v>14385</v>
      </c>
      <c r="M129" s="2521">
        <f t="shared" si="72"/>
        <v>18320</v>
      </c>
      <c r="N129" s="2700">
        <v>2176</v>
      </c>
      <c r="O129" s="2700">
        <v>1736</v>
      </c>
      <c r="P129" s="2700">
        <v>2024</v>
      </c>
      <c r="Q129" s="2700">
        <v>1936</v>
      </c>
      <c r="R129" s="2700">
        <v>2200</v>
      </c>
      <c r="S129" s="2680">
        <v>10467</v>
      </c>
      <c r="T129" s="2255">
        <f t="shared" si="70"/>
        <v>20539</v>
      </c>
      <c r="U129" s="2699">
        <v>362</v>
      </c>
      <c r="V129" s="2521">
        <f t="shared" si="71"/>
        <v>20901</v>
      </c>
      <c r="W129" s="2521">
        <f t="shared" si="68"/>
        <v>39221</v>
      </c>
      <c r="X129" s="2527">
        <f t="shared" si="63"/>
        <v>3.3976746811152481</v>
      </c>
      <c r="Y129" s="2527">
        <f t="shared" si="64"/>
        <v>4.6549170813710017</v>
      </c>
    </row>
    <row r="130" spans="1:25" ht="23.25" customHeight="1">
      <c r="A130" s="2600" t="s">
        <v>1519</v>
      </c>
      <c r="B130" s="2675">
        <v>7</v>
      </c>
      <c r="C130" s="2676">
        <f>206-4-18-3</f>
        <v>181</v>
      </c>
      <c r="D130" s="2676">
        <f>260-13</f>
        <v>247</v>
      </c>
      <c r="E130" s="2676">
        <f>655-127-2-6</f>
        <v>520</v>
      </c>
      <c r="F130" s="2677">
        <f>160</f>
        <v>160</v>
      </c>
      <c r="G130" s="2677">
        <f>120-1-1</f>
        <v>118</v>
      </c>
      <c r="H130" s="2677">
        <f>957-1-5-50</f>
        <v>901</v>
      </c>
      <c r="I130" s="2678">
        <f>1115-1-29</f>
        <v>1085</v>
      </c>
      <c r="J130" s="2677">
        <f>328-5</f>
        <v>323</v>
      </c>
      <c r="K130" s="2677">
        <f>252-2-4</f>
        <v>246</v>
      </c>
      <c r="L130" s="2677">
        <f>16327-1750-5-50</f>
        <v>14522</v>
      </c>
      <c r="M130" s="2521">
        <f t="shared" si="72"/>
        <v>18310</v>
      </c>
      <c r="N130" s="2700">
        <v>2234</v>
      </c>
      <c r="O130" s="2700">
        <v>1736</v>
      </c>
      <c r="P130" s="2700">
        <v>2022</v>
      </c>
      <c r="Q130" s="2700">
        <v>1964</v>
      </c>
      <c r="R130" s="2700">
        <v>2199</v>
      </c>
      <c r="S130" s="2680">
        <v>10460</v>
      </c>
      <c r="T130" s="2255">
        <f t="shared" si="70"/>
        <v>20615</v>
      </c>
      <c r="U130" s="2701">
        <v>361</v>
      </c>
      <c r="V130" s="2521">
        <f t="shared" si="71"/>
        <v>20976</v>
      </c>
      <c r="W130" s="2521">
        <f t="shared" si="68"/>
        <v>39286</v>
      </c>
      <c r="X130" s="2527">
        <f t="shared" si="63"/>
        <v>2.0738097892741614</v>
      </c>
      <c r="Y130" s="2527">
        <f t="shared" si="64"/>
        <v>4.0454467206059608</v>
      </c>
    </row>
    <row r="131" spans="1:25" ht="23.25" customHeight="1">
      <c r="A131" s="2600" t="s">
        <v>1520</v>
      </c>
      <c r="B131" s="2675">
        <v>7</v>
      </c>
      <c r="C131" s="2676">
        <f>158-4-18-8</f>
        <v>128</v>
      </c>
      <c r="D131" s="2676">
        <f>257-1-13</f>
        <v>243</v>
      </c>
      <c r="E131" s="2676">
        <f>654-127-2-6</f>
        <v>519</v>
      </c>
      <c r="F131" s="2677">
        <f>163-1</f>
        <v>162</v>
      </c>
      <c r="G131" s="2677">
        <f>123-1-1</f>
        <v>121</v>
      </c>
      <c r="H131" s="2677">
        <f>1000-49-4</f>
        <v>947</v>
      </c>
      <c r="I131" s="2678">
        <f>1115-1-29</f>
        <v>1085</v>
      </c>
      <c r="J131" s="2677">
        <f>305</f>
        <v>305</v>
      </c>
      <c r="K131" s="2677">
        <f>273-2-3</f>
        <v>268</v>
      </c>
      <c r="L131" s="2677">
        <f>16331-1753-5-50</f>
        <v>14523</v>
      </c>
      <c r="M131" s="2521">
        <f t="shared" ref="M131:M148" si="73">SUM(B131:L131)</f>
        <v>18308</v>
      </c>
      <c r="N131" s="2700">
        <v>2206</v>
      </c>
      <c r="O131" s="2700">
        <v>1736</v>
      </c>
      <c r="P131" s="2700">
        <v>2020</v>
      </c>
      <c r="Q131" s="2700">
        <v>1993</v>
      </c>
      <c r="R131" s="2700">
        <v>2200</v>
      </c>
      <c r="S131" s="2680">
        <v>10641</v>
      </c>
      <c r="T131" s="2255">
        <f t="shared" si="70"/>
        <v>20796</v>
      </c>
      <c r="U131" s="2701">
        <v>361</v>
      </c>
      <c r="V131" s="2521">
        <f t="shared" si="71"/>
        <v>21157</v>
      </c>
      <c r="W131" s="2521">
        <f t="shared" si="68"/>
        <v>39465</v>
      </c>
      <c r="X131" s="2527">
        <f t="shared" si="63"/>
        <v>2.1537774801919429</v>
      </c>
      <c r="Y131" s="2527">
        <f t="shared" si="64"/>
        <v>3.6003517660493367</v>
      </c>
    </row>
    <row r="132" spans="1:25" ht="23.25" customHeight="1">
      <c r="A132" s="2600" t="s">
        <v>1521</v>
      </c>
      <c r="B132" s="2675">
        <v>7</v>
      </c>
      <c r="C132" s="2676">
        <f>155-4-17-7</f>
        <v>127</v>
      </c>
      <c r="D132" s="2676">
        <f>257-1-13</f>
        <v>243</v>
      </c>
      <c r="E132" s="2676">
        <f>655-127-2-6</f>
        <v>520</v>
      </c>
      <c r="F132" s="2677">
        <f>162-1</f>
        <v>161</v>
      </c>
      <c r="G132" s="2677">
        <f>123-1-1</f>
        <v>121</v>
      </c>
      <c r="H132" s="2677">
        <f>1006-49-4</f>
        <v>953</v>
      </c>
      <c r="I132" s="2678">
        <f>1117-1-29</f>
        <v>1087</v>
      </c>
      <c r="J132" s="2677">
        <f>304</f>
        <v>304</v>
      </c>
      <c r="K132" s="2677">
        <f>273-2-3</f>
        <v>268</v>
      </c>
      <c r="L132" s="2677">
        <f>16326-1755-5-50</f>
        <v>14516</v>
      </c>
      <c r="M132" s="2521">
        <f t="shared" si="73"/>
        <v>18307</v>
      </c>
      <c r="N132" s="2700">
        <v>2206</v>
      </c>
      <c r="O132" s="2700">
        <v>1736</v>
      </c>
      <c r="P132" s="2700">
        <v>2023</v>
      </c>
      <c r="Q132" s="2700">
        <v>1994</v>
      </c>
      <c r="R132" s="2700">
        <v>2199</v>
      </c>
      <c r="S132" s="2680">
        <v>10715</v>
      </c>
      <c r="T132" s="2255">
        <f t="shared" si="70"/>
        <v>20873</v>
      </c>
      <c r="U132" s="2680">
        <v>361</v>
      </c>
      <c r="V132" s="2521">
        <f t="shared" si="71"/>
        <v>21234</v>
      </c>
      <c r="W132" s="2521">
        <f t="shared" si="68"/>
        <v>39541</v>
      </c>
      <c r="X132" s="2527">
        <f t="shared" si="63"/>
        <v>2.1026213050753029</v>
      </c>
      <c r="Y132" s="2527">
        <f t="shared" si="64"/>
        <v>4.7457582219632144</v>
      </c>
    </row>
    <row r="133" spans="1:25" ht="23.25" customHeight="1">
      <c r="A133" s="2600" t="s">
        <v>1522</v>
      </c>
      <c r="B133" s="2675">
        <v>7</v>
      </c>
      <c r="C133" s="2676">
        <f>155-4-17-7</f>
        <v>127</v>
      </c>
      <c r="D133" s="2676">
        <f>258-1-13</f>
        <v>244</v>
      </c>
      <c r="E133" s="2676">
        <f>833-127-2-6</f>
        <v>698</v>
      </c>
      <c r="F133" s="2677">
        <f>165-1-1</f>
        <v>163</v>
      </c>
      <c r="G133" s="2677">
        <f>123-1-1</f>
        <v>121</v>
      </c>
      <c r="H133" s="2677">
        <f>1003-49-4</f>
        <v>950</v>
      </c>
      <c r="I133" s="2678">
        <f>1103-1-29</f>
        <v>1073</v>
      </c>
      <c r="J133" s="2677">
        <f>308</f>
        <v>308</v>
      </c>
      <c r="K133" s="2677">
        <f>274-2-3</f>
        <v>269</v>
      </c>
      <c r="L133" s="2677">
        <f>16101-1753-5-50</f>
        <v>14293</v>
      </c>
      <c r="M133" s="2521">
        <f t="shared" si="73"/>
        <v>18253</v>
      </c>
      <c r="N133" s="2679">
        <v>2201</v>
      </c>
      <c r="O133" s="2679">
        <v>2291</v>
      </c>
      <c r="P133" s="2679">
        <v>2022</v>
      </c>
      <c r="Q133" s="2679">
        <v>2003</v>
      </c>
      <c r="R133" s="2679">
        <v>2201</v>
      </c>
      <c r="S133" s="2661">
        <v>10672</v>
      </c>
      <c r="T133" s="2661">
        <f t="shared" si="70"/>
        <v>21390</v>
      </c>
      <c r="U133" s="2680">
        <v>361</v>
      </c>
      <c r="V133" s="2521">
        <f t="shared" si="71"/>
        <v>21751</v>
      </c>
      <c r="W133" s="2521">
        <f t="shared" si="68"/>
        <v>40004</v>
      </c>
      <c r="X133" s="2527">
        <f t="shared" si="63"/>
        <v>2.8048437059983167</v>
      </c>
      <c r="Y133" s="2527">
        <f t="shared" si="64"/>
        <v>6.7513476010033546</v>
      </c>
    </row>
    <row r="134" spans="1:25" ht="23.25" customHeight="1">
      <c r="A134" s="2605" t="s">
        <v>1523</v>
      </c>
      <c r="B134" s="2675">
        <v>6</v>
      </c>
      <c r="C134" s="2676">
        <f>158-4-17-8</f>
        <v>129</v>
      </c>
      <c r="D134" s="2676">
        <f>261-1-13</f>
        <v>247</v>
      </c>
      <c r="E134" s="2676">
        <f>653-127-2-6</f>
        <v>518</v>
      </c>
      <c r="F134" s="2677">
        <f>165-1-1</f>
        <v>163</v>
      </c>
      <c r="G134" s="2677">
        <f>128-1-1</f>
        <v>126</v>
      </c>
      <c r="H134" s="2677">
        <f>1034-49-4</f>
        <v>981</v>
      </c>
      <c r="I134" s="2678">
        <f>1104-30</f>
        <v>1074</v>
      </c>
      <c r="J134" s="2677">
        <f>308</f>
        <v>308</v>
      </c>
      <c r="K134" s="2677">
        <f>275-2-3</f>
        <v>270</v>
      </c>
      <c r="L134" s="2677">
        <f>16388-1750-4-50</f>
        <v>14584</v>
      </c>
      <c r="M134" s="2521">
        <f t="shared" si="73"/>
        <v>18406</v>
      </c>
      <c r="N134" s="2679">
        <v>2198</v>
      </c>
      <c r="O134" s="2679">
        <v>2291</v>
      </c>
      <c r="P134" s="2679">
        <v>2020</v>
      </c>
      <c r="Q134" s="2679">
        <v>1998</v>
      </c>
      <c r="R134" s="2679">
        <v>2200</v>
      </c>
      <c r="S134" s="2661">
        <v>10706</v>
      </c>
      <c r="T134" s="2661">
        <f t="shared" si="70"/>
        <v>21413</v>
      </c>
      <c r="U134" s="2680">
        <v>362</v>
      </c>
      <c r="V134" s="2521">
        <f t="shared" si="71"/>
        <v>21775</v>
      </c>
      <c r="W134" s="2521">
        <f t="shared" si="68"/>
        <v>40181</v>
      </c>
      <c r="X134" s="2527">
        <f t="shared" si="63"/>
        <v>3.7308385933273236</v>
      </c>
      <c r="Y134" s="2527">
        <f t="shared" si="64"/>
        <v>5.243720369836824</v>
      </c>
    </row>
    <row r="135" spans="1:25" ht="23.25" customHeight="1">
      <c r="A135" s="2605" t="s">
        <v>1321</v>
      </c>
      <c r="B135" s="2675">
        <v>6</v>
      </c>
      <c r="C135" s="2676">
        <f>158-4-17-8</f>
        <v>129</v>
      </c>
      <c r="D135" s="2676">
        <f>262-1-13</f>
        <v>248</v>
      </c>
      <c r="E135" s="2676">
        <f>841-127-2-6</f>
        <v>706</v>
      </c>
      <c r="F135" s="2677">
        <f>165-1-1</f>
        <v>163</v>
      </c>
      <c r="G135" s="2677">
        <f>128-1-1</f>
        <v>126</v>
      </c>
      <c r="H135" s="2677">
        <f>1030-49-4</f>
        <v>977</v>
      </c>
      <c r="I135" s="2678">
        <f>1103-30</f>
        <v>1073</v>
      </c>
      <c r="J135" s="2677">
        <f>306</f>
        <v>306</v>
      </c>
      <c r="K135" s="2677">
        <f>274-2-3</f>
        <v>269</v>
      </c>
      <c r="L135" s="2677">
        <f>16386-1750-4-50</f>
        <v>14582</v>
      </c>
      <c r="M135" s="2521">
        <f t="shared" si="73"/>
        <v>18585</v>
      </c>
      <c r="N135" s="2679">
        <v>2194</v>
      </c>
      <c r="O135" s="2679">
        <v>2292</v>
      </c>
      <c r="P135" s="2679">
        <v>2019</v>
      </c>
      <c r="Q135" s="2679">
        <v>1999</v>
      </c>
      <c r="R135" s="2679">
        <v>2200</v>
      </c>
      <c r="S135" s="2661">
        <v>10708</v>
      </c>
      <c r="T135" s="2661">
        <f t="shared" si="70"/>
        <v>21412</v>
      </c>
      <c r="U135" s="2680">
        <v>362</v>
      </c>
      <c r="V135" s="2521">
        <f t="shared" si="71"/>
        <v>21774</v>
      </c>
      <c r="W135" s="2521">
        <f t="shared" si="68"/>
        <v>40359</v>
      </c>
      <c r="X135" s="2527">
        <f t="shared" si="63"/>
        <v>4.7278259889552476</v>
      </c>
      <c r="Y135" s="2527">
        <f t="shared" si="64"/>
        <v>5.6075989114507063</v>
      </c>
    </row>
    <row r="136" spans="1:25" ht="23.25" customHeight="1">
      <c r="A136" s="2605" t="s">
        <v>1324</v>
      </c>
      <c r="B136" s="2675">
        <v>6</v>
      </c>
      <c r="C136" s="2676">
        <f>172-4-17-9</f>
        <v>142</v>
      </c>
      <c r="D136" s="2676">
        <f>250-1-11</f>
        <v>238</v>
      </c>
      <c r="E136" s="2676">
        <f>884-131-2-5</f>
        <v>746</v>
      </c>
      <c r="F136" s="2677">
        <f>169-1-1</f>
        <v>167</v>
      </c>
      <c r="G136" s="2677">
        <f>128-1-1</f>
        <v>126</v>
      </c>
      <c r="H136" s="2677">
        <f>1075-51-4</f>
        <v>1020</v>
      </c>
      <c r="I136" s="2678">
        <f>1102-30</f>
        <v>1072</v>
      </c>
      <c r="J136" s="2677">
        <f>303</f>
        <v>303</v>
      </c>
      <c r="K136" s="2677">
        <f>275-2-3</f>
        <v>270</v>
      </c>
      <c r="L136" s="2677">
        <f>16599-1785-4-41</f>
        <v>14769</v>
      </c>
      <c r="M136" s="2521">
        <f t="shared" si="73"/>
        <v>18859</v>
      </c>
      <c r="N136" s="2679">
        <v>2194</v>
      </c>
      <c r="O136" s="2679">
        <v>2292</v>
      </c>
      <c r="P136" s="2679">
        <v>2025</v>
      </c>
      <c r="Q136" s="2679">
        <v>2034</v>
      </c>
      <c r="R136" s="2679">
        <v>2282</v>
      </c>
      <c r="S136" s="2661">
        <v>10825</v>
      </c>
      <c r="T136" s="2661">
        <f t="shared" si="70"/>
        <v>21652</v>
      </c>
      <c r="U136" s="2680">
        <v>362</v>
      </c>
      <c r="V136" s="2521">
        <f t="shared" si="71"/>
        <v>22014</v>
      </c>
      <c r="W136" s="2521">
        <f t="shared" si="68"/>
        <v>40873</v>
      </c>
      <c r="X136" s="2527">
        <f t="shared" si="63"/>
        <v>4.2336815342950418</v>
      </c>
      <c r="Y136" s="2527">
        <f t="shared" si="64"/>
        <v>5.6259044862517982</v>
      </c>
    </row>
    <row r="137" spans="1:25" ht="23.25" customHeight="1">
      <c r="A137" s="2600" t="s">
        <v>1524</v>
      </c>
      <c r="B137" s="2695">
        <v>7</v>
      </c>
      <c r="C137" s="2521">
        <v>104</v>
      </c>
      <c r="D137" s="2521">
        <v>204</v>
      </c>
      <c r="E137" s="2521">
        <v>635</v>
      </c>
      <c r="F137" s="2696">
        <v>152</v>
      </c>
      <c r="G137" s="2696">
        <v>79</v>
      </c>
      <c r="H137" s="2696">
        <v>779</v>
      </c>
      <c r="I137" s="2697">
        <v>1042</v>
      </c>
      <c r="J137" s="2696">
        <v>222</v>
      </c>
      <c r="K137" s="2696">
        <v>321</v>
      </c>
      <c r="L137" s="2696">
        <v>14240</v>
      </c>
      <c r="M137" s="2521">
        <f t="shared" si="73"/>
        <v>17785</v>
      </c>
      <c r="N137" s="2255">
        <v>2099</v>
      </c>
      <c r="O137" s="2255">
        <v>2168</v>
      </c>
      <c r="P137" s="2255">
        <v>1944</v>
      </c>
      <c r="Q137" s="2255">
        <v>1871</v>
      </c>
      <c r="R137" s="2255">
        <v>2202</v>
      </c>
      <c r="S137" s="2255">
        <v>8834</v>
      </c>
      <c r="T137" s="2255">
        <f t="shared" si="70"/>
        <v>19118</v>
      </c>
      <c r="U137" s="2698">
        <v>336.5</v>
      </c>
      <c r="V137" s="2521">
        <f t="shared" si="71"/>
        <v>19454.5</v>
      </c>
      <c r="W137" s="2521">
        <f t="shared" si="68"/>
        <v>37239.5</v>
      </c>
      <c r="X137" s="2527">
        <f t="shared" si="63"/>
        <v>1.4835948644793095</v>
      </c>
      <c r="Y137" s="2527">
        <f t="shared" si="64"/>
        <v>1.5239705020378747</v>
      </c>
    </row>
    <row r="138" spans="1:25" ht="23.25" customHeight="1">
      <c r="A138" s="2600" t="s">
        <v>1525</v>
      </c>
      <c r="B138" s="2675">
        <v>7</v>
      </c>
      <c r="C138" s="2676">
        <f>128-3-17-4</f>
        <v>104</v>
      </c>
      <c r="D138" s="2676">
        <f>216-1-11</f>
        <v>204</v>
      </c>
      <c r="E138" s="2676">
        <f>946-124-16</f>
        <v>806</v>
      </c>
      <c r="F138" s="2677">
        <f>152-0</f>
        <v>152</v>
      </c>
      <c r="G138" s="2677">
        <f>86-5</f>
        <v>81</v>
      </c>
      <c r="H138" s="2677">
        <f>821-1-36-4</f>
        <v>780</v>
      </c>
      <c r="I138" s="2678">
        <f>1072-1-30</f>
        <v>1041</v>
      </c>
      <c r="J138" s="2677">
        <f>324-5</f>
        <v>319</v>
      </c>
      <c r="K138" s="2677">
        <f>230-3-4</f>
        <v>223</v>
      </c>
      <c r="L138" s="2677">
        <f>16112-1789-1-58</f>
        <v>14264</v>
      </c>
      <c r="M138" s="2676">
        <f t="shared" si="73"/>
        <v>17981</v>
      </c>
      <c r="N138" s="2679">
        <v>2103</v>
      </c>
      <c r="O138" s="2679">
        <v>2165</v>
      </c>
      <c r="P138" s="2679">
        <v>1942</v>
      </c>
      <c r="Q138" s="2679">
        <v>1885</v>
      </c>
      <c r="R138" s="2679">
        <v>2197</v>
      </c>
      <c r="S138" s="2661">
        <v>9197</v>
      </c>
      <c r="T138" s="2679">
        <f t="shared" si="70"/>
        <v>19489</v>
      </c>
      <c r="U138" s="2699">
        <v>343.5</v>
      </c>
      <c r="V138" s="2676">
        <f t="shared" si="71"/>
        <v>19832.5</v>
      </c>
      <c r="W138" s="2676">
        <f t="shared" si="68"/>
        <v>37813.5</v>
      </c>
      <c r="X138" s="2702">
        <f t="shared" si="63"/>
        <v>1.9331065759637278</v>
      </c>
      <c r="Y138" s="2702">
        <f t="shared" si="64"/>
        <v>2.8924776533652663</v>
      </c>
    </row>
    <row r="139" spans="1:25" ht="23.25" customHeight="1">
      <c r="A139" s="2600" t="s">
        <v>1526</v>
      </c>
      <c r="B139" s="2675">
        <v>7</v>
      </c>
      <c r="C139" s="2676">
        <f>130-17-3-4</f>
        <v>106</v>
      </c>
      <c r="D139" s="2676">
        <f>234-30-11-1</f>
        <v>192</v>
      </c>
      <c r="E139" s="2676">
        <f>970-123-15</f>
        <v>832</v>
      </c>
      <c r="F139" s="2677">
        <f>161</f>
        <v>161</v>
      </c>
      <c r="G139" s="2677">
        <f>76-1-1</f>
        <v>74</v>
      </c>
      <c r="H139" s="2677">
        <f>838-35-4-1</f>
        <v>798</v>
      </c>
      <c r="I139" s="2678">
        <f>1059-30-1</f>
        <v>1028</v>
      </c>
      <c r="J139" s="2677">
        <f>325-4-5</f>
        <v>316</v>
      </c>
      <c r="K139" s="2677">
        <f>232-3-3</f>
        <v>226</v>
      </c>
      <c r="L139" s="2677">
        <f>15789-1772-62</f>
        <v>13955</v>
      </c>
      <c r="M139" s="2676">
        <f t="shared" si="73"/>
        <v>17695</v>
      </c>
      <c r="N139" s="2679">
        <v>2117</v>
      </c>
      <c r="O139" s="2679">
        <v>2171</v>
      </c>
      <c r="P139" s="2679">
        <v>1942</v>
      </c>
      <c r="Q139" s="2679">
        <v>1898</v>
      </c>
      <c r="R139" s="2679">
        <v>2197</v>
      </c>
      <c r="S139" s="2661">
        <v>9082</v>
      </c>
      <c r="T139" s="2679">
        <f t="shared" si="70"/>
        <v>19407</v>
      </c>
      <c r="U139" s="2661">
        <v>334.5</v>
      </c>
      <c r="V139" s="2676">
        <f t="shared" si="71"/>
        <v>19741.5</v>
      </c>
      <c r="W139" s="2676">
        <f t="shared" si="68"/>
        <v>37436.5</v>
      </c>
      <c r="X139" s="2702">
        <f t="shared" si="63"/>
        <v>1.7304817753248214</v>
      </c>
      <c r="Y139" s="2702">
        <f t="shared" si="64"/>
        <v>3.180596706401162</v>
      </c>
    </row>
    <row r="140" spans="1:25" ht="23.25" customHeight="1">
      <c r="A140" s="2600" t="s">
        <v>1527</v>
      </c>
      <c r="B140" s="2675">
        <v>7</v>
      </c>
      <c r="C140" s="2676">
        <f>130-17-3-4</f>
        <v>106</v>
      </c>
      <c r="D140" s="2676">
        <f>239-1-11</f>
        <v>227</v>
      </c>
      <c r="E140" s="2676">
        <f>756-122-2-13</f>
        <v>619</v>
      </c>
      <c r="F140" s="2677">
        <f>156</f>
        <v>156</v>
      </c>
      <c r="G140" s="2677">
        <f>76-1-1</f>
        <v>74</v>
      </c>
      <c r="H140" s="2677">
        <f>840-1-35-5</f>
        <v>799</v>
      </c>
      <c r="I140" s="2678">
        <f>1065-1-30</f>
        <v>1034</v>
      </c>
      <c r="J140" s="2677">
        <f>325-5</f>
        <v>320</v>
      </c>
      <c r="K140" s="2677">
        <f>232-3-3</f>
        <v>226</v>
      </c>
      <c r="L140" s="2677">
        <f>15978-1763-1-61</f>
        <v>14153</v>
      </c>
      <c r="M140" s="2700">
        <f t="shared" si="73"/>
        <v>17721</v>
      </c>
      <c r="N140" s="2700">
        <v>2117</v>
      </c>
      <c r="O140" s="2700">
        <v>2173</v>
      </c>
      <c r="P140" s="2700">
        <v>1942</v>
      </c>
      <c r="Q140" s="2700">
        <v>1901</v>
      </c>
      <c r="R140" s="2700">
        <v>2167</v>
      </c>
      <c r="S140" s="2680">
        <v>9097</v>
      </c>
      <c r="T140" s="2700">
        <f t="shared" si="70"/>
        <v>19397</v>
      </c>
      <c r="U140" s="2680">
        <v>334.5</v>
      </c>
      <c r="V140" s="2700">
        <f t="shared" si="71"/>
        <v>19731.5</v>
      </c>
      <c r="W140" s="2700">
        <f t="shared" si="68"/>
        <v>37452.5</v>
      </c>
      <c r="X140" s="2702">
        <f t="shared" si="63"/>
        <v>1.9854972375690672</v>
      </c>
      <c r="Y140" s="2702">
        <f t="shared" si="64"/>
        <v>3.3329194774379456</v>
      </c>
    </row>
    <row r="141" spans="1:25" ht="23.25" customHeight="1">
      <c r="A141" s="2600" t="s">
        <v>1528</v>
      </c>
      <c r="B141" s="2675">
        <v>7</v>
      </c>
      <c r="C141" s="2676">
        <f>130-3-4-17</f>
        <v>106</v>
      </c>
      <c r="D141" s="2676">
        <f>232-11-0</f>
        <v>221</v>
      </c>
      <c r="E141" s="2676">
        <f>756-15-122</f>
        <v>619</v>
      </c>
      <c r="F141" s="2677">
        <f>158</f>
        <v>158</v>
      </c>
      <c r="G141" s="2677">
        <f>76-1-1</f>
        <v>74</v>
      </c>
      <c r="H141" s="2677">
        <f>843-5-35-1</f>
        <v>802</v>
      </c>
      <c r="I141" s="2678">
        <f>1066-30-1</f>
        <v>1035</v>
      </c>
      <c r="J141" s="2677">
        <f>325-5</f>
        <v>320</v>
      </c>
      <c r="K141" s="2677">
        <f>233-3-3</f>
        <v>227</v>
      </c>
      <c r="L141" s="2677">
        <f>15974-61-1-1763</f>
        <v>14149</v>
      </c>
      <c r="M141" s="2700">
        <f t="shared" si="73"/>
        <v>17718</v>
      </c>
      <c r="N141" s="2700">
        <v>2117</v>
      </c>
      <c r="O141" s="2700">
        <v>2199</v>
      </c>
      <c r="P141" s="2700">
        <v>1942</v>
      </c>
      <c r="Q141" s="2700">
        <v>1893</v>
      </c>
      <c r="R141" s="2700">
        <v>2167</v>
      </c>
      <c r="S141" s="2680">
        <v>9097</v>
      </c>
      <c r="T141" s="2680">
        <f t="shared" si="70"/>
        <v>19415</v>
      </c>
      <c r="U141" s="2680">
        <v>343.5</v>
      </c>
      <c r="V141" s="2700">
        <f t="shared" si="71"/>
        <v>19758.5</v>
      </c>
      <c r="W141" s="2700">
        <f t="shared" si="68"/>
        <v>37476.5</v>
      </c>
      <c r="X141" s="2702">
        <f t="shared" si="63"/>
        <v>1.4021633377210518</v>
      </c>
      <c r="Y141" s="2702">
        <f t="shared" si="64"/>
        <v>3.3392618328714541</v>
      </c>
    </row>
    <row r="142" spans="1:25" ht="23.25" customHeight="1">
      <c r="A142" s="2600" t="s">
        <v>1529</v>
      </c>
      <c r="B142" s="2675">
        <v>7</v>
      </c>
      <c r="C142" s="2676">
        <f>130-4-3-17</f>
        <v>106</v>
      </c>
      <c r="D142" s="2676">
        <f>236-1-11</f>
        <v>224</v>
      </c>
      <c r="E142" s="2676">
        <f>951-120-2-12</f>
        <v>817</v>
      </c>
      <c r="F142" s="2677">
        <f>159-0</f>
        <v>159</v>
      </c>
      <c r="G142" s="2677">
        <f>76-1-1</f>
        <v>74</v>
      </c>
      <c r="H142" s="2677">
        <f>863-1-35-5</f>
        <v>822</v>
      </c>
      <c r="I142" s="2678">
        <f>1062-1-28</f>
        <v>1033</v>
      </c>
      <c r="J142" s="2677">
        <f>327-5</f>
        <v>322</v>
      </c>
      <c r="K142" s="2677">
        <f>232-3-3</f>
        <v>226</v>
      </c>
      <c r="L142" s="2677">
        <f>15963-1758-1-56</f>
        <v>14148</v>
      </c>
      <c r="M142" s="2700">
        <f t="shared" si="73"/>
        <v>17938</v>
      </c>
      <c r="N142" s="2700">
        <v>2115</v>
      </c>
      <c r="O142" s="2700">
        <v>2207</v>
      </c>
      <c r="P142" s="2700">
        <v>1943</v>
      </c>
      <c r="Q142" s="2700">
        <v>1893</v>
      </c>
      <c r="R142" s="2700">
        <v>2206</v>
      </c>
      <c r="S142" s="2680">
        <v>9123</v>
      </c>
      <c r="T142" s="2680">
        <f t="shared" si="70"/>
        <v>19487</v>
      </c>
      <c r="U142" s="2680">
        <v>333.5</v>
      </c>
      <c r="V142" s="2700">
        <f t="shared" si="71"/>
        <v>19820.5</v>
      </c>
      <c r="W142" s="2700">
        <f t="shared" si="68"/>
        <v>37758.5</v>
      </c>
      <c r="X142" s="2702">
        <f t="shared" si="63"/>
        <v>2.4443175328383804</v>
      </c>
      <c r="Y142" s="2702">
        <f t="shared" si="64"/>
        <v>3.6737551653601708</v>
      </c>
    </row>
    <row r="143" spans="1:25" ht="23.25" customHeight="1">
      <c r="A143" s="2605" t="s">
        <v>1317</v>
      </c>
      <c r="B143" s="2675">
        <v>6</v>
      </c>
      <c r="C143" s="2676">
        <f>129-4-17-3</f>
        <v>105</v>
      </c>
      <c r="D143" s="2676">
        <f>236-11</f>
        <v>225</v>
      </c>
      <c r="E143" s="2676">
        <f>764-120-2-12</f>
        <v>630</v>
      </c>
      <c r="F143" s="2677">
        <v>159</v>
      </c>
      <c r="G143" s="2677">
        <f>76-1-1</f>
        <v>74</v>
      </c>
      <c r="H143" s="2677">
        <f>872-1-36-5</f>
        <v>830</v>
      </c>
      <c r="I143" s="2678">
        <f>1067-1-28</f>
        <v>1038</v>
      </c>
      <c r="J143" s="2677">
        <f>327-5</f>
        <v>322</v>
      </c>
      <c r="K143" s="2677">
        <f>237-3-3</f>
        <v>231</v>
      </c>
      <c r="L143" s="2677">
        <f>16119-1760-56-1</f>
        <v>14302</v>
      </c>
      <c r="M143" s="2700">
        <f t="shared" si="73"/>
        <v>17922</v>
      </c>
      <c r="N143" s="2700">
        <v>2186</v>
      </c>
      <c r="O143" s="2700">
        <v>2138</v>
      </c>
      <c r="P143" s="2700">
        <v>1943</v>
      </c>
      <c r="Q143" s="2700">
        <v>1987</v>
      </c>
      <c r="R143" s="2700">
        <v>2205</v>
      </c>
      <c r="S143" s="2680">
        <v>9376</v>
      </c>
      <c r="T143" s="2680">
        <f t="shared" si="70"/>
        <v>19835</v>
      </c>
      <c r="U143" s="2680">
        <v>336.5</v>
      </c>
      <c r="V143" s="2700">
        <f t="shared" si="71"/>
        <v>20171.5</v>
      </c>
      <c r="W143" s="2700">
        <f t="shared" si="68"/>
        <v>38093.5</v>
      </c>
      <c r="X143" s="2702">
        <f t="shared" si="63"/>
        <v>2.3938753356567366</v>
      </c>
      <c r="Y143" s="2702">
        <f t="shared" si="64"/>
        <v>3.662834206408605</v>
      </c>
    </row>
    <row r="144" spans="1:25" ht="23.25" customHeight="1">
      <c r="A144" s="2605" t="s">
        <v>1318</v>
      </c>
      <c r="B144" s="2675">
        <v>7</v>
      </c>
      <c r="C144" s="2676">
        <f>128-16-3-4</f>
        <v>105</v>
      </c>
      <c r="D144" s="2676">
        <f>235-11-1</f>
        <v>223</v>
      </c>
      <c r="E144" s="2676">
        <f>764-121-2-11</f>
        <v>630</v>
      </c>
      <c r="F144" s="2677">
        <f>158</f>
        <v>158</v>
      </c>
      <c r="G144" s="2677">
        <f>77-1-1</f>
        <v>75</v>
      </c>
      <c r="H144" s="2677">
        <f>873-1-37-5</f>
        <v>830</v>
      </c>
      <c r="I144" s="2678">
        <f>1068-1-28</f>
        <v>1039</v>
      </c>
      <c r="J144" s="2677">
        <f>325-5</f>
        <v>320</v>
      </c>
      <c r="K144" s="2677">
        <f>237-3-3</f>
        <v>231</v>
      </c>
      <c r="L144" s="2677">
        <f>16131-57-1-1761</f>
        <v>14312</v>
      </c>
      <c r="M144" s="2700">
        <f t="shared" si="73"/>
        <v>17930</v>
      </c>
      <c r="N144" s="2700">
        <v>2184</v>
      </c>
      <c r="O144" s="2700">
        <v>1730</v>
      </c>
      <c r="P144" s="2700">
        <v>1971</v>
      </c>
      <c r="Q144" s="2700">
        <v>1986</v>
      </c>
      <c r="R144" s="2700">
        <v>2200</v>
      </c>
      <c r="S144" s="2680">
        <v>9412</v>
      </c>
      <c r="T144" s="2680">
        <f t="shared" si="70"/>
        <v>19483</v>
      </c>
      <c r="U144" s="2680">
        <v>336.5</v>
      </c>
      <c r="V144" s="2700">
        <f t="shared" si="71"/>
        <v>19819.5</v>
      </c>
      <c r="W144" s="2700">
        <f t="shared" si="68"/>
        <v>37749.5</v>
      </c>
      <c r="X144" s="2702">
        <f t="shared" si="63"/>
        <v>2.4981421139884441</v>
      </c>
      <c r="Y144" s="2702">
        <f t="shared" si="64"/>
        <v>3.0914180378234457</v>
      </c>
    </row>
    <row r="145" spans="1:25" ht="23.25" customHeight="1">
      <c r="A145" s="2605" t="s">
        <v>1319</v>
      </c>
      <c r="B145" s="2675">
        <v>7</v>
      </c>
      <c r="C145" s="2676">
        <f>128-16-3-4</f>
        <v>105</v>
      </c>
      <c r="D145" s="2676">
        <f>237-12-1</f>
        <v>224</v>
      </c>
      <c r="E145" s="2676">
        <f>765-13-120</f>
        <v>632</v>
      </c>
      <c r="F145" s="2677">
        <f>157</f>
        <v>157</v>
      </c>
      <c r="G145" s="2677">
        <f>78-1-1</f>
        <v>76</v>
      </c>
      <c r="H145" s="2677">
        <f>872-5-37-1</f>
        <v>829</v>
      </c>
      <c r="I145" s="2678">
        <f>1061-29-1</f>
        <v>1031</v>
      </c>
      <c r="J145" s="2677">
        <f>326-5</f>
        <v>321</v>
      </c>
      <c r="K145" s="2677">
        <f>238-7</f>
        <v>231</v>
      </c>
      <c r="L145" s="2677">
        <f>15956-58-1756</f>
        <v>14142</v>
      </c>
      <c r="M145" s="2700">
        <f t="shared" si="73"/>
        <v>17755</v>
      </c>
      <c r="N145" s="2679">
        <v>2166</v>
      </c>
      <c r="O145" s="2679">
        <v>1736</v>
      </c>
      <c r="P145" s="2679">
        <v>1971</v>
      </c>
      <c r="Q145" s="2679">
        <v>1986</v>
      </c>
      <c r="R145" s="2679">
        <v>2197</v>
      </c>
      <c r="S145" s="2661">
        <v>9326</v>
      </c>
      <c r="T145" s="2661">
        <f t="shared" si="70"/>
        <v>19382</v>
      </c>
      <c r="U145" s="2661">
        <v>337</v>
      </c>
      <c r="V145" s="2679">
        <f t="shared" si="71"/>
        <v>19719</v>
      </c>
      <c r="W145" s="2679">
        <f t="shared" si="68"/>
        <v>37474</v>
      </c>
      <c r="X145" s="2702">
        <f t="shared" si="63"/>
        <v>1.608103468009614</v>
      </c>
      <c r="Y145" s="2702">
        <f t="shared" si="64"/>
        <v>2.2329527628868862</v>
      </c>
    </row>
    <row r="146" spans="1:25" ht="23.25" customHeight="1">
      <c r="A146" s="2605" t="s">
        <v>1320</v>
      </c>
      <c r="B146" s="2675">
        <v>7</v>
      </c>
      <c r="C146" s="2676">
        <f>128-4-16-3</f>
        <v>105</v>
      </c>
      <c r="D146" s="2676">
        <f>236-1-12</f>
        <v>223</v>
      </c>
      <c r="E146" s="2676">
        <f>766-121-13</f>
        <v>632</v>
      </c>
      <c r="F146" s="2677">
        <v>157</v>
      </c>
      <c r="G146" s="2677">
        <f>78-1-1</f>
        <v>76</v>
      </c>
      <c r="H146" s="2677">
        <f>870-1-37-5</f>
        <v>827</v>
      </c>
      <c r="I146" s="2678">
        <f>1063-1-29</f>
        <v>1033</v>
      </c>
      <c r="J146" s="2677">
        <f>326-5</f>
        <v>321</v>
      </c>
      <c r="K146" s="2677">
        <f>237-3-4</f>
        <v>230</v>
      </c>
      <c r="L146" s="2677">
        <f>15941-1750-58</f>
        <v>14133</v>
      </c>
      <c r="M146" s="2700">
        <f t="shared" si="73"/>
        <v>17744</v>
      </c>
      <c r="N146" s="2679">
        <v>2166</v>
      </c>
      <c r="O146" s="2679">
        <v>1736</v>
      </c>
      <c r="P146" s="2679">
        <v>1971</v>
      </c>
      <c r="Q146" s="2679">
        <v>1980</v>
      </c>
      <c r="R146" s="2679">
        <v>2170</v>
      </c>
      <c r="S146" s="2661">
        <v>10075</v>
      </c>
      <c r="T146" s="2661">
        <f t="shared" si="70"/>
        <v>20098</v>
      </c>
      <c r="U146" s="2661">
        <v>337</v>
      </c>
      <c r="V146" s="2679">
        <f t="shared" si="71"/>
        <v>20435</v>
      </c>
      <c r="W146" s="2679">
        <f t="shared" si="68"/>
        <v>38179</v>
      </c>
      <c r="X146" s="2702">
        <f t="shared" si="63"/>
        <v>1.609116417568579</v>
      </c>
      <c r="Y146" s="2702">
        <f t="shared" si="64"/>
        <v>4.3102746399179326</v>
      </c>
    </row>
    <row r="147" spans="1:25" ht="23.25" customHeight="1">
      <c r="A147" s="2605" t="s">
        <v>1321</v>
      </c>
      <c r="B147" s="2675">
        <v>7</v>
      </c>
      <c r="C147" s="2676">
        <f>128-4-16-3</f>
        <v>105</v>
      </c>
      <c r="D147" s="2676">
        <f>236-1-12</f>
        <v>223</v>
      </c>
      <c r="E147" s="2676">
        <f>767-121-2-11</f>
        <v>633</v>
      </c>
      <c r="F147" s="2677">
        <f>157-0</f>
        <v>157</v>
      </c>
      <c r="G147" s="2677">
        <f>77-1-1</f>
        <v>75</v>
      </c>
      <c r="H147" s="2677">
        <f>869-1-29</f>
        <v>839</v>
      </c>
      <c r="I147" s="2678">
        <f>1063-1-29-1</f>
        <v>1032</v>
      </c>
      <c r="J147" s="2677">
        <f>327-5</f>
        <v>322</v>
      </c>
      <c r="K147" s="2677">
        <f>237-3-4</f>
        <v>230</v>
      </c>
      <c r="L147" s="2677">
        <f>15933-1752-1-57</f>
        <v>14123</v>
      </c>
      <c r="M147" s="2700">
        <f t="shared" si="73"/>
        <v>17746</v>
      </c>
      <c r="N147" s="2679">
        <v>2166</v>
      </c>
      <c r="O147" s="2679">
        <v>1736</v>
      </c>
      <c r="P147" s="2679">
        <v>1971</v>
      </c>
      <c r="Q147" s="2679">
        <v>1980</v>
      </c>
      <c r="R147" s="2679">
        <v>2168</v>
      </c>
      <c r="S147" s="2661">
        <v>10112</v>
      </c>
      <c r="T147" s="2661">
        <f t="shared" si="70"/>
        <v>20133</v>
      </c>
      <c r="U147" s="2661">
        <v>337</v>
      </c>
      <c r="V147" s="2679">
        <f t="shared" si="71"/>
        <v>20470</v>
      </c>
      <c r="W147" s="2679">
        <f t="shared" si="68"/>
        <v>38216</v>
      </c>
      <c r="X147" s="2702">
        <f t="shared" si="63"/>
        <v>0.61801893746102898</v>
      </c>
      <c r="Y147" s="2702">
        <f t="shared" si="64"/>
        <v>3.7477433454140785</v>
      </c>
    </row>
    <row r="148" spans="1:25" ht="23.25" customHeight="1">
      <c r="A148" s="2600" t="s">
        <v>1530</v>
      </c>
      <c r="B148" s="2675">
        <v>6</v>
      </c>
      <c r="C148" s="2676">
        <f>185-3-16-3</f>
        <v>163</v>
      </c>
      <c r="D148" s="2676">
        <f>241-1-13</f>
        <v>227</v>
      </c>
      <c r="E148" s="2676">
        <f>1125-130-2-7</f>
        <v>986</v>
      </c>
      <c r="F148" s="2677">
        <f>153</f>
        <v>153</v>
      </c>
      <c r="G148" s="2677">
        <f>76-2</f>
        <v>74</v>
      </c>
      <c r="H148" s="2677">
        <f>812-5-41-1</f>
        <v>765</v>
      </c>
      <c r="I148" s="2678">
        <f>1072-1-29</f>
        <v>1042</v>
      </c>
      <c r="J148" s="2677">
        <f>329-6</f>
        <v>323</v>
      </c>
      <c r="K148" s="2677">
        <f>239-5-3</f>
        <v>231</v>
      </c>
      <c r="L148" s="2677">
        <f>15963-1775-57-8</f>
        <v>14123</v>
      </c>
      <c r="M148" s="2700">
        <f t="shared" si="73"/>
        <v>18093</v>
      </c>
      <c r="N148" s="2679">
        <v>2181</v>
      </c>
      <c r="O148" s="2679">
        <v>1736</v>
      </c>
      <c r="P148" s="2679">
        <v>1971</v>
      </c>
      <c r="Q148" s="2679">
        <v>1955</v>
      </c>
      <c r="R148" s="2679">
        <v>2167</v>
      </c>
      <c r="S148" s="2661">
        <v>10262</v>
      </c>
      <c r="T148" s="2661">
        <f t="shared" si="70"/>
        <v>20272</v>
      </c>
      <c r="U148" s="2661">
        <v>331</v>
      </c>
      <c r="V148" s="2679">
        <f t="shared" si="71"/>
        <v>20603</v>
      </c>
      <c r="W148" s="2679">
        <f t="shared" si="68"/>
        <v>38696</v>
      </c>
      <c r="X148" s="2702">
        <f t="shared" si="63"/>
        <v>1.680341688209519</v>
      </c>
      <c r="Y148" s="2702">
        <f t="shared" si="64"/>
        <v>4.0103214708095969</v>
      </c>
    </row>
    <row r="149" spans="1:25" ht="23.25" customHeight="1">
      <c r="A149" s="2600" t="s">
        <v>1531</v>
      </c>
      <c r="B149" s="2703">
        <v>7</v>
      </c>
      <c r="C149" s="2704">
        <f>132-23-4</f>
        <v>105</v>
      </c>
      <c r="D149" s="2864">
        <f>242-12-1</f>
        <v>229</v>
      </c>
      <c r="E149" s="2864"/>
      <c r="F149" s="2661">
        <f>806-151-22</f>
        <v>633</v>
      </c>
      <c r="G149" s="2677">
        <f>160-1</f>
        <v>159</v>
      </c>
      <c r="H149" s="2705">
        <f>902-43-1</f>
        <v>858</v>
      </c>
      <c r="I149" s="2677">
        <f>1071-28-1</f>
        <v>1042</v>
      </c>
      <c r="J149" s="2678">
        <f>211-7</f>
        <v>204</v>
      </c>
      <c r="K149" s="2677">
        <f>379-8</f>
        <v>371</v>
      </c>
      <c r="L149" s="2677">
        <f>15740-1757-66</f>
        <v>13917</v>
      </c>
      <c r="M149" s="2679">
        <f t="shared" ref="M149:M169" si="74">SUM(B149:L149)</f>
        <v>17525</v>
      </c>
      <c r="N149" s="2679">
        <v>1994</v>
      </c>
      <c r="O149" s="2679">
        <v>2014</v>
      </c>
      <c r="P149" s="2679">
        <v>1913</v>
      </c>
      <c r="Q149" s="2679">
        <v>1968</v>
      </c>
      <c r="R149" s="2679">
        <v>2089</v>
      </c>
      <c r="S149" s="2661">
        <v>8853</v>
      </c>
      <c r="T149" s="2661">
        <f t="shared" si="70"/>
        <v>18831</v>
      </c>
      <c r="U149" s="2661">
        <v>324.5</v>
      </c>
      <c r="V149" s="2676">
        <f t="shared" ref="V149:V160" si="75">T149+U149</f>
        <v>19155.5</v>
      </c>
      <c r="W149" s="2706">
        <f t="shared" si="68"/>
        <v>36680.5</v>
      </c>
      <c r="X149" s="2707">
        <f t="shared" si="63"/>
        <v>2.4135109864422688</v>
      </c>
      <c r="Y149" s="2708">
        <f t="shared" si="64"/>
        <v>4.5803159035182839</v>
      </c>
    </row>
    <row r="150" spans="1:25" ht="23.25" customHeight="1">
      <c r="A150" s="2600" t="s">
        <v>1532</v>
      </c>
      <c r="B150" s="2703">
        <v>7</v>
      </c>
      <c r="C150" s="2704">
        <f>130-4-4-17</f>
        <v>105</v>
      </c>
      <c r="D150" s="2864">
        <f>240-11-1-1</f>
        <v>227</v>
      </c>
      <c r="E150" s="2864"/>
      <c r="F150" s="2661">
        <f>957-22-4-148</f>
        <v>783</v>
      </c>
      <c r="G150" s="2677">
        <f>160-1</f>
        <v>159</v>
      </c>
      <c r="H150" s="2705">
        <f>902-8-1-35</f>
        <v>858</v>
      </c>
      <c r="I150" s="2677">
        <f>1071-1-29</f>
        <v>1041</v>
      </c>
      <c r="J150" s="2678">
        <f>211-3-4</f>
        <v>204</v>
      </c>
      <c r="K150" s="2677">
        <f>375-5-1</f>
        <v>369</v>
      </c>
      <c r="L150" s="2677">
        <f>15711-66-1758</f>
        <v>13887</v>
      </c>
      <c r="M150" s="2679">
        <f t="shared" si="74"/>
        <v>17640</v>
      </c>
      <c r="N150" s="2679">
        <v>1998</v>
      </c>
      <c r="O150" s="2679">
        <v>2010</v>
      </c>
      <c r="P150" s="2679">
        <v>1912</v>
      </c>
      <c r="Q150" s="2679">
        <v>1961</v>
      </c>
      <c r="R150" s="2679">
        <v>2089</v>
      </c>
      <c r="S150" s="2661">
        <v>8816</v>
      </c>
      <c r="T150" s="2661">
        <f t="shared" si="70"/>
        <v>18786</v>
      </c>
      <c r="U150" s="2661">
        <v>324.5</v>
      </c>
      <c r="V150" s="2676">
        <f t="shared" si="75"/>
        <v>19110.5</v>
      </c>
      <c r="W150" s="2706">
        <f t="shared" si="68"/>
        <v>36750.5</v>
      </c>
      <c r="X150" s="2707">
        <f t="shared" si="63"/>
        <v>2.3320570831883103</v>
      </c>
      <c r="Y150" s="2708">
        <f t="shared" si="64"/>
        <v>4.4820037527719236</v>
      </c>
    </row>
    <row r="151" spans="1:25" ht="23.25" customHeight="1">
      <c r="A151" s="2600" t="s">
        <v>1533</v>
      </c>
      <c r="B151" s="2703">
        <v>7</v>
      </c>
      <c r="C151" s="2704">
        <f>130-16-4-4</f>
        <v>106</v>
      </c>
      <c r="D151" s="2864">
        <v>237</v>
      </c>
      <c r="E151" s="2864"/>
      <c r="F151" s="2661">
        <f>815-149-4-22</f>
        <v>640</v>
      </c>
      <c r="G151" s="2677">
        <f>161</f>
        <v>161</v>
      </c>
      <c r="H151" s="2705">
        <v>854</v>
      </c>
      <c r="I151" s="2677">
        <f>1056-1-29</f>
        <v>1026</v>
      </c>
      <c r="J151" s="2678">
        <f>225-4-3</f>
        <v>218</v>
      </c>
      <c r="K151" s="2677">
        <f>377-5-1</f>
        <v>371</v>
      </c>
      <c r="L151" s="2677">
        <f>15587-1747-66</f>
        <v>13774</v>
      </c>
      <c r="M151" s="2679">
        <f t="shared" si="74"/>
        <v>17394</v>
      </c>
      <c r="N151" s="2679">
        <v>1985</v>
      </c>
      <c r="O151" s="2679">
        <v>2018</v>
      </c>
      <c r="P151" s="2679">
        <v>1912</v>
      </c>
      <c r="Q151" s="2679">
        <v>1923</v>
      </c>
      <c r="R151" s="2679">
        <v>2115</v>
      </c>
      <c r="S151" s="2661">
        <v>8616</v>
      </c>
      <c r="T151" s="2661">
        <f t="shared" si="70"/>
        <v>18569</v>
      </c>
      <c r="U151" s="2661">
        <v>319.5</v>
      </c>
      <c r="V151" s="2676">
        <f t="shared" si="75"/>
        <v>18888.5</v>
      </c>
      <c r="W151" s="2706">
        <f t="shared" si="68"/>
        <v>36282.5</v>
      </c>
      <c r="X151" s="2707">
        <f t="shared" si="63"/>
        <v>0.99872256416211336</v>
      </c>
      <c r="Y151" s="2708">
        <f t="shared" si="64"/>
        <v>2.5972740640199055</v>
      </c>
    </row>
    <row r="152" spans="1:25" ht="23.25" customHeight="1">
      <c r="A152" s="2600" t="s">
        <v>1534</v>
      </c>
      <c r="B152" s="2703">
        <v>7</v>
      </c>
      <c r="C152" s="2704">
        <v>106</v>
      </c>
      <c r="D152" s="2864">
        <v>237</v>
      </c>
      <c r="E152" s="2864"/>
      <c r="F152" s="2661">
        <v>648</v>
      </c>
      <c r="G152" s="2677">
        <v>161</v>
      </c>
      <c r="H152" s="2705">
        <v>852</v>
      </c>
      <c r="I152" s="2677">
        <v>1022</v>
      </c>
      <c r="J152" s="2678">
        <v>218</v>
      </c>
      <c r="K152" s="2677">
        <v>372</v>
      </c>
      <c r="L152" s="2677">
        <v>13753</v>
      </c>
      <c r="M152" s="2679">
        <f t="shared" si="74"/>
        <v>17376</v>
      </c>
      <c r="N152" s="2679">
        <v>1955</v>
      </c>
      <c r="O152" s="2679">
        <v>2083</v>
      </c>
      <c r="P152" s="2679">
        <v>1890</v>
      </c>
      <c r="Q152" s="2679">
        <v>1906</v>
      </c>
      <c r="R152" s="2679">
        <v>2115</v>
      </c>
      <c r="S152" s="2661">
        <v>8596</v>
      </c>
      <c r="T152" s="2661">
        <f t="shared" si="70"/>
        <v>18545</v>
      </c>
      <c r="U152" s="2661">
        <v>323.5</v>
      </c>
      <c r="V152" s="2676">
        <f t="shared" si="75"/>
        <v>18868.5</v>
      </c>
      <c r="W152" s="2706">
        <f t="shared" si="68"/>
        <v>36244.5</v>
      </c>
      <c r="X152" s="2707">
        <f t="shared" si="63"/>
        <v>0.12677192578081087</v>
      </c>
      <c r="Y152" s="2708">
        <f t="shared" si="64"/>
        <v>2.2642627391230796</v>
      </c>
    </row>
    <row r="153" spans="1:25" ht="23.25" customHeight="1">
      <c r="A153" s="2600" t="s">
        <v>1535</v>
      </c>
      <c r="B153" s="2703">
        <v>7</v>
      </c>
      <c r="C153" s="2704">
        <v>107</v>
      </c>
      <c r="D153" s="2864">
        <v>237</v>
      </c>
      <c r="E153" s="2864"/>
      <c r="F153" s="2661">
        <v>771</v>
      </c>
      <c r="G153" s="2677">
        <v>160</v>
      </c>
      <c r="H153" s="2705">
        <v>853</v>
      </c>
      <c r="I153" s="2677">
        <v>1019</v>
      </c>
      <c r="J153" s="2678">
        <v>218</v>
      </c>
      <c r="K153" s="2677">
        <v>371</v>
      </c>
      <c r="L153" s="2677">
        <v>13730</v>
      </c>
      <c r="M153" s="2679">
        <f t="shared" si="74"/>
        <v>17473</v>
      </c>
      <c r="N153" s="2679">
        <v>1995</v>
      </c>
      <c r="O153" s="2679">
        <v>2004</v>
      </c>
      <c r="P153" s="2679">
        <v>1892</v>
      </c>
      <c r="Q153" s="2679">
        <v>1896</v>
      </c>
      <c r="R153" s="2679">
        <v>2110</v>
      </c>
      <c r="S153" s="2661">
        <v>8572</v>
      </c>
      <c r="T153" s="2661">
        <f t="shared" si="70"/>
        <v>18469</v>
      </c>
      <c r="U153" s="2661">
        <v>323.5</v>
      </c>
      <c r="V153" s="2676">
        <f t="shared" si="75"/>
        <v>18792.5</v>
      </c>
      <c r="W153" s="2706">
        <f t="shared" si="68"/>
        <v>36265.5</v>
      </c>
      <c r="X153" s="2707">
        <f t="shared" si="63"/>
        <v>0.79607730025959</v>
      </c>
      <c r="Y153" s="2708">
        <f t="shared" si="64"/>
        <v>2.1505830657427838</v>
      </c>
    </row>
    <row r="154" spans="1:25" ht="23.25" customHeight="1">
      <c r="A154" s="2600" t="s">
        <v>1536</v>
      </c>
      <c r="B154" s="2703">
        <v>7</v>
      </c>
      <c r="C154" s="2704">
        <v>107</v>
      </c>
      <c r="D154" s="2864">
        <v>237</v>
      </c>
      <c r="E154" s="2864"/>
      <c r="F154" s="2661">
        <v>657</v>
      </c>
      <c r="G154" s="2677">
        <v>160</v>
      </c>
      <c r="H154" s="2705">
        <v>857</v>
      </c>
      <c r="I154" s="2677">
        <v>1017</v>
      </c>
      <c r="J154" s="2678">
        <v>220</v>
      </c>
      <c r="K154" s="2677">
        <v>370</v>
      </c>
      <c r="L154" s="2677">
        <v>13878</v>
      </c>
      <c r="M154" s="2679">
        <f t="shared" si="74"/>
        <v>17510</v>
      </c>
      <c r="N154" s="2679">
        <v>1967</v>
      </c>
      <c r="O154" s="2679">
        <v>2009</v>
      </c>
      <c r="P154" s="2679">
        <v>1940</v>
      </c>
      <c r="Q154" s="2679">
        <v>1908</v>
      </c>
      <c r="R154" s="2679">
        <v>2108</v>
      </c>
      <c r="S154" s="2661">
        <v>8655</v>
      </c>
      <c r="T154" s="2661">
        <f t="shared" si="70"/>
        <v>18587</v>
      </c>
      <c r="U154" s="2661">
        <v>323.5</v>
      </c>
      <c r="V154" s="2676">
        <f t="shared" si="75"/>
        <v>18910.5</v>
      </c>
      <c r="W154" s="2706">
        <f t="shared" si="68"/>
        <v>36420.5</v>
      </c>
      <c r="X154" s="2707">
        <f t="shared" si="63"/>
        <v>1.1554015020219577</v>
      </c>
      <c r="Y154" s="2708">
        <f t="shared" si="64"/>
        <v>1.8157166419725534</v>
      </c>
    </row>
    <row r="155" spans="1:25" ht="23.25" customHeight="1">
      <c r="A155" s="2600" t="s">
        <v>1537</v>
      </c>
      <c r="B155" s="2703">
        <v>7</v>
      </c>
      <c r="C155" s="2704">
        <v>107</v>
      </c>
      <c r="D155" s="2864">
        <v>235</v>
      </c>
      <c r="E155" s="2864"/>
      <c r="F155" s="2661">
        <v>660</v>
      </c>
      <c r="G155" s="2677">
        <v>160</v>
      </c>
      <c r="H155" s="2705">
        <v>857</v>
      </c>
      <c r="I155" s="2677">
        <v>1015</v>
      </c>
      <c r="J155" s="2678">
        <v>220</v>
      </c>
      <c r="K155" s="2677">
        <v>370</v>
      </c>
      <c r="L155" s="2677">
        <v>13872</v>
      </c>
      <c r="M155" s="2679">
        <f t="shared" si="74"/>
        <v>17503</v>
      </c>
      <c r="N155" s="2679">
        <v>1975</v>
      </c>
      <c r="O155" s="2679">
        <v>2076</v>
      </c>
      <c r="P155" s="2679">
        <v>1978</v>
      </c>
      <c r="Q155" s="2679">
        <v>1888</v>
      </c>
      <c r="R155" s="2679">
        <v>2104</v>
      </c>
      <c r="S155" s="2661">
        <v>8900</v>
      </c>
      <c r="T155" s="2661">
        <f t="shared" si="70"/>
        <v>18921</v>
      </c>
      <c r="U155" s="2661">
        <v>323.5</v>
      </c>
      <c r="V155" s="2676">
        <f t="shared" si="75"/>
        <v>19244.5</v>
      </c>
      <c r="W155" s="2706">
        <f t="shared" si="68"/>
        <v>36747.5</v>
      </c>
      <c r="X155" s="2707">
        <f t="shared" si="63"/>
        <v>0.84115918649536603</v>
      </c>
      <c r="Y155" s="2708">
        <f t="shared" si="64"/>
        <v>2.335069202706852</v>
      </c>
    </row>
    <row r="156" spans="1:25" ht="23.25" customHeight="1">
      <c r="A156" s="2600" t="s">
        <v>1538</v>
      </c>
      <c r="B156" s="2703">
        <v>7</v>
      </c>
      <c r="C156" s="2704">
        <f>132-4-4-17</f>
        <v>107</v>
      </c>
      <c r="D156" s="2864">
        <f>248-11-1-1</f>
        <v>235</v>
      </c>
      <c r="E156" s="2864"/>
      <c r="F156" s="2661">
        <f>830-22-2-148</f>
        <v>658</v>
      </c>
      <c r="G156" s="2677">
        <f>161</f>
        <v>161</v>
      </c>
      <c r="H156" s="2705">
        <f>881-5-1-35</f>
        <v>840</v>
      </c>
      <c r="I156" s="2677">
        <f>1046-1-30</f>
        <v>1015</v>
      </c>
      <c r="J156" s="2678">
        <f>228-4-4</f>
        <v>220</v>
      </c>
      <c r="K156" s="2677">
        <f>377-8</f>
        <v>369</v>
      </c>
      <c r="L156" s="2677">
        <f>15681-61-1739</f>
        <v>13881</v>
      </c>
      <c r="M156" s="2679">
        <f t="shared" si="74"/>
        <v>17493</v>
      </c>
      <c r="N156" s="2679">
        <v>1973</v>
      </c>
      <c r="O156" s="2679">
        <v>2080</v>
      </c>
      <c r="P156" s="2679">
        <v>1940</v>
      </c>
      <c r="Q156" s="2679">
        <v>1800</v>
      </c>
      <c r="R156" s="2679">
        <v>2103</v>
      </c>
      <c r="S156" s="2661">
        <v>8891</v>
      </c>
      <c r="T156" s="2661">
        <f t="shared" si="70"/>
        <v>18787</v>
      </c>
      <c r="U156" s="2661">
        <v>337.5</v>
      </c>
      <c r="V156" s="2676">
        <f t="shared" si="75"/>
        <v>19124.5</v>
      </c>
      <c r="W156" s="2706">
        <f t="shared" si="68"/>
        <v>36617.5</v>
      </c>
      <c r="X156" s="2707">
        <f t="shared" si="63"/>
        <v>0.75452136850593376</v>
      </c>
      <c r="Y156" s="2708">
        <f t="shared" si="64"/>
        <v>2.2492460627722588</v>
      </c>
    </row>
    <row r="157" spans="1:25" ht="23.25" customHeight="1">
      <c r="A157" s="2600" t="s">
        <v>1539</v>
      </c>
      <c r="B157" s="2703">
        <v>7</v>
      </c>
      <c r="C157" s="2704">
        <v>107</v>
      </c>
      <c r="D157" s="2864">
        <v>234</v>
      </c>
      <c r="E157" s="2864"/>
      <c r="F157" s="2661">
        <v>655</v>
      </c>
      <c r="G157" s="2677">
        <v>162</v>
      </c>
      <c r="H157" s="2705">
        <v>834</v>
      </c>
      <c r="I157" s="2677">
        <v>1015</v>
      </c>
      <c r="J157" s="2678">
        <v>223</v>
      </c>
      <c r="K157" s="2677">
        <v>367</v>
      </c>
      <c r="L157" s="2677">
        <v>13870</v>
      </c>
      <c r="M157" s="2679">
        <f t="shared" si="74"/>
        <v>17474</v>
      </c>
      <c r="N157" s="2709">
        <v>1978</v>
      </c>
      <c r="O157" s="2709">
        <v>2098</v>
      </c>
      <c r="P157" s="2709">
        <v>1975</v>
      </c>
      <c r="Q157" s="2709">
        <v>1788</v>
      </c>
      <c r="R157" s="2709">
        <v>2102</v>
      </c>
      <c r="S157" s="2710">
        <v>8903</v>
      </c>
      <c r="T157" s="2710">
        <f t="shared" ref="T157:T220" si="76">SUM(N157:S157)</f>
        <v>18844</v>
      </c>
      <c r="U157" s="2710">
        <v>337.5</v>
      </c>
      <c r="V157" s="2709">
        <f t="shared" si="75"/>
        <v>19181.5</v>
      </c>
      <c r="W157" s="2711">
        <f t="shared" si="68"/>
        <v>36655.5</v>
      </c>
      <c r="X157" s="2707">
        <f t="shared" si="63"/>
        <v>1.9903110955466152</v>
      </c>
      <c r="Y157" s="2708">
        <f t="shared" si="64"/>
        <v>2.8204768583450113</v>
      </c>
    </row>
    <row r="158" spans="1:25" ht="23.25" customHeight="1">
      <c r="A158" s="2600" t="s">
        <v>1540</v>
      </c>
      <c r="B158" s="2703">
        <v>7</v>
      </c>
      <c r="C158" s="2704">
        <f>126-4-19-4</f>
        <v>99</v>
      </c>
      <c r="D158" s="2864">
        <f>242-1-2-11</f>
        <v>228</v>
      </c>
      <c r="E158" s="2864"/>
      <c r="F158" s="2661">
        <f>787-116-24</f>
        <v>647</v>
      </c>
      <c r="G158" s="2677">
        <f>160-2</f>
        <v>158</v>
      </c>
      <c r="H158" s="2705">
        <f>870-1-36-5</f>
        <v>828</v>
      </c>
      <c r="I158" s="2677">
        <f>1050-1-31</f>
        <v>1018</v>
      </c>
      <c r="J158" s="2678">
        <f>230-3-4</f>
        <v>223</v>
      </c>
      <c r="K158" s="2677">
        <f>364-2-3</f>
        <v>359</v>
      </c>
      <c r="L158" s="2677">
        <f>15722-1765-61</f>
        <v>13896</v>
      </c>
      <c r="M158" s="2679">
        <f t="shared" si="74"/>
        <v>17463</v>
      </c>
      <c r="N158" s="2709">
        <v>2028.88</v>
      </c>
      <c r="O158" s="2709">
        <v>2083</v>
      </c>
      <c r="P158" s="2709">
        <v>1961</v>
      </c>
      <c r="Q158" s="2709">
        <v>1770</v>
      </c>
      <c r="R158" s="2709">
        <v>2085</v>
      </c>
      <c r="S158" s="2710">
        <v>8887</v>
      </c>
      <c r="T158" s="2710">
        <f t="shared" si="76"/>
        <v>18814.88</v>
      </c>
      <c r="U158" s="2710">
        <v>323.5</v>
      </c>
      <c r="V158" s="2709">
        <f t="shared" si="75"/>
        <v>19138.38</v>
      </c>
      <c r="W158" s="2711">
        <f t="shared" si="68"/>
        <v>36601.380000000005</v>
      </c>
      <c r="X158" s="2707">
        <f t="shared" si="63"/>
        <v>2.0273428371114788</v>
      </c>
      <c r="Y158" s="2708">
        <f t="shared" si="64"/>
        <v>2.9951318344261013</v>
      </c>
    </row>
    <row r="159" spans="1:25" ht="23.25" customHeight="1">
      <c r="A159" s="2600" t="s">
        <v>1541</v>
      </c>
      <c r="B159" s="2703">
        <v>7</v>
      </c>
      <c r="C159" s="2704">
        <f>128-3-4-17</f>
        <v>104</v>
      </c>
      <c r="D159" s="2712">
        <f>228-9-1</f>
        <v>218</v>
      </c>
      <c r="E159" s="2712">
        <f>919-21-116</f>
        <v>782</v>
      </c>
      <c r="F159" s="2661">
        <f>157</f>
        <v>157</v>
      </c>
      <c r="G159" s="2677">
        <v>71</v>
      </c>
      <c r="H159" s="2705">
        <f>831-35</f>
        <v>796</v>
      </c>
      <c r="I159" s="2677">
        <f>1047-29</f>
        <v>1018</v>
      </c>
      <c r="J159" s="2678">
        <v>353</v>
      </c>
      <c r="K159" s="2677">
        <v>218</v>
      </c>
      <c r="L159" s="2677">
        <f>15743-1769-61</f>
        <v>13913</v>
      </c>
      <c r="M159" s="2679">
        <f t="shared" si="74"/>
        <v>17637</v>
      </c>
      <c r="N159" s="2709">
        <v>2058</v>
      </c>
      <c r="O159" s="2709">
        <v>2087</v>
      </c>
      <c r="P159" s="2709">
        <v>1960</v>
      </c>
      <c r="Q159" s="2709">
        <v>1810</v>
      </c>
      <c r="R159" s="2709">
        <v>2084</v>
      </c>
      <c r="S159" s="2710">
        <v>8876</v>
      </c>
      <c r="T159" s="2710">
        <f t="shared" si="76"/>
        <v>18875</v>
      </c>
      <c r="U159" s="2710">
        <v>323.5</v>
      </c>
      <c r="V159" s="2709">
        <f t="shared" si="75"/>
        <v>19198.5</v>
      </c>
      <c r="W159" s="2711">
        <f t="shared" si="68"/>
        <v>36835.5</v>
      </c>
      <c r="X159" s="2707">
        <f t="shared" si="63"/>
        <v>1.1179910560715545</v>
      </c>
      <c r="Y159" s="2708">
        <f t="shared" si="64"/>
        <v>2.2469882862377277</v>
      </c>
    </row>
    <row r="160" spans="1:25" ht="23.25" customHeight="1">
      <c r="A160" s="2600" t="s">
        <v>1542</v>
      </c>
      <c r="B160" s="2703">
        <v>7</v>
      </c>
      <c r="C160" s="2704">
        <v>103</v>
      </c>
      <c r="D160" s="2712">
        <v>203</v>
      </c>
      <c r="E160" s="2712">
        <v>767</v>
      </c>
      <c r="F160" s="2661">
        <v>149</v>
      </c>
      <c r="G160" s="2677">
        <v>79</v>
      </c>
      <c r="H160" s="2705">
        <v>777</v>
      </c>
      <c r="I160" s="2677">
        <v>1042</v>
      </c>
      <c r="J160" s="2678">
        <v>323</v>
      </c>
      <c r="K160" s="2677">
        <v>220</v>
      </c>
      <c r="L160" s="2677">
        <v>14124</v>
      </c>
      <c r="M160" s="2679">
        <f t="shared" si="74"/>
        <v>17794</v>
      </c>
      <c r="N160" s="2709">
        <v>2094</v>
      </c>
      <c r="O160" s="2709">
        <v>2110</v>
      </c>
      <c r="P160" s="2709">
        <v>2014</v>
      </c>
      <c r="Q160" s="2709">
        <v>1806</v>
      </c>
      <c r="R160" s="2709">
        <v>2205</v>
      </c>
      <c r="S160" s="2710">
        <v>8857</v>
      </c>
      <c r="T160" s="2710">
        <f t="shared" si="76"/>
        <v>19086</v>
      </c>
      <c r="U160" s="2710">
        <v>324</v>
      </c>
      <c r="V160" s="2709">
        <f t="shared" si="75"/>
        <v>19410</v>
      </c>
      <c r="W160" s="2711">
        <f t="shared" si="68"/>
        <v>37204</v>
      </c>
      <c r="X160" s="2707">
        <f t="shared" si="63"/>
        <v>1.5407441223465046</v>
      </c>
      <c r="Y160" s="2708">
        <f t="shared" si="64"/>
        <v>2.844505874222536</v>
      </c>
    </row>
    <row r="161" spans="1:25" ht="23.25" customHeight="1">
      <c r="A161" s="2600" t="s">
        <v>1543</v>
      </c>
      <c r="B161" s="2713">
        <v>6</v>
      </c>
      <c r="C161" s="2706">
        <v>277</v>
      </c>
      <c r="D161" s="3180">
        <v>200</v>
      </c>
      <c r="E161" s="3180"/>
      <c r="F161" s="2714">
        <v>515</v>
      </c>
      <c r="G161" s="2715">
        <v>890</v>
      </c>
      <c r="H161" s="2716">
        <v>110</v>
      </c>
      <c r="I161" s="2714">
        <v>1057</v>
      </c>
      <c r="J161" s="2717">
        <v>13557</v>
      </c>
      <c r="K161" s="2714">
        <v>176</v>
      </c>
      <c r="L161" s="2714">
        <v>324</v>
      </c>
      <c r="M161" s="2706">
        <f t="shared" si="74"/>
        <v>17112</v>
      </c>
      <c r="N161" s="2708">
        <v>1802</v>
      </c>
      <c r="O161" s="2708">
        <v>2042</v>
      </c>
      <c r="P161" s="2708">
        <v>1745</v>
      </c>
      <c r="Q161" s="2708">
        <v>1814</v>
      </c>
      <c r="R161" s="2708">
        <v>1922</v>
      </c>
      <c r="S161" s="2708">
        <v>8347</v>
      </c>
      <c r="T161" s="2708">
        <f t="shared" si="76"/>
        <v>17672</v>
      </c>
      <c r="U161" s="2708">
        <v>290</v>
      </c>
      <c r="V161" s="2708">
        <f>SUM(T161:U161)</f>
        <v>17962</v>
      </c>
      <c r="W161" s="2706">
        <f t="shared" si="68"/>
        <v>35074</v>
      </c>
      <c r="X161" s="2707">
        <f t="shared" si="63"/>
        <v>-0.40160642570281624</v>
      </c>
      <c r="Y161" s="2708">
        <f t="shared" si="64"/>
        <v>1.0690718381695996</v>
      </c>
    </row>
    <row r="162" spans="1:25" ht="23.25" customHeight="1">
      <c r="A162" s="2600" t="s">
        <v>1544</v>
      </c>
      <c r="B162" s="2713">
        <v>6</v>
      </c>
      <c r="C162" s="2706">
        <v>291</v>
      </c>
      <c r="D162" s="3180">
        <v>200</v>
      </c>
      <c r="E162" s="3180"/>
      <c r="F162" s="2714">
        <v>581</v>
      </c>
      <c r="G162" s="2715">
        <v>839</v>
      </c>
      <c r="H162" s="2716">
        <v>110</v>
      </c>
      <c r="I162" s="2714">
        <v>1088</v>
      </c>
      <c r="J162" s="2717">
        <v>13624</v>
      </c>
      <c r="K162" s="2714">
        <v>173</v>
      </c>
      <c r="L162" s="2714">
        <v>326</v>
      </c>
      <c r="M162" s="2706">
        <f t="shared" si="74"/>
        <v>17238</v>
      </c>
      <c r="N162" s="2708">
        <v>1804</v>
      </c>
      <c r="O162" s="2708">
        <v>1974</v>
      </c>
      <c r="P162" s="2708">
        <v>1745</v>
      </c>
      <c r="Q162" s="2708">
        <v>1812</v>
      </c>
      <c r="R162" s="2708">
        <v>1981</v>
      </c>
      <c r="S162" s="2708">
        <v>8330</v>
      </c>
      <c r="T162" s="2708">
        <f t="shared" si="76"/>
        <v>17646</v>
      </c>
      <c r="U162" s="2708">
        <v>290</v>
      </c>
      <c r="V162" s="2708">
        <f>SUM(T162:U162)</f>
        <v>17936</v>
      </c>
      <c r="W162" s="2706">
        <f t="shared" si="68"/>
        <v>35174</v>
      </c>
      <c r="X162" s="2707">
        <f t="shared" si="63"/>
        <v>0.45454545454546302</v>
      </c>
      <c r="Y162" s="2708">
        <f t="shared" si="64"/>
        <v>2.4018166467728364</v>
      </c>
    </row>
    <row r="163" spans="1:25" ht="23.25" customHeight="1">
      <c r="A163" s="2600" t="s">
        <v>1545</v>
      </c>
      <c r="B163" s="2713">
        <v>6</v>
      </c>
      <c r="C163" s="2706">
        <v>301</v>
      </c>
      <c r="D163" s="3180">
        <v>209</v>
      </c>
      <c r="E163" s="3180"/>
      <c r="F163" s="2714">
        <v>479</v>
      </c>
      <c r="G163" s="2715">
        <v>855</v>
      </c>
      <c r="H163" s="2716">
        <v>115</v>
      </c>
      <c r="I163" s="2714">
        <v>1104</v>
      </c>
      <c r="J163" s="2717">
        <v>13654</v>
      </c>
      <c r="K163" s="2714">
        <v>175</v>
      </c>
      <c r="L163" s="2714">
        <v>324</v>
      </c>
      <c r="M163" s="2706">
        <f t="shared" si="74"/>
        <v>17222</v>
      </c>
      <c r="N163" s="2708">
        <v>1862</v>
      </c>
      <c r="O163" s="2708">
        <v>1974</v>
      </c>
      <c r="P163" s="2708">
        <v>1745</v>
      </c>
      <c r="Q163" s="2708">
        <v>1811</v>
      </c>
      <c r="R163" s="2708">
        <v>1979</v>
      </c>
      <c r="S163" s="2708">
        <v>8468</v>
      </c>
      <c r="T163" s="2708">
        <f t="shared" si="76"/>
        <v>17839</v>
      </c>
      <c r="U163" s="2708">
        <v>303</v>
      </c>
      <c r="V163" s="2708">
        <f t="shared" ref="V163:V172" si="77">T163+U163</f>
        <v>18142</v>
      </c>
      <c r="W163" s="2706">
        <f t="shared" ref="W163:W172" si="78">V163+M163</f>
        <v>35364</v>
      </c>
      <c r="X163" s="2707">
        <f t="shared" si="63"/>
        <v>1.0562140593826985</v>
      </c>
      <c r="Y163" s="2708">
        <f t="shared" si="64"/>
        <v>2.9669529771436887</v>
      </c>
    </row>
    <row r="164" spans="1:25" ht="23.25" customHeight="1">
      <c r="A164" s="2600" t="s">
        <v>1546</v>
      </c>
      <c r="B164" s="2713">
        <v>6</v>
      </c>
      <c r="C164" s="2706">
        <v>301</v>
      </c>
      <c r="D164" s="3180">
        <v>209</v>
      </c>
      <c r="E164" s="3180"/>
      <c r="F164" s="2714">
        <v>477</v>
      </c>
      <c r="G164" s="2715">
        <v>851</v>
      </c>
      <c r="H164" s="2716">
        <v>116</v>
      </c>
      <c r="I164" s="2714">
        <v>1116</v>
      </c>
      <c r="J164" s="2717">
        <v>13781</v>
      </c>
      <c r="K164" s="2714">
        <v>176</v>
      </c>
      <c r="L164" s="2714">
        <v>321</v>
      </c>
      <c r="M164" s="2706">
        <f t="shared" si="74"/>
        <v>17354</v>
      </c>
      <c r="N164" s="2708">
        <v>1846</v>
      </c>
      <c r="O164" s="2708">
        <v>2008</v>
      </c>
      <c r="P164" s="2708">
        <v>1731</v>
      </c>
      <c r="Q164" s="2708">
        <v>1781</v>
      </c>
      <c r="R164" s="2708">
        <v>1960</v>
      </c>
      <c r="S164" s="2708">
        <v>8442</v>
      </c>
      <c r="T164" s="2708">
        <f t="shared" si="76"/>
        <v>17768</v>
      </c>
      <c r="U164" s="2708">
        <v>320</v>
      </c>
      <c r="V164" s="2708">
        <f t="shared" si="77"/>
        <v>18088</v>
      </c>
      <c r="W164" s="2706">
        <f t="shared" si="78"/>
        <v>35442</v>
      </c>
      <c r="X164" s="2707">
        <f t="shared" si="63"/>
        <v>1.1305361305361306</v>
      </c>
      <c r="Y164" s="2708">
        <f t="shared" si="64"/>
        <v>2.6828137675281027</v>
      </c>
    </row>
    <row r="165" spans="1:25" ht="23.25" customHeight="1">
      <c r="A165" s="2600" t="s">
        <v>1547</v>
      </c>
      <c r="B165" s="2713">
        <v>5</v>
      </c>
      <c r="C165" s="2706">
        <v>299</v>
      </c>
      <c r="D165" s="3180">
        <v>206</v>
      </c>
      <c r="E165" s="3180"/>
      <c r="F165" s="2714">
        <v>479</v>
      </c>
      <c r="G165" s="2715">
        <v>849</v>
      </c>
      <c r="H165" s="2716">
        <v>114</v>
      </c>
      <c r="I165" s="2714">
        <v>1112</v>
      </c>
      <c r="J165" s="2717">
        <v>13774</v>
      </c>
      <c r="K165" s="2714">
        <v>178</v>
      </c>
      <c r="L165" s="2714">
        <v>319</v>
      </c>
      <c r="M165" s="2706">
        <f t="shared" si="74"/>
        <v>17335</v>
      </c>
      <c r="N165" s="2708">
        <v>1855</v>
      </c>
      <c r="O165" s="2708">
        <v>2032</v>
      </c>
      <c r="P165" s="2718">
        <v>1796</v>
      </c>
      <c r="Q165" s="2708">
        <v>1779</v>
      </c>
      <c r="R165" s="2708">
        <v>1959</v>
      </c>
      <c r="S165" s="2708">
        <v>8426</v>
      </c>
      <c r="T165" s="2708">
        <f t="shared" si="76"/>
        <v>17847</v>
      </c>
      <c r="U165" s="2708">
        <v>320</v>
      </c>
      <c r="V165" s="2708">
        <f t="shared" si="77"/>
        <v>18167</v>
      </c>
      <c r="W165" s="2706">
        <f t="shared" si="78"/>
        <v>35502</v>
      </c>
      <c r="X165" s="2707">
        <f t="shared" si="63"/>
        <v>1.0315887632591281</v>
      </c>
      <c r="Y165" s="2708">
        <f t="shared" si="64"/>
        <v>2.8060116410389968</v>
      </c>
    </row>
    <row r="166" spans="1:25" ht="23.25" customHeight="1">
      <c r="A166" s="2600" t="s">
        <v>1548</v>
      </c>
      <c r="B166" s="2713">
        <v>6</v>
      </c>
      <c r="C166" s="2706">
        <v>205</v>
      </c>
      <c r="D166" s="3180">
        <v>243</v>
      </c>
      <c r="E166" s="3180"/>
      <c r="F166" s="2714">
        <v>479</v>
      </c>
      <c r="G166" s="2715">
        <v>847</v>
      </c>
      <c r="H166" s="2716">
        <v>114</v>
      </c>
      <c r="I166" s="2714">
        <v>1108</v>
      </c>
      <c r="J166" s="2717">
        <v>13755</v>
      </c>
      <c r="K166" s="2714">
        <v>178</v>
      </c>
      <c r="L166" s="2714">
        <v>375</v>
      </c>
      <c r="M166" s="2706">
        <f t="shared" si="74"/>
        <v>17310</v>
      </c>
      <c r="N166" s="2708">
        <v>1852</v>
      </c>
      <c r="O166" s="2708">
        <v>2089</v>
      </c>
      <c r="P166" s="2718">
        <v>1851</v>
      </c>
      <c r="Q166" s="2708">
        <v>1779</v>
      </c>
      <c r="R166" s="2708">
        <v>1958</v>
      </c>
      <c r="S166" s="2708">
        <v>8611</v>
      </c>
      <c r="T166" s="2708">
        <f t="shared" si="76"/>
        <v>18140</v>
      </c>
      <c r="U166" s="2708">
        <v>321</v>
      </c>
      <c r="V166" s="2708">
        <f t="shared" si="77"/>
        <v>18461</v>
      </c>
      <c r="W166" s="2706">
        <f t="shared" si="78"/>
        <v>35771</v>
      </c>
      <c r="X166" s="2707">
        <f t="shared" si="63"/>
        <v>0.59859359562968173</v>
      </c>
      <c r="Y166" s="2708">
        <f t="shared" si="64"/>
        <v>3.5040509259259167</v>
      </c>
    </row>
    <row r="167" spans="1:25" ht="23.25" customHeight="1">
      <c r="A167" s="2600" t="s">
        <v>1549</v>
      </c>
      <c r="B167" s="2713">
        <v>6</v>
      </c>
      <c r="C167" s="2706">
        <v>205</v>
      </c>
      <c r="D167" s="3180">
        <v>244</v>
      </c>
      <c r="E167" s="3180"/>
      <c r="F167" s="2714">
        <v>478</v>
      </c>
      <c r="G167" s="2715">
        <v>846</v>
      </c>
      <c r="H167" s="2716">
        <v>112</v>
      </c>
      <c r="I167" s="2714">
        <v>1114</v>
      </c>
      <c r="J167" s="2717">
        <v>13796</v>
      </c>
      <c r="K167" s="2714">
        <v>177</v>
      </c>
      <c r="L167" s="2714">
        <v>379</v>
      </c>
      <c r="M167" s="2706">
        <f t="shared" si="74"/>
        <v>17357</v>
      </c>
      <c r="N167" s="2708">
        <v>1842</v>
      </c>
      <c r="O167" s="2708">
        <v>2090</v>
      </c>
      <c r="P167" s="2718">
        <v>1851</v>
      </c>
      <c r="Q167" s="2708">
        <v>1879</v>
      </c>
      <c r="R167" s="2719">
        <v>1966</v>
      </c>
      <c r="S167" s="2708">
        <v>8603</v>
      </c>
      <c r="T167" s="2708">
        <f t="shared" si="76"/>
        <v>18231</v>
      </c>
      <c r="U167" s="2719">
        <v>321</v>
      </c>
      <c r="V167" s="2708">
        <f t="shared" si="77"/>
        <v>18552</v>
      </c>
      <c r="W167" s="2706">
        <f t="shared" si="78"/>
        <v>35909</v>
      </c>
      <c r="X167" s="2707">
        <f t="shared" si="63"/>
        <v>1.0596797671033498</v>
      </c>
      <c r="Y167" s="2708">
        <f t="shared" si="64"/>
        <v>4.0327954341339067</v>
      </c>
    </row>
    <row r="168" spans="1:25" ht="23.25" customHeight="1">
      <c r="A168" s="2600" t="s">
        <v>1550</v>
      </c>
      <c r="B168" s="2713">
        <v>6</v>
      </c>
      <c r="C168" s="2706">
        <v>208</v>
      </c>
      <c r="D168" s="3180">
        <v>246</v>
      </c>
      <c r="E168" s="3180"/>
      <c r="F168" s="2714">
        <v>478</v>
      </c>
      <c r="G168" s="2715">
        <v>850</v>
      </c>
      <c r="H168" s="2716">
        <v>112</v>
      </c>
      <c r="I168" s="2714">
        <v>1108</v>
      </c>
      <c r="J168" s="2717">
        <v>13794</v>
      </c>
      <c r="K168" s="2714">
        <v>180</v>
      </c>
      <c r="L168" s="2714">
        <v>380</v>
      </c>
      <c r="M168" s="2706">
        <f t="shared" si="74"/>
        <v>17362</v>
      </c>
      <c r="N168" s="2708">
        <v>1838</v>
      </c>
      <c r="O168" s="2708">
        <v>2025</v>
      </c>
      <c r="P168" s="2718">
        <v>1850</v>
      </c>
      <c r="Q168" s="2708">
        <v>1871</v>
      </c>
      <c r="R168" s="2719">
        <v>1956</v>
      </c>
      <c r="S168" s="2708">
        <v>8589</v>
      </c>
      <c r="T168" s="2708">
        <f t="shared" si="76"/>
        <v>18129</v>
      </c>
      <c r="U168" s="2719">
        <v>321</v>
      </c>
      <c r="V168" s="2708">
        <f t="shared" si="77"/>
        <v>18450</v>
      </c>
      <c r="W168" s="2706">
        <f t="shared" si="78"/>
        <v>35812</v>
      </c>
      <c r="X168" s="2707">
        <f t="shared" si="63"/>
        <v>0.66678262886299411</v>
      </c>
      <c r="Y168" s="2708">
        <f t="shared" si="64"/>
        <v>3.1273397454356866</v>
      </c>
    </row>
    <row r="169" spans="1:25" ht="23.25" customHeight="1">
      <c r="A169" s="2600" t="s">
        <v>1551</v>
      </c>
      <c r="B169" s="2713">
        <v>6</v>
      </c>
      <c r="C169" s="2706">
        <v>208</v>
      </c>
      <c r="D169" s="3180">
        <v>246</v>
      </c>
      <c r="E169" s="3180"/>
      <c r="F169" s="2714">
        <v>475</v>
      </c>
      <c r="G169" s="2715">
        <v>848</v>
      </c>
      <c r="H169" s="2716">
        <v>113</v>
      </c>
      <c r="I169" s="2714">
        <v>1090</v>
      </c>
      <c r="J169" s="2717">
        <v>13579</v>
      </c>
      <c r="K169" s="2714">
        <v>188</v>
      </c>
      <c r="L169" s="2714">
        <v>380</v>
      </c>
      <c r="M169" s="2706">
        <f t="shared" si="74"/>
        <v>17133</v>
      </c>
      <c r="N169" s="2708">
        <v>1948</v>
      </c>
      <c r="O169" s="2708">
        <v>2023</v>
      </c>
      <c r="P169" s="2718">
        <v>1850</v>
      </c>
      <c r="Q169" s="2708">
        <v>1867</v>
      </c>
      <c r="R169" s="2719">
        <v>1955</v>
      </c>
      <c r="S169" s="2708">
        <v>8555</v>
      </c>
      <c r="T169" s="2708">
        <f t="shared" si="76"/>
        <v>18198</v>
      </c>
      <c r="U169" s="2719">
        <v>319</v>
      </c>
      <c r="V169" s="2708">
        <f t="shared" si="77"/>
        <v>18517</v>
      </c>
      <c r="W169" s="2706">
        <f t="shared" si="78"/>
        <v>35650</v>
      </c>
      <c r="X169" s="2707">
        <f t="shared" si="63"/>
        <v>0.66983959104529589</v>
      </c>
      <c r="Y169" s="2708">
        <f t="shared" si="64"/>
        <v>3.4442735687548964</v>
      </c>
    </row>
    <row r="170" spans="1:25" ht="23.25" customHeight="1">
      <c r="A170" s="2600" t="s">
        <v>1552</v>
      </c>
      <c r="B170" s="2713">
        <v>6</v>
      </c>
      <c r="C170" s="2706">
        <v>205</v>
      </c>
      <c r="D170" s="3180">
        <v>244</v>
      </c>
      <c r="E170" s="3180"/>
      <c r="F170" s="2714">
        <v>474</v>
      </c>
      <c r="G170" s="2715">
        <v>844</v>
      </c>
      <c r="H170" s="2716">
        <v>112</v>
      </c>
      <c r="I170" s="2714">
        <v>1090</v>
      </c>
      <c r="J170" s="2717">
        <v>13574</v>
      </c>
      <c r="K170" s="2714">
        <v>187</v>
      </c>
      <c r="L170" s="2714">
        <v>380</v>
      </c>
      <c r="M170" s="2706">
        <f>SUM(B170:L170)</f>
        <v>17116</v>
      </c>
      <c r="N170" s="2708">
        <v>1947</v>
      </c>
      <c r="O170" s="2708">
        <v>1999</v>
      </c>
      <c r="P170" s="2718">
        <v>1835</v>
      </c>
      <c r="Q170" s="2708">
        <v>1848</v>
      </c>
      <c r="R170" s="2708">
        <v>1925</v>
      </c>
      <c r="S170" s="2708">
        <v>8548</v>
      </c>
      <c r="T170" s="2708">
        <f t="shared" si="76"/>
        <v>18102</v>
      </c>
      <c r="U170" s="2708">
        <v>319</v>
      </c>
      <c r="V170" s="2708">
        <f t="shared" si="77"/>
        <v>18421</v>
      </c>
      <c r="W170" s="2706">
        <f t="shared" si="78"/>
        <v>35537</v>
      </c>
      <c r="X170" s="2707">
        <f t="shared" si="63"/>
        <v>0.34001641458554221</v>
      </c>
      <c r="Y170" s="2708">
        <f t="shared" si="64"/>
        <v>3.1792578828174989</v>
      </c>
    </row>
    <row r="171" spans="1:25" ht="23.25" customHeight="1">
      <c r="A171" s="2600" t="s">
        <v>1553</v>
      </c>
      <c r="B171" s="2713">
        <v>6</v>
      </c>
      <c r="C171" s="2706">
        <v>13692</v>
      </c>
      <c r="D171" s="3180">
        <v>237</v>
      </c>
      <c r="E171" s="3180"/>
      <c r="F171" s="2714">
        <v>749</v>
      </c>
      <c r="G171" s="2715">
        <v>161</v>
      </c>
      <c r="H171" s="2716">
        <v>46</v>
      </c>
      <c r="I171" s="2714">
        <v>922</v>
      </c>
      <c r="J171" s="2717">
        <v>1060</v>
      </c>
      <c r="K171" s="2714">
        <v>188</v>
      </c>
      <c r="L171" s="2714">
        <v>381</v>
      </c>
      <c r="M171" s="2706">
        <f>SUM(B171:L171)</f>
        <v>17442</v>
      </c>
      <c r="N171" s="2708">
        <v>1945</v>
      </c>
      <c r="O171" s="2708">
        <v>1983</v>
      </c>
      <c r="P171" s="2718">
        <v>1833</v>
      </c>
      <c r="Q171" s="2708">
        <v>1871</v>
      </c>
      <c r="R171" s="2708">
        <v>1925</v>
      </c>
      <c r="S171" s="2708">
        <v>8708</v>
      </c>
      <c r="T171" s="2708">
        <f t="shared" si="76"/>
        <v>18265</v>
      </c>
      <c r="U171" s="2708">
        <v>319</v>
      </c>
      <c r="V171" s="2708">
        <f t="shared" si="77"/>
        <v>18584</v>
      </c>
      <c r="W171" s="2706">
        <f t="shared" si="78"/>
        <v>36026</v>
      </c>
      <c r="X171" s="2707">
        <f t="shared" si="63"/>
        <v>2.2511431586352382</v>
      </c>
      <c r="Y171" s="2708">
        <f t="shared" si="64"/>
        <v>4.3324645236026749</v>
      </c>
    </row>
    <row r="172" spans="1:25" ht="23.25" customHeight="1">
      <c r="A172" s="2600" t="s">
        <v>1554</v>
      </c>
      <c r="B172" s="2713">
        <v>7</v>
      </c>
      <c r="C172" s="2706">
        <v>105</v>
      </c>
      <c r="D172" s="3180">
        <v>233</v>
      </c>
      <c r="E172" s="3180"/>
      <c r="F172" s="2714">
        <v>631</v>
      </c>
      <c r="G172" s="2715">
        <v>159</v>
      </c>
      <c r="H172" s="2716">
        <v>860</v>
      </c>
      <c r="I172" s="2714">
        <v>1042</v>
      </c>
      <c r="J172" s="2717">
        <v>201</v>
      </c>
      <c r="K172" s="2714">
        <v>380</v>
      </c>
      <c r="L172" s="2714">
        <v>13906</v>
      </c>
      <c r="M172" s="2706">
        <f>SUM(B172:L172)</f>
        <v>17524</v>
      </c>
      <c r="N172" s="2708">
        <v>1995</v>
      </c>
      <c r="O172" s="2708">
        <v>2008</v>
      </c>
      <c r="P172" s="2718">
        <v>1850</v>
      </c>
      <c r="Q172" s="2708">
        <v>1872</v>
      </c>
      <c r="R172" s="2708">
        <v>1925</v>
      </c>
      <c r="S172" s="2708">
        <v>8682</v>
      </c>
      <c r="T172" s="2708">
        <f t="shared" si="76"/>
        <v>18332</v>
      </c>
      <c r="U172" s="2708">
        <v>319</v>
      </c>
      <c r="V172" s="2708">
        <f t="shared" si="77"/>
        <v>18651</v>
      </c>
      <c r="W172" s="2706">
        <f t="shared" si="78"/>
        <v>36175</v>
      </c>
      <c r="X172" s="2707">
        <f t="shared" si="63"/>
        <v>2.3359028264424264</v>
      </c>
      <c r="Y172" s="2708">
        <f t="shared" si="64"/>
        <v>2.8517002160809657</v>
      </c>
    </row>
    <row r="173" spans="1:25" ht="23.25" customHeight="1">
      <c r="A173" s="2600" t="s">
        <v>1555</v>
      </c>
      <c r="B173" s="2720">
        <v>6</v>
      </c>
      <c r="C173" s="2708">
        <v>214</v>
      </c>
      <c r="D173" s="2946">
        <v>198</v>
      </c>
      <c r="E173" s="2946"/>
      <c r="F173" s="1030">
        <v>554</v>
      </c>
      <c r="G173" s="1030">
        <v>583</v>
      </c>
      <c r="H173" s="2708">
        <v>14082</v>
      </c>
      <c r="I173" s="2721">
        <v>1149</v>
      </c>
      <c r="J173" s="2721">
        <v>141</v>
      </c>
      <c r="K173" s="2721">
        <v>254</v>
      </c>
      <c r="L173" s="2721"/>
      <c r="M173" s="2708">
        <f>SUM(B173:K173)</f>
        <v>17181</v>
      </c>
      <c r="N173" s="2708">
        <v>2026</v>
      </c>
      <c r="O173" s="2708">
        <v>1996</v>
      </c>
      <c r="P173" s="2708">
        <v>1622</v>
      </c>
      <c r="Q173" s="2708">
        <v>1724</v>
      </c>
      <c r="R173" s="2708">
        <v>1879</v>
      </c>
      <c r="S173" s="2708">
        <v>7990</v>
      </c>
      <c r="T173" s="2708">
        <f t="shared" si="76"/>
        <v>17237</v>
      </c>
      <c r="U173" s="2708">
        <v>285</v>
      </c>
      <c r="V173" s="2708">
        <f t="shared" ref="V173:V236" si="79">SUM(T173:U173)</f>
        <v>17522</v>
      </c>
      <c r="W173" s="2706">
        <f t="shared" ref="W173:W236" si="80">SUM(M173:U173)-T173</f>
        <v>34703</v>
      </c>
      <c r="X173" s="2707">
        <f t="shared" si="63"/>
        <v>-1.7049030264889242</v>
      </c>
      <c r="Y173" s="2708">
        <f t="shared" si="64"/>
        <v>3.5014465089922231</v>
      </c>
    </row>
    <row r="174" spans="1:25" ht="23.25" customHeight="1">
      <c r="A174" s="2600" t="s">
        <v>1556</v>
      </c>
      <c r="B174" s="2720">
        <v>7</v>
      </c>
      <c r="C174" s="2708">
        <v>227</v>
      </c>
      <c r="D174" s="2946">
        <v>156</v>
      </c>
      <c r="E174" s="2946"/>
      <c r="F174" s="1030">
        <v>452</v>
      </c>
      <c r="G174" s="1030">
        <v>655</v>
      </c>
      <c r="H174" s="2708">
        <v>100</v>
      </c>
      <c r="I174" s="2721">
        <v>1208</v>
      </c>
      <c r="J174" s="2721">
        <v>13964</v>
      </c>
      <c r="K174" s="2721">
        <v>122</v>
      </c>
      <c r="L174" s="2721">
        <v>269</v>
      </c>
      <c r="M174" s="2708">
        <f>SUM(B174:L174)</f>
        <v>17160</v>
      </c>
      <c r="N174" s="2708">
        <v>1714</v>
      </c>
      <c r="O174" s="2708">
        <v>1991</v>
      </c>
      <c r="P174" s="2708">
        <v>1620</v>
      </c>
      <c r="Q174" s="2708">
        <v>1722</v>
      </c>
      <c r="R174" s="2708">
        <v>1868</v>
      </c>
      <c r="S174" s="2708">
        <v>7990</v>
      </c>
      <c r="T174" s="2708">
        <f t="shared" si="76"/>
        <v>16905</v>
      </c>
      <c r="U174" s="2708">
        <v>284</v>
      </c>
      <c r="V174" s="2708">
        <f t="shared" si="79"/>
        <v>17189</v>
      </c>
      <c r="W174" s="2706">
        <f t="shared" si="80"/>
        <v>34349</v>
      </c>
      <c r="X174" s="2707">
        <f t="shared" si="63"/>
        <v>-2.0827389443651922</v>
      </c>
      <c r="Y174" s="2708">
        <f t="shared" si="64"/>
        <v>2.3174763933156539</v>
      </c>
    </row>
    <row r="175" spans="1:25" ht="23.25" customHeight="1">
      <c r="A175" s="2600" t="s">
        <v>1557</v>
      </c>
      <c r="B175" s="2720">
        <v>7</v>
      </c>
      <c r="C175" s="2708">
        <v>236</v>
      </c>
      <c r="D175" s="2946">
        <v>153</v>
      </c>
      <c r="E175" s="2946"/>
      <c r="F175" s="1030">
        <v>593</v>
      </c>
      <c r="G175" s="1030">
        <v>651</v>
      </c>
      <c r="H175" s="2708">
        <v>89</v>
      </c>
      <c r="I175" s="2721">
        <v>1174</v>
      </c>
      <c r="J175" s="2721">
        <v>13754</v>
      </c>
      <c r="K175" s="2721">
        <v>122</v>
      </c>
      <c r="L175" s="2721">
        <v>263</v>
      </c>
      <c r="M175" s="2708">
        <f>SUM(B175:L175)</f>
        <v>17042</v>
      </c>
      <c r="N175" s="2708">
        <v>1704</v>
      </c>
      <c r="O175" s="2708">
        <v>1972</v>
      </c>
      <c r="P175" s="2708">
        <v>1614</v>
      </c>
      <c r="Q175" s="2708">
        <v>1723</v>
      </c>
      <c r="R175" s="2708">
        <v>1865</v>
      </c>
      <c r="S175" s="2708">
        <v>8129</v>
      </c>
      <c r="T175" s="2708">
        <f t="shared" si="76"/>
        <v>17007</v>
      </c>
      <c r="U175" s="2708">
        <v>296</v>
      </c>
      <c r="V175" s="2708">
        <f t="shared" si="79"/>
        <v>17303</v>
      </c>
      <c r="W175" s="2706">
        <f t="shared" si="80"/>
        <v>34345</v>
      </c>
      <c r="X175" s="2707">
        <f t="shared" si="63"/>
        <v>-1.2973473879300368</v>
      </c>
      <c r="Y175" s="2708">
        <f t="shared" si="64"/>
        <v>3.3709556057185841</v>
      </c>
    </row>
    <row r="176" spans="1:25" ht="23.25" customHeight="1">
      <c r="A176" s="2600" t="s">
        <v>1558</v>
      </c>
      <c r="B176" s="2720">
        <v>7</v>
      </c>
      <c r="C176" s="2708">
        <v>278</v>
      </c>
      <c r="D176" s="2946">
        <v>190</v>
      </c>
      <c r="E176" s="2946"/>
      <c r="F176" s="1030">
        <v>510</v>
      </c>
      <c r="G176" s="1030">
        <v>763</v>
      </c>
      <c r="H176" s="2708">
        <v>95</v>
      </c>
      <c r="I176" s="2721">
        <v>1142</v>
      </c>
      <c r="J176" s="2721">
        <v>13636</v>
      </c>
      <c r="K176" s="2721">
        <v>186</v>
      </c>
      <c r="L176" s="2721">
        <v>353</v>
      </c>
      <c r="M176" s="2708">
        <f>SUM(B176:L176)</f>
        <v>17160</v>
      </c>
      <c r="N176" s="2708">
        <v>1802</v>
      </c>
      <c r="O176" s="2708">
        <v>1971</v>
      </c>
      <c r="P176" s="2708">
        <v>1604</v>
      </c>
      <c r="Q176" s="2708">
        <v>1711</v>
      </c>
      <c r="R176" s="2708">
        <v>1850</v>
      </c>
      <c r="S176" s="2708">
        <v>8123</v>
      </c>
      <c r="T176" s="2708">
        <f t="shared" si="76"/>
        <v>17061</v>
      </c>
      <c r="U176" s="2708">
        <v>295</v>
      </c>
      <c r="V176" s="2708">
        <f t="shared" si="79"/>
        <v>17356</v>
      </c>
      <c r="W176" s="2706">
        <f t="shared" si="80"/>
        <v>34516</v>
      </c>
      <c r="X176" s="2707">
        <f t="shared" si="63"/>
        <v>-0.76909732261608577</v>
      </c>
      <c r="Y176" s="2708">
        <f t="shared" si="64"/>
        <v>3.3939430248929092</v>
      </c>
    </row>
    <row r="177" spans="1:29" ht="23.25" customHeight="1">
      <c r="A177" s="2600" t="s">
        <v>1559</v>
      </c>
      <c r="B177" s="2720">
        <v>7</v>
      </c>
      <c r="C177" s="2708">
        <v>274</v>
      </c>
      <c r="D177" s="2946">
        <v>190</v>
      </c>
      <c r="E177" s="2946"/>
      <c r="F177" s="1030">
        <v>510</v>
      </c>
      <c r="G177" s="1030">
        <v>762</v>
      </c>
      <c r="H177" s="2708">
        <v>95</v>
      </c>
      <c r="I177" s="2721">
        <v>1143</v>
      </c>
      <c r="J177" s="2721">
        <v>13628</v>
      </c>
      <c r="K177" s="2721">
        <v>196</v>
      </c>
      <c r="L177" s="2721">
        <v>353</v>
      </c>
      <c r="M177" s="2708">
        <f>SUM(B177:L177)</f>
        <v>17158</v>
      </c>
      <c r="N177" s="2708">
        <v>1801</v>
      </c>
      <c r="O177" s="2708">
        <v>1970</v>
      </c>
      <c r="P177" s="2708">
        <v>1622</v>
      </c>
      <c r="Q177" s="2708">
        <v>1714</v>
      </c>
      <c r="R177" s="2708">
        <v>1849</v>
      </c>
      <c r="S177" s="2708">
        <v>8124</v>
      </c>
      <c r="T177" s="2708">
        <f t="shared" si="76"/>
        <v>17080</v>
      </c>
      <c r="U177" s="2708">
        <v>295</v>
      </c>
      <c r="V177" s="2708">
        <f t="shared" si="79"/>
        <v>17375</v>
      </c>
      <c r="W177" s="2706">
        <f t="shared" si="80"/>
        <v>34533</v>
      </c>
      <c r="X177" s="2707">
        <f t="shared" si="63"/>
        <v>-0.79787234042553168</v>
      </c>
      <c r="Y177" s="2708">
        <f t="shared" si="64"/>
        <v>2.9422285816490756</v>
      </c>
    </row>
    <row r="178" spans="1:29" ht="23.25" customHeight="1">
      <c r="A178" s="2600" t="s">
        <v>1560</v>
      </c>
      <c r="B178" s="2720">
        <v>7</v>
      </c>
      <c r="C178" s="2708">
        <v>276</v>
      </c>
      <c r="D178" s="2946">
        <v>190</v>
      </c>
      <c r="E178" s="2946"/>
      <c r="F178" s="1030">
        <v>509</v>
      </c>
      <c r="G178" s="1030">
        <v>761</v>
      </c>
      <c r="H178" s="2708">
        <v>95</v>
      </c>
      <c r="I178" s="2721">
        <v>1141</v>
      </c>
      <c r="J178" s="2721">
        <v>13679</v>
      </c>
      <c r="K178" s="2721">
        <v>196</v>
      </c>
      <c r="L178" s="2721">
        <v>353</v>
      </c>
      <c r="M178" s="2708">
        <f t="shared" ref="M178:M184" si="81">SUM(B178:L178)</f>
        <v>17207</v>
      </c>
      <c r="N178" s="2708">
        <v>1799</v>
      </c>
      <c r="O178" s="2708">
        <v>1969</v>
      </c>
      <c r="P178" s="2708">
        <v>1621</v>
      </c>
      <c r="Q178" s="2708">
        <v>1713</v>
      </c>
      <c r="R178" s="2708">
        <v>1848</v>
      </c>
      <c r="S178" s="2708">
        <v>8109</v>
      </c>
      <c r="T178" s="2708">
        <f t="shared" si="76"/>
        <v>17059</v>
      </c>
      <c r="U178" s="2708">
        <v>294</v>
      </c>
      <c r="V178" s="2708">
        <f t="shared" si="79"/>
        <v>17353</v>
      </c>
      <c r="W178" s="2706">
        <f t="shared" si="80"/>
        <v>34560</v>
      </c>
      <c r="X178" s="2707">
        <f t="shared" ref="X178:X241" si="82">(M178/M190-1)*100</f>
        <v>0.18631732168850057</v>
      </c>
      <c r="Y178" s="2708">
        <f t="shared" ref="Y178:Y208" si="83">(W178/W190-1)*100</f>
        <v>3.0042918454935563</v>
      </c>
    </row>
    <row r="179" spans="1:29" ht="23.25" customHeight="1">
      <c r="A179" s="2600" t="s">
        <v>1561</v>
      </c>
      <c r="B179" s="2720">
        <v>7</v>
      </c>
      <c r="C179" s="2708">
        <v>276</v>
      </c>
      <c r="D179" s="2946">
        <v>190</v>
      </c>
      <c r="E179" s="2946"/>
      <c r="F179" s="1030">
        <v>511</v>
      </c>
      <c r="G179" s="1030">
        <v>772</v>
      </c>
      <c r="H179" s="2708">
        <v>109</v>
      </c>
      <c r="I179" s="2721">
        <v>1138</v>
      </c>
      <c r="J179" s="2721">
        <v>13628</v>
      </c>
      <c r="K179" s="2721">
        <v>193</v>
      </c>
      <c r="L179" s="2721">
        <v>351</v>
      </c>
      <c r="M179" s="2708">
        <f t="shared" si="81"/>
        <v>17175</v>
      </c>
      <c r="N179" s="2708">
        <v>1799</v>
      </c>
      <c r="O179" s="2708">
        <v>1972</v>
      </c>
      <c r="P179" s="2708">
        <v>1621</v>
      </c>
      <c r="Q179" s="2708">
        <v>1713</v>
      </c>
      <c r="R179" s="2708">
        <v>1847</v>
      </c>
      <c r="S179" s="2708">
        <v>8095</v>
      </c>
      <c r="T179" s="2708">
        <f t="shared" si="76"/>
        <v>17047</v>
      </c>
      <c r="U179" s="2708">
        <v>295</v>
      </c>
      <c r="V179" s="2708">
        <f t="shared" si="79"/>
        <v>17342</v>
      </c>
      <c r="W179" s="2706">
        <f t="shared" si="80"/>
        <v>34517</v>
      </c>
      <c r="X179" s="2707">
        <f t="shared" si="82"/>
        <v>6.9917846530320737E-2</v>
      </c>
      <c r="Y179" s="2708">
        <f t="shared" si="83"/>
        <v>2.646682725191063</v>
      </c>
    </row>
    <row r="180" spans="1:29" ht="23.25" customHeight="1">
      <c r="A180" s="2600" t="s">
        <v>1562</v>
      </c>
      <c r="B180" s="2720">
        <v>7</v>
      </c>
      <c r="C180" s="2708">
        <v>277</v>
      </c>
      <c r="D180" s="2946">
        <v>185</v>
      </c>
      <c r="E180" s="2946"/>
      <c r="F180" s="1030">
        <v>597</v>
      </c>
      <c r="G180" s="1030">
        <v>772</v>
      </c>
      <c r="H180" s="2708">
        <v>109</v>
      </c>
      <c r="I180" s="2721">
        <v>1136</v>
      </c>
      <c r="J180" s="2721">
        <v>13609</v>
      </c>
      <c r="K180" s="2721">
        <v>203</v>
      </c>
      <c r="L180" s="2721">
        <v>352</v>
      </c>
      <c r="M180" s="2708">
        <f t="shared" si="81"/>
        <v>17247</v>
      </c>
      <c r="N180" s="2708">
        <v>1799</v>
      </c>
      <c r="O180" s="2708">
        <v>1969</v>
      </c>
      <c r="P180" s="2708">
        <v>1686</v>
      </c>
      <c r="Q180" s="2708">
        <v>1746</v>
      </c>
      <c r="R180" s="2708">
        <v>1847</v>
      </c>
      <c r="S180" s="2708">
        <v>8137</v>
      </c>
      <c r="T180" s="2708">
        <f t="shared" si="76"/>
        <v>17184</v>
      </c>
      <c r="U180" s="2708">
        <v>295</v>
      </c>
      <c r="V180" s="2708">
        <f t="shared" si="79"/>
        <v>17479</v>
      </c>
      <c r="W180" s="2706">
        <f t="shared" si="80"/>
        <v>34726</v>
      </c>
      <c r="X180" s="2707">
        <f t="shared" si="82"/>
        <v>0.55387126865671377</v>
      </c>
      <c r="Y180" s="2708">
        <f t="shared" si="83"/>
        <v>3.2190946110632224</v>
      </c>
    </row>
    <row r="181" spans="1:29" ht="23.25" customHeight="1">
      <c r="A181" s="2600" t="s">
        <v>1563</v>
      </c>
      <c r="B181" s="2720">
        <v>7</v>
      </c>
      <c r="C181" s="2708">
        <v>285</v>
      </c>
      <c r="D181" s="2946">
        <v>189</v>
      </c>
      <c r="E181" s="2946"/>
      <c r="F181" s="1030">
        <v>500</v>
      </c>
      <c r="G181" s="1030">
        <v>784</v>
      </c>
      <c r="H181" s="2708">
        <v>114</v>
      </c>
      <c r="I181" s="2721">
        <v>1125</v>
      </c>
      <c r="J181" s="2721">
        <v>13447</v>
      </c>
      <c r="K181" s="2721">
        <v>205</v>
      </c>
      <c r="L181" s="2721">
        <v>363</v>
      </c>
      <c r="M181" s="2708">
        <f t="shared" si="81"/>
        <v>17019</v>
      </c>
      <c r="N181" s="2708">
        <v>1776</v>
      </c>
      <c r="O181" s="2708">
        <v>1946</v>
      </c>
      <c r="P181" s="2708">
        <v>1683</v>
      </c>
      <c r="Q181" s="2708">
        <v>1836</v>
      </c>
      <c r="R181" s="2722">
        <v>1846</v>
      </c>
      <c r="S181" s="2708">
        <v>8069</v>
      </c>
      <c r="T181" s="2708">
        <f t="shared" si="76"/>
        <v>17156</v>
      </c>
      <c r="U181" s="2708">
        <v>288</v>
      </c>
      <c r="V181" s="2708">
        <f t="shared" si="79"/>
        <v>17444</v>
      </c>
      <c r="W181" s="2706">
        <f t="shared" si="80"/>
        <v>34463</v>
      </c>
      <c r="X181" s="2707">
        <f t="shared" si="82"/>
        <v>-0.61317449194113749</v>
      </c>
      <c r="Y181" s="2708">
        <f t="shared" si="83"/>
        <v>2.4008319714752702</v>
      </c>
    </row>
    <row r="182" spans="1:29" ht="23.25" customHeight="1">
      <c r="A182" s="2600" t="s">
        <v>1564</v>
      </c>
      <c r="B182" s="2720">
        <v>7</v>
      </c>
      <c r="C182" s="2708">
        <v>286</v>
      </c>
      <c r="D182" s="2946">
        <v>201</v>
      </c>
      <c r="E182" s="2946"/>
      <c r="F182" s="1030">
        <v>514</v>
      </c>
      <c r="G182" s="1030">
        <v>805</v>
      </c>
      <c r="H182" s="2708">
        <v>116</v>
      </c>
      <c r="I182" s="2721">
        <v>1125</v>
      </c>
      <c r="J182" s="2721">
        <v>13413</v>
      </c>
      <c r="K182" s="2721">
        <v>216</v>
      </c>
      <c r="L182" s="2721">
        <v>375</v>
      </c>
      <c r="M182" s="2708">
        <f t="shared" si="81"/>
        <v>17058</v>
      </c>
      <c r="N182" s="2708">
        <v>1773</v>
      </c>
      <c r="O182" s="2708">
        <v>1952</v>
      </c>
      <c r="P182" s="2708">
        <v>1667</v>
      </c>
      <c r="Q182" s="2708">
        <v>1816</v>
      </c>
      <c r="R182" s="2708">
        <v>1834</v>
      </c>
      <c r="S182" s="2708">
        <v>8054</v>
      </c>
      <c r="T182" s="2708">
        <f t="shared" si="76"/>
        <v>17096</v>
      </c>
      <c r="U182" s="2708">
        <v>288</v>
      </c>
      <c r="V182" s="2708">
        <f t="shared" si="79"/>
        <v>17384</v>
      </c>
      <c r="W182" s="2706">
        <f t="shared" si="80"/>
        <v>34442</v>
      </c>
      <c r="X182" s="2707">
        <f t="shared" si="82"/>
        <v>-0.33304119193690029</v>
      </c>
      <c r="Y182" s="2708">
        <f t="shared" si="83"/>
        <v>2.2139126305793067</v>
      </c>
    </row>
    <row r="183" spans="1:29" ht="23.25" customHeight="1">
      <c r="A183" s="2600" t="s">
        <v>1565</v>
      </c>
      <c r="B183" s="2720">
        <v>6</v>
      </c>
      <c r="C183" s="2708">
        <v>287</v>
      </c>
      <c r="D183" s="2946">
        <v>204</v>
      </c>
      <c r="E183" s="2946"/>
      <c r="F183" s="1030">
        <v>512</v>
      </c>
      <c r="G183" s="1030">
        <v>887</v>
      </c>
      <c r="H183" s="2708">
        <v>115</v>
      </c>
      <c r="I183" s="2721">
        <v>1048</v>
      </c>
      <c r="J183" s="2721">
        <v>13414</v>
      </c>
      <c r="K183" s="2721">
        <v>210</v>
      </c>
      <c r="L183" s="2721">
        <v>375</v>
      </c>
      <c r="M183" s="2708">
        <f t="shared" si="81"/>
        <v>17058</v>
      </c>
      <c r="N183" s="2708">
        <v>1766</v>
      </c>
      <c r="O183" s="2708">
        <v>1947</v>
      </c>
      <c r="P183" s="2708">
        <v>1666</v>
      </c>
      <c r="Q183" s="2708">
        <v>1810</v>
      </c>
      <c r="R183" s="2708">
        <v>1951</v>
      </c>
      <c r="S183" s="2708">
        <v>8045</v>
      </c>
      <c r="T183" s="2708">
        <f t="shared" si="76"/>
        <v>17185</v>
      </c>
      <c r="U183" s="2708">
        <v>287</v>
      </c>
      <c r="V183" s="2708">
        <f t="shared" si="79"/>
        <v>17472</v>
      </c>
      <c r="W183" s="2706">
        <f t="shared" si="80"/>
        <v>34530</v>
      </c>
      <c r="X183" s="2707">
        <f t="shared" si="82"/>
        <v>-0.24561403508771562</v>
      </c>
      <c r="Y183" s="2708">
        <f t="shared" si="83"/>
        <v>1.7233760494918204</v>
      </c>
    </row>
    <row r="184" spans="1:29" ht="23.25" customHeight="1">
      <c r="A184" s="2600" t="s">
        <v>1566</v>
      </c>
      <c r="B184" s="2720">
        <v>7</v>
      </c>
      <c r="C184" s="2708">
        <v>276</v>
      </c>
      <c r="D184" s="2946">
        <v>201</v>
      </c>
      <c r="E184" s="2946"/>
      <c r="F184" s="1030">
        <v>509</v>
      </c>
      <c r="G184" s="1030">
        <v>890</v>
      </c>
      <c r="H184" s="2708">
        <v>111</v>
      </c>
      <c r="I184" s="2721">
        <v>1060</v>
      </c>
      <c r="J184" s="2721">
        <v>13572</v>
      </c>
      <c r="K184" s="2721">
        <v>175</v>
      </c>
      <c r="L184" s="2721">
        <v>323</v>
      </c>
      <c r="M184" s="2708">
        <f t="shared" si="81"/>
        <v>17124</v>
      </c>
      <c r="N184" s="2708">
        <v>1804</v>
      </c>
      <c r="O184" s="2708">
        <v>2043</v>
      </c>
      <c r="P184" s="2708">
        <v>1745</v>
      </c>
      <c r="Q184" s="2708">
        <v>1811</v>
      </c>
      <c r="R184" s="2708">
        <v>1988</v>
      </c>
      <c r="S184" s="2708">
        <v>8367</v>
      </c>
      <c r="T184" s="2708">
        <f t="shared" si="76"/>
        <v>17758</v>
      </c>
      <c r="U184" s="2708">
        <v>290</v>
      </c>
      <c r="V184" s="2708">
        <f t="shared" si="79"/>
        <v>18048</v>
      </c>
      <c r="W184" s="2706">
        <f t="shared" si="80"/>
        <v>35172</v>
      </c>
      <c r="X184" s="2707">
        <f t="shared" si="82"/>
        <v>0.16964024568586478</v>
      </c>
      <c r="Y184" s="2708">
        <f t="shared" si="83"/>
        <v>3.0832356389214555</v>
      </c>
    </row>
    <row r="185" spans="1:29" ht="23.25" customHeight="1">
      <c r="A185" s="2600" t="s">
        <v>1567</v>
      </c>
      <c r="B185" s="2720">
        <v>7</v>
      </c>
      <c r="C185" s="2708">
        <v>270</v>
      </c>
      <c r="D185" s="2946">
        <v>194</v>
      </c>
      <c r="E185" s="2946"/>
      <c r="F185" s="1030">
        <v>483</v>
      </c>
      <c r="G185" s="1030">
        <v>695</v>
      </c>
      <c r="H185" s="2708">
        <v>14409</v>
      </c>
      <c r="I185" s="2721">
        <v>1151</v>
      </c>
      <c r="J185" s="2721"/>
      <c r="K185" s="2721">
        <v>270</v>
      </c>
      <c r="L185" s="2721"/>
      <c r="M185" s="2708">
        <f t="shared" ref="M185:M248" si="84">SUM(B185:K185)</f>
        <v>17479</v>
      </c>
      <c r="N185" s="2708">
        <v>1615</v>
      </c>
      <c r="O185" s="2708">
        <v>1851</v>
      </c>
      <c r="P185" s="2708">
        <v>1577</v>
      </c>
      <c r="Q185" s="2708">
        <v>1603</v>
      </c>
      <c r="R185" s="2708">
        <v>1765</v>
      </c>
      <c r="S185" s="2708">
        <v>7358</v>
      </c>
      <c r="T185" s="2708">
        <f t="shared" si="76"/>
        <v>15769</v>
      </c>
      <c r="U185" s="2708">
        <v>281</v>
      </c>
      <c r="V185" s="2708">
        <f t="shared" si="79"/>
        <v>16050</v>
      </c>
      <c r="W185" s="2706">
        <f t="shared" si="80"/>
        <v>33529</v>
      </c>
      <c r="X185" s="2707">
        <f t="shared" si="82"/>
        <v>-1.6043683854987667</v>
      </c>
      <c r="Y185" s="2708">
        <f t="shared" si="83"/>
        <v>-0.97463008358191772</v>
      </c>
    </row>
    <row r="186" spans="1:29" ht="23.25" customHeight="1">
      <c r="A186" s="2600" t="s">
        <v>1568</v>
      </c>
      <c r="B186" s="2720">
        <v>7</v>
      </c>
      <c r="C186" s="2708">
        <v>270</v>
      </c>
      <c r="D186" s="2946">
        <v>194</v>
      </c>
      <c r="E186" s="2946"/>
      <c r="F186" s="1030">
        <v>538</v>
      </c>
      <c r="G186" s="1030">
        <v>694</v>
      </c>
      <c r="H186" s="2708">
        <v>14403</v>
      </c>
      <c r="I186" s="2721">
        <v>1148</v>
      </c>
      <c r="J186" s="2721"/>
      <c r="K186" s="2721">
        <v>271</v>
      </c>
      <c r="L186" s="2721"/>
      <c r="M186" s="2708">
        <f t="shared" si="84"/>
        <v>17525</v>
      </c>
      <c r="N186" s="2708">
        <v>1616</v>
      </c>
      <c r="O186" s="2708">
        <v>1846</v>
      </c>
      <c r="P186" s="2708">
        <v>1577</v>
      </c>
      <c r="Q186" s="2708">
        <v>1606</v>
      </c>
      <c r="R186" s="2708">
        <v>1765</v>
      </c>
      <c r="S186" s="2708">
        <v>7355</v>
      </c>
      <c r="T186" s="2708">
        <f t="shared" si="76"/>
        <v>15765</v>
      </c>
      <c r="U186" s="2708">
        <v>281</v>
      </c>
      <c r="V186" s="2708">
        <f t="shared" si="79"/>
        <v>16046</v>
      </c>
      <c r="W186" s="2706">
        <f t="shared" si="80"/>
        <v>33571</v>
      </c>
      <c r="X186" s="2707">
        <f t="shared" si="82"/>
        <v>-1.3120846942223263</v>
      </c>
      <c r="Y186" s="2708">
        <f t="shared" si="83"/>
        <v>-0.75092387287509776</v>
      </c>
    </row>
    <row r="187" spans="1:29" ht="23.25" customHeight="1">
      <c r="A187" s="2600" t="s">
        <v>1569</v>
      </c>
      <c r="B187" s="2720">
        <v>7</v>
      </c>
      <c r="C187" s="2708">
        <v>278</v>
      </c>
      <c r="D187" s="2946">
        <v>194</v>
      </c>
      <c r="E187" s="2946"/>
      <c r="F187" s="1030">
        <v>485</v>
      </c>
      <c r="G187" s="1030">
        <v>691</v>
      </c>
      <c r="H187" s="2708">
        <v>14173</v>
      </c>
      <c r="I187" s="2721">
        <v>1149</v>
      </c>
      <c r="J187" s="2721"/>
      <c r="K187" s="2721">
        <v>289</v>
      </c>
      <c r="L187" s="2721"/>
      <c r="M187" s="2708">
        <f t="shared" si="84"/>
        <v>17266</v>
      </c>
      <c r="N187" s="2708">
        <v>1596</v>
      </c>
      <c r="O187" s="2708">
        <v>1827</v>
      </c>
      <c r="P187" s="2708">
        <v>1569</v>
      </c>
      <c r="Q187" s="2708">
        <v>1596</v>
      </c>
      <c r="R187" s="2708">
        <v>1709</v>
      </c>
      <c r="S187" s="2708">
        <v>7381</v>
      </c>
      <c r="T187" s="2708">
        <f t="shared" si="76"/>
        <v>15678</v>
      </c>
      <c r="U187" s="2708">
        <v>281</v>
      </c>
      <c r="V187" s="2708">
        <f t="shared" si="79"/>
        <v>15959</v>
      </c>
      <c r="W187" s="2706">
        <f t="shared" si="80"/>
        <v>33225</v>
      </c>
      <c r="X187" s="2707">
        <f t="shared" si="82"/>
        <v>-1.1959942775393473</v>
      </c>
      <c r="Y187" s="2708">
        <f t="shared" si="83"/>
        <v>-0.51203736974487768</v>
      </c>
    </row>
    <row r="188" spans="1:29">
      <c r="A188" s="2600" t="s">
        <v>1570</v>
      </c>
      <c r="B188" s="2720">
        <v>7</v>
      </c>
      <c r="C188" s="2708">
        <v>213</v>
      </c>
      <c r="D188" s="2946">
        <v>193</v>
      </c>
      <c r="E188" s="2946"/>
      <c r="F188" s="1030">
        <v>484</v>
      </c>
      <c r="G188" s="1030">
        <v>690</v>
      </c>
      <c r="H188" s="2708">
        <v>14202</v>
      </c>
      <c r="I188" s="2721">
        <v>1151</v>
      </c>
      <c r="J188" s="2721">
        <v>128</v>
      </c>
      <c r="K188" s="2721">
        <v>225</v>
      </c>
      <c r="L188" s="2721"/>
      <c r="M188" s="2708">
        <f t="shared" si="84"/>
        <v>17293</v>
      </c>
      <c r="N188" s="2708">
        <v>1618</v>
      </c>
      <c r="O188" s="2708">
        <v>1901</v>
      </c>
      <c r="P188" s="2708">
        <v>1562</v>
      </c>
      <c r="Q188" s="2708">
        <v>1612</v>
      </c>
      <c r="R188" s="2708">
        <v>1718</v>
      </c>
      <c r="S188" s="2708">
        <v>7384</v>
      </c>
      <c r="T188" s="2708">
        <f t="shared" si="76"/>
        <v>15795</v>
      </c>
      <c r="U188" s="2708">
        <v>295</v>
      </c>
      <c r="V188" s="2708">
        <f t="shared" si="79"/>
        <v>16090</v>
      </c>
      <c r="W188" s="2706">
        <f t="shared" si="80"/>
        <v>33383</v>
      </c>
      <c r="X188" s="2707">
        <f t="shared" si="82"/>
        <v>-1.0697940503432535</v>
      </c>
      <c r="Y188" s="2708">
        <f t="shared" si="83"/>
        <v>-0.65174691982620159</v>
      </c>
    </row>
    <row r="189" spans="1:29" ht="23.25" customHeight="1">
      <c r="A189" s="2605" t="s">
        <v>1571</v>
      </c>
      <c r="B189" s="2720">
        <v>7</v>
      </c>
      <c r="C189" s="2708">
        <v>216</v>
      </c>
      <c r="D189" s="2946">
        <v>203</v>
      </c>
      <c r="E189" s="2946"/>
      <c r="F189" s="1030">
        <v>490</v>
      </c>
      <c r="G189" s="1030">
        <v>692</v>
      </c>
      <c r="H189" s="2708">
        <v>14169</v>
      </c>
      <c r="I189" s="2721">
        <v>1151</v>
      </c>
      <c r="J189" s="2721">
        <v>138</v>
      </c>
      <c r="K189" s="2721">
        <v>230</v>
      </c>
      <c r="L189" s="2721"/>
      <c r="M189" s="2708">
        <f t="shared" si="84"/>
        <v>17296</v>
      </c>
      <c r="N189" s="2708">
        <v>1636</v>
      </c>
      <c r="O189" s="2708">
        <v>1903</v>
      </c>
      <c r="P189" s="2708">
        <v>1565</v>
      </c>
      <c r="Q189" s="2708">
        <v>1612</v>
      </c>
      <c r="R189" s="2708">
        <v>1722</v>
      </c>
      <c r="S189" s="2708">
        <v>7517</v>
      </c>
      <c r="T189" s="2708">
        <f t="shared" si="76"/>
        <v>15955</v>
      </c>
      <c r="U189" s="2708">
        <v>295</v>
      </c>
      <c r="V189" s="2708">
        <f t="shared" si="79"/>
        <v>16250</v>
      </c>
      <c r="W189" s="2706">
        <f t="shared" si="80"/>
        <v>33546</v>
      </c>
      <c r="X189" s="2707">
        <f t="shared" si="82"/>
        <v>-1.3854837790067798</v>
      </c>
      <c r="Y189" s="2708">
        <f t="shared" si="83"/>
        <v>-0.26460532183737451</v>
      </c>
      <c r="AA189" s="310">
        <f>SUM(N199:U199)</f>
        <v>31559</v>
      </c>
    </row>
    <row r="190" spans="1:29" ht="23.25" customHeight="1">
      <c r="A190" s="2605" t="s">
        <v>1572</v>
      </c>
      <c r="B190" s="2720">
        <v>7</v>
      </c>
      <c r="C190" s="2708">
        <v>216</v>
      </c>
      <c r="D190" s="2946">
        <v>202</v>
      </c>
      <c r="E190" s="2946"/>
      <c r="F190" s="1030">
        <v>489</v>
      </c>
      <c r="G190" s="1030">
        <v>592</v>
      </c>
      <c r="H190" s="2708">
        <v>14150</v>
      </c>
      <c r="I190" s="2721">
        <v>1151</v>
      </c>
      <c r="J190" s="2721">
        <v>138</v>
      </c>
      <c r="K190" s="2721">
        <v>230</v>
      </c>
      <c r="L190" s="2721"/>
      <c r="M190" s="2708">
        <f t="shared" si="84"/>
        <v>17175</v>
      </c>
      <c r="N190" s="2708">
        <v>1634</v>
      </c>
      <c r="O190" s="2708">
        <v>1895</v>
      </c>
      <c r="P190" s="2708">
        <v>1564</v>
      </c>
      <c r="Q190" s="2708">
        <v>1647</v>
      </c>
      <c r="R190" s="2708">
        <v>1723</v>
      </c>
      <c r="S190" s="2708">
        <v>7621</v>
      </c>
      <c r="T190" s="2708">
        <f t="shared" si="76"/>
        <v>16084</v>
      </c>
      <c r="U190" s="2708">
        <v>293</v>
      </c>
      <c r="V190" s="2708">
        <f t="shared" si="79"/>
        <v>16377</v>
      </c>
      <c r="W190" s="2706">
        <f t="shared" si="80"/>
        <v>33552</v>
      </c>
      <c r="X190" s="2707">
        <f t="shared" si="82"/>
        <v>-2.0139205842081287</v>
      </c>
      <c r="Y190" s="2708">
        <f t="shared" si="83"/>
        <v>0.41300053869635089</v>
      </c>
      <c r="AA190" s="310">
        <f>SUM(N200:U200)</f>
        <v>31960</v>
      </c>
      <c r="AB190" s="1280"/>
      <c r="AC190" s="1280"/>
    </row>
    <row r="191" spans="1:29" ht="23.25" customHeight="1">
      <c r="A191" s="2605" t="s">
        <v>1573</v>
      </c>
      <c r="B191" s="2720">
        <v>7</v>
      </c>
      <c r="C191" s="2708">
        <v>216</v>
      </c>
      <c r="D191" s="2946">
        <v>201</v>
      </c>
      <c r="E191" s="2946"/>
      <c r="F191" s="1030">
        <v>490</v>
      </c>
      <c r="G191" s="1030">
        <v>589</v>
      </c>
      <c r="H191" s="2708">
        <v>14137</v>
      </c>
      <c r="I191" s="2721">
        <v>1156</v>
      </c>
      <c r="J191" s="2721">
        <v>138</v>
      </c>
      <c r="K191" s="2721">
        <v>229</v>
      </c>
      <c r="L191" s="2721"/>
      <c r="M191" s="2708">
        <f t="shared" si="84"/>
        <v>17163</v>
      </c>
      <c r="N191" s="2708">
        <v>1652</v>
      </c>
      <c r="O191" s="2708">
        <v>1895</v>
      </c>
      <c r="P191" s="2708">
        <v>1564</v>
      </c>
      <c r="Q191" s="2708">
        <v>1647</v>
      </c>
      <c r="R191" s="2708">
        <v>1730</v>
      </c>
      <c r="S191" s="2708">
        <v>7684</v>
      </c>
      <c r="T191" s="2708">
        <f t="shared" si="76"/>
        <v>16172</v>
      </c>
      <c r="U191" s="2708">
        <v>292</v>
      </c>
      <c r="V191" s="2708">
        <f t="shared" si="79"/>
        <v>16464</v>
      </c>
      <c r="W191" s="2706">
        <f t="shared" si="80"/>
        <v>33627</v>
      </c>
      <c r="X191" s="2707">
        <f t="shared" si="82"/>
        <v>-2.1437938308911608</v>
      </c>
      <c r="Y191" s="2708">
        <f t="shared" si="83"/>
        <v>0.18770110833035147</v>
      </c>
      <c r="AA191" s="310">
        <f t="shared" ref="AA191:AA198" si="85">SUM(N201:S201)</f>
        <v>15812</v>
      </c>
    </row>
    <row r="192" spans="1:29" ht="23.25" customHeight="1">
      <c r="A192" s="2605" t="s">
        <v>1574</v>
      </c>
      <c r="B192" s="2720">
        <v>6</v>
      </c>
      <c r="C192" s="2708">
        <v>216</v>
      </c>
      <c r="D192" s="2946">
        <v>200</v>
      </c>
      <c r="E192" s="2946"/>
      <c r="F192" s="1030">
        <v>488</v>
      </c>
      <c r="G192" s="1030">
        <v>590</v>
      </c>
      <c r="H192" s="2708">
        <v>14122</v>
      </c>
      <c r="I192" s="2721">
        <v>1155</v>
      </c>
      <c r="J192" s="2721">
        <v>138</v>
      </c>
      <c r="K192" s="2721">
        <v>237</v>
      </c>
      <c r="L192" s="2721"/>
      <c r="M192" s="2708">
        <f t="shared" si="84"/>
        <v>17152</v>
      </c>
      <c r="N192" s="2708">
        <v>1653</v>
      </c>
      <c r="O192" s="2708">
        <v>1895</v>
      </c>
      <c r="P192" s="2708">
        <v>1564</v>
      </c>
      <c r="Q192" s="2708">
        <v>1648</v>
      </c>
      <c r="R192" s="2708">
        <v>1766</v>
      </c>
      <c r="S192" s="2708">
        <v>7673</v>
      </c>
      <c r="T192" s="2708">
        <f t="shared" si="76"/>
        <v>16199</v>
      </c>
      <c r="U192" s="2708">
        <v>292</v>
      </c>
      <c r="V192" s="2708">
        <f t="shared" si="79"/>
        <v>16491</v>
      </c>
      <c r="W192" s="2706">
        <f t="shared" si="80"/>
        <v>33643</v>
      </c>
      <c r="X192" s="2707">
        <f t="shared" si="82"/>
        <v>-2.1395561134250007</v>
      </c>
      <c r="Y192" s="2708">
        <f t="shared" si="83"/>
        <v>0.29214488001192418</v>
      </c>
      <c r="AA192" s="310">
        <f t="shared" si="85"/>
        <v>15602</v>
      </c>
      <c r="AB192" s="1280"/>
      <c r="AC192" s="1280"/>
    </row>
    <row r="193" spans="1:29" ht="23.25" customHeight="1">
      <c r="A193" s="2605" t="s">
        <v>1575</v>
      </c>
      <c r="B193" s="2720">
        <v>7</v>
      </c>
      <c r="C193" s="2708">
        <v>216</v>
      </c>
      <c r="D193" s="2946">
        <v>198</v>
      </c>
      <c r="E193" s="2946"/>
      <c r="F193" s="1030">
        <v>488</v>
      </c>
      <c r="G193" s="1030">
        <v>589</v>
      </c>
      <c r="H193" s="2708">
        <v>14099</v>
      </c>
      <c r="I193" s="2721">
        <v>1150</v>
      </c>
      <c r="J193" s="2721">
        <v>141</v>
      </c>
      <c r="K193" s="2721">
        <v>236</v>
      </c>
      <c r="L193" s="2721"/>
      <c r="M193" s="2708">
        <f t="shared" si="84"/>
        <v>17124</v>
      </c>
      <c r="N193" s="2708">
        <v>1653</v>
      </c>
      <c r="O193" s="2708">
        <v>1887</v>
      </c>
      <c r="P193" s="2708">
        <v>1562</v>
      </c>
      <c r="Q193" s="2708">
        <v>1648</v>
      </c>
      <c r="R193" s="2708">
        <v>1765</v>
      </c>
      <c r="S193" s="2708">
        <v>7731</v>
      </c>
      <c r="T193" s="2708">
        <f t="shared" si="76"/>
        <v>16246</v>
      </c>
      <c r="U193" s="2708">
        <v>285</v>
      </c>
      <c r="V193" s="2708">
        <f t="shared" si="79"/>
        <v>16531</v>
      </c>
      <c r="W193" s="2706">
        <f t="shared" si="80"/>
        <v>33655</v>
      </c>
      <c r="X193" s="2707">
        <f t="shared" si="82"/>
        <v>-2.1932830705962969</v>
      </c>
      <c r="Y193" s="2708">
        <f t="shared" si="83"/>
        <v>0.76950715611712184</v>
      </c>
      <c r="AA193" s="310">
        <f t="shared" si="85"/>
        <v>15742</v>
      </c>
    </row>
    <row r="194" spans="1:29" ht="23.25" customHeight="1">
      <c r="A194" s="2605" t="s">
        <v>1576</v>
      </c>
      <c r="B194" s="2720">
        <v>7</v>
      </c>
      <c r="C194" s="2708">
        <v>216</v>
      </c>
      <c r="D194" s="2946">
        <v>197</v>
      </c>
      <c r="E194" s="2946"/>
      <c r="F194" s="1030">
        <v>485</v>
      </c>
      <c r="G194" s="1030">
        <v>588</v>
      </c>
      <c r="H194" s="2708">
        <v>14089</v>
      </c>
      <c r="I194" s="2721">
        <v>1154</v>
      </c>
      <c r="J194" s="2721">
        <v>141</v>
      </c>
      <c r="K194" s="2721">
        <v>238</v>
      </c>
      <c r="L194" s="2721"/>
      <c r="M194" s="2708">
        <f t="shared" si="84"/>
        <v>17115</v>
      </c>
      <c r="N194" s="2708">
        <v>1664</v>
      </c>
      <c r="O194" s="2708">
        <v>1887</v>
      </c>
      <c r="P194" s="2708">
        <v>1558</v>
      </c>
      <c r="Q194" s="2708">
        <v>1642</v>
      </c>
      <c r="R194" s="2708">
        <v>1806</v>
      </c>
      <c r="S194" s="2708">
        <v>7738</v>
      </c>
      <c r="T194" s="2708">
        <f t="shared" si="76"/>
        <v>16295</v>
      </c>
      <c r="U194" s="2708">
        <v>286</v>
      </c>
      <c r="V194" s="2708">
        <f t="shared" si="79"/>
        <v>16581</v>
      </c>
      <c r="W194" s="2706">
        <f t="shared" si="80"/>
        <v>33696</v>
      </c>
      <c r="X194" s="2707">
        <f t="shared" si="82"/>
        <v>-2.1888215796091015</v>
      </c>
      <c r="Y194" s="2708">
        <f t="shared" si="83"/>
        <v>0.9890307498651385</v>
      </c>
      <c r="AA194" s="310">
        <f t="shared" si="85"/>
        <v>15735</v>
      </c>
    </row>
    <row r="195" spans="1:29" ht="23.25" customHeight="1">
      <c r="A195" s="2605" t="s">
        <v>1577</v>
      </c>
      <c r="B195" s="2723">
        <v>6</v>
      </c>
      <c r="C195" s="2724">
        <v>216</v>
      </c>
      <c r="D195" s="3179">
        <v>198</v>
      </c>
      <c r="E195" s="2953"/>
      <c r="F195" s="2725">
        <v>486</v>
      </c>
      <c r="G195" s="2725">
        <v>586</v>
      </c>
      <c r="H195" s="2726">
        <v>14080</v>
      </c>
      <c r="I195" s="2727">
        <v>1151</v>
      </c>
      <c r="J195" s="2728">
        <v>141</v>
      </c>
      <c r="K195" s="2727">
        <v>236</v>
      </c>
      <c r="L195" s="2728"/>
      <c r="M195" s="2729">
        <f t="shared" si="84"/>
        <v>17100</v>
      </c>
      <c r="N195" s="2730">
        <v>1664</v>
      </c>
      <c r="O195" s="2724">
        <v>1893</v>
      </c>
      <c r="P195" s="1992">
        <v>1558</v>
      </c>
      <c r="Q195" s="2724">
        <v>1642</v>
      </c>
      <c r="R195" s="2731">
        <v>1805</v>
      </c>
      <c r="S195" s="2726">
        <v>7997</v>
      </c>
      <c r="T195" s="2732">
        <f t="shared" si="76"/>
        <v>16559</v>
      </c>
      <c r="U195" s="2726">
        <v>286</v>
      </c>
      <c r="V195" s="2733">
        <f t="shared" si="79"/>
        <v>16845</v>
      </c>
      <c r="W195" s="2734">
        <f t="shared" si="80"/>
        <v>33945</v>
      </c>
      <c r="X195" s="2735">
        <f t="shared" si="82"/>
        <v>-2.2298456260720356</v>
      </c>
      <c r="Y195" s="2736">
        <f t="shared" si="83"/>
        <v>1.7841079460269915</v>
      </c>
      <c r="AA195" s="310">
        <f t="shared" si="85"/>
        <v>15610</v>
      </c>
    </row>
    <row r="196" spans="1:29" ht="23.25" customHeight="1">
      <c r="A196" s="2737" t="s">
        <v>1313</v>
      </c>
      <c r="B196" s="2738">
        <v>6</v>
      </c>
      <c r="C196" s="2739">
        <v>214</v>
      </c>
      <c r="D196" s="3160">
        <v>198</v>
      </c>
      <c r="E196" s="2942"/>
      <c r="F196" s="2740">
        <v>484</v>
      </c>
      <c r="G196" s="2740">
        <v>586</v>
      </c>
      <c r="H196" s="2741">
        <v>14071</v>
      </c>
      <c r="I196" s="2742">
        <v>1152</v>
      </c>
      <c r="J196" s="2743">
        <v>141</v>
      </c>
      <c r="K196" s="2742">
        <v>243</v>
      </c>
      <c r="L196" s="2728"/>
      <c r="M196" s="2733">
        <f t="shared" si="84"/>
        <v>17095</v>
      </c>
      <c r="N196" s="2744">
        <v>1701</v>
      </c>
      <c r="O196" s="2739">
        <v>1944</v>
      </c>
      <c r="P196" s="2732">
        <v>1623</v>
      </c>
      <c r="Q196" s="2739">
        <v>1663</v>
      </c>
      <c r="R196" s="2745">
        <v>1808</v>
      </c>
      <c r="S196" s="2741">
        <v>7996</v>
      </c>
      <c r="T196" s="2746">
        <f t="shared" si="76"/>
        <v>16735</v>
      </c>
      <c r="U196" s="2741">
        <v>290</v>
      </c>
      <c r="V196" s="2733">
        <f t="shared" si="79"/>
        <v>17025</v>
      </c>
      <c r="W196" s="2734">
        <f t="shared" si="80"/>
        <v>34120</v>
      </c>
      <c r="X196" s="2735">
        <f t="shared" si="82"/>
        <v>-2.2360745739448684</v>
      </c>
      <c r="Y196" s="2747">
        <f t="shared" si="83"/>
        <v>1.6656237895176007</v>
      </c>
      <c r="AA196" s="310">
        <f t="shared" si="85"/>
        <v>15588</v>
      </c>
    </row>
    <row r="197" spans="1:29">
      <c r="A197" s="2748" t="s">
        <v>1578</v>
      </c>
      <c r="B197" s="2723">
        <v>7</v>
      </c>
      <c r="C197" s="2724">
        <v>172</v>
      </c>
      <c r="D197" s="3179">
        <v>197</v>
      </c>
      <c r="E197" s="2953"/>
      <c r="F197" s="2725">
        <v>506</v>
      </c>
      <c r="G197" s="2725">
        <v>890</v>
      </c>
      <c r="H197" s="2726">
        <v>14651</v>
      </c>
      <c r="I197" s="2727">
        <v>1083</v>
      </c>
      <c r="J197" s="2728"/>
      <c r="K197" s="2749">
        <v>258</v>
      </c>
      <c r="L197" s="2728"/>
      <c r="M197" s="2750">
        <f t="shared" si="84"/>
        <v>17764</v>
      </c>
      <c r="N197" s="2730">
        <v>1791</v>
      </c>
      <c r="O197" s="2724">
        <v>2010</v>
      </c>
      <c r="P197" s="1992">
        <v>1728</v>
      </c>
      <c r="Q197" s="2724">
        <v>1713</v>
      </c>
      <c r="R197" s="2731">
        <v>1911</v>
      </c>
      <c r="S197" s="2726">
        <v>6653</v>
      </c>
      <c r="T197" s="2746">
        <f t="shared" si="76"/>
        <v>15806</v>
      </c>
      <c r="U197" s="2726">
        <v>289</v>
      </c>
      <c r="V197" s="2733">
        <f t="shared" si="79"/>
        <v>16095</v>
      </c>
      <c r="W197" s="2734">
        <f t="shared" si="80"/>
        <v>33859</v>
      </c>
      <c r="X197" s="2735">
        <f t="shared" si="82"/>
        <v>-4.0768940007559813</v>
      </c>
      <c r="Y197" s="2736">
        <f t="shared" si="83"/>
        <v>-2.1218165524817145</v>
      </c>
      <c r="Z197" s="2126"/>
      <c r="AA197" s="310">
        <f t="shared" si="85"/>
        <v>15580</v>
      </c>
      <c r="AB197" s="1280"/>
      <c r="AC197" s="1280"/>
    </row>
    <row r="198" spans="1:29" s="1280" customFormat="1">
      <c r="A198" s="2748" t="s">
        <v>1579</v>
      </c>
      <c r="B198" s="2738">
        <v>7</v>
      </c>
      <c r="C198" s="2739">
        <v>175</v>
      </c>
      <c r="D198" s="3160">
        <v>199</v>
      </c>
      <c r="E198" s="2942"/>
      <c r="F198" s="2740">
        <v>503</v>
      </c>
      <c r="G198" s="2740">
        <v>894</v>
      </c>
      <c r="H198" s="2741">
        <v>14564</v>
      </c>
      <c r="I198" s="2742">
        <v>1147</v>
      </c>
      <c r="J198" s="2743"/>
      <c r="K198" s="2742">
        <v>269</v>
      </c>
      <c r="L198" s="2728"/>
      <c r="M198" s="2751">
        <f t="shared" si="84"/>
        <v>17758</v>
      </c>
      <c r="N198" s="2744">
        <v>1790</v>
      </c>
      <c r="O198" s="2739">
        <v>2005</v>
      </c>
      <c r="P198" s="2732">
        <v>1727</v>
      </c>
      <c r="Q198" s="2739">
        <v>1712</v>
      </c>
      <c r="R198" s="2745">
        <v>1903</v>
      </c>
      <c r="S198" s="2741">
        <v>6642</v>
      </c>
      <c r="T198" s="2746">
        <f t="shared" si="76"/>
        <v>15779</v>
      </c>
      <c r="U198" s="2741">
        <v>288</v>
      </c>
      <c r="V198" s="2733">
        <f t="shared" si="79"/>
        <v>16067</v>
      </c>
      <c r="W198" s="2734">
        <f t="shared" si="80"/>
        <v>33825</v>
      </c>
      <c r="X198" s="2735">
        <f t="shared" si="82"/>
        <v>-4.0833963487090896</v>
      </c>
      <c r="Y198" s="2747">
        <f t="shared" si="83"/>
        <v>-2.1833429728166598</v>
      </c>
      <c r="Z198" s="2126"/>
      <c r="AA198" s="310">
        <f t="shared" si="85"/>
        <v>15795</v>
      </c>
      <c r="AB198" s="249"/>
      <c r="AC198" s="249"/>
    </row>
    <row r="199" spans="1:29">
      <c r="A199" s="2748" t="s">
        <v>1580</v>
      </c>
      <c r="B199" s="2752">
        <v>7</v>
      </c>
      <c r="C199" s="2753">
        <v>176</v>
      </c>
      <c r="D199" s="3171">
        <v>199</v>
      </c>
      <c r="E199" s="3172"/>
      <c r="F199" s="2754">
        <v>496</v>
      </c>
      <c r="G199" s="2755">
        <v>887</v>
      </c>
      <c r="H199" s="2755">
        <v>14303</v>
      </c>
      <c r="I199" s="2755">
        <v>1137</v>
      </c>
      <c r="J199" s="2756"/>
      <c r="K199" s="2757">
        <v>270</v>
      </c>
      <c r="L199" s="1564"/>
      <c r="M199" s="2751">
        <f t="shared" si="84"/>
        <v>17475</v>
      </c>
      <c r="N199" s="2758">
        <v>1777</v>
      </c>
      <c r="O199" s="2759">
        <v>1980</v>
      </c>
      <c r="P199" s="2760">
        <v>1727</v>
      </c>
      <c r="Q199" s="2759">
        <v>1690</v>
      </c>
      <c r="R199" s="2761">
        <v>1879</v>
      </c>
      <c r="S199" s="2755">
        <v>6585</v>
      </c>
      <c r="T199" s="2746">
        <f t="shared" si="76"/>
        <v>15638</v>
      </c>
      <c r="U199" s="2757">
        <v>283</v>
      </c>
      <c r="V199" s="2733">
        <f t="shared" si="79"/>
        <v>15921</v>
      </c>
      <c r="W199" s="2734">
        <f t="shared" si="80"/>
        <v>33396</v>
      </c>
      <c r="X199" s="2735">
        <f t="shared" si="82"/>
        <v>-3.2552732104301652</v>
      </c>
      <c r="Y199" s="2762">
        <f t="shared" si="83"/>
        <v>-1.747572815533982</v>
      </c>
      <c r="AA199" s="310">
        <f>SUM(N209:U209)</f>
        <v>31860</v>
      </c>
    </row>
    <row r="200" spans="1:29" s="1280" customFormat="1">
      <c r="A200" s="2748" t="s">
        <v>1581</v>
      </c>
      <c r="B200" s="2752">
        <v>6</v>
      </c>
      <c r="C200" s="2753">
        <v>177</v>
      </c>
      <c r="D200" s="3171">
        <v>200</v>
      </c>
      <c r="E200" s="3172"/>
      <c r="F200" s="2754">
        <v>495</v>
      </c>
      <c r="G200" s="2755">
        <v>887</v>
      </c>
      <c r="H200" s="2755">
        <v>14307</v>
      </c>
      <c r="I200" s="2755">
        <v>1138</v>
      </c>
      <c r="J200" s="2756"/>
      <c r="K200" s="2755">
        <v>270</v>
      </c>
      <c r="L200" s="1564"/>
      <c r="M200" s="2751">
        <f t="shared" si="84"/>
        <v>17480</v>
      </c>
      <c r="N200" s="2758">
        <v>1774</v>
      </c>
      <c r="O200" s="2759">
        <v>1969</v>
      </c>
      <c r="P200" s="2760">
        <v>1710</v>
      </c>
      <c r="Q200" s="2759">
        <v>1690</v>
      </c>
      <c r="R200" s="2761">
        <v>1879</v>
      </c>
      <c r="S200" s="2755">
        <v>6816</v>
      </c>
      <c r="T200" s="2746">
        <f t="shared" si="76"/>
        <v>15838</v>
      </c>
      <c r="U200" s="2755">
        <v>284</v>
      </c>
      <c r="V200" s="2733">
        <f t="shared" si="79"/>
        <v>16122</v>
      </c>
      <c r="W200" s="2734">
        <f t="shared" si="80"/>
        <v>33602</v>
      </c>
      <c r="X200" s="2735">
        <f t="shared" si="82"/>
        <v>-3.1900753212228627</v>
      </c>
      <c r="Y200" s="2763">
        <f t="shared" si="83"/>
        <v>-1.0396112501840693</v>
      </c>
      <c r="Z200" s="2126">
        <f>SUM(N202:S202)</f>
        <v>15602</v>
      </c>
      <c r="AA200" s="310">
        <f>SUM(N210:U210)</f>
        <v>31844</v>
      </c>
      <c r="AB200" s="249"/>
      <c r="AC200" s="249"/>
    </row>
    <row r="201" spans="1:29">
      <c r="A201" s="2748" t="s">
        <v>1582</v>
      </c>
      <c r="B201" s="2752">
        <v>7</v>
      </c>
      <c r="C201" s="2753">
        <v>180</v>
      </c>
      <c r="D201" s="3171">
        <v>199</v>
      </c>
      <c r="E201" s="3172"/>
      <c r="F201" s="2754">
        <v>501</v>
      </c>
      <c r="G201" s="2755">
        <v>887</v>
      </c>
      <c r="H201" s="2755">
        <v>14357</v>
      </c>
      <c r="I201" s="2755">
        <v>1135</v>
      </c>
      <c r="J201" s="2756"/>
      <c r="K201" s="2755">
        <v>273</v>
      </c>
      <c r="L201" s="1564"/>
      <c r="M201" s="2750">
        <f t="shared" si="84"/>
        <v>17539</v>
      </c>
      <c r="N201" s="2758">
        <v>1772</v>
      </c>
      <c r="O201" s="2759">
        <v>1963</v>
      </c>
      <c r="P201" s="2760">
        <v>1709</v>
      </c>
      <c r="Q201" s="2759">
        <v>1687</v>
      </c>
      <c r="R201" s="2761">
        <v>1872</v>
      </c>
      <c r="S201" s="2755">
        <v>6809</v>
      </c>
      <c r="T201" s="2746">
        <f t="shared" si="76"/>
        <v>15812</v>
      </c>
      <c r="U201" s="2755">
        <v>284</v>
      </c>
      <c r="V201" s="2733">
        <f t="shared" si="79"/>
        <v>16096</v>
      </c>
      <c r="W201" s="2734">
        <f t="shared" si="80"/>
        <v>33635</v>
      </c>
      <c r="X201" s="2735">
        <f t="shared" si="82"/>
        <v>-2.7933270520423381</v>
      </c>
      <c r="Y201" s="2763">
        <f t="shared" si="83"/>
        <v>-0.91616096152713489</v>
      </c>
      <c r="AA201" s="310">
        <f>SUM(N211:U211)</f>
        <v>31563</v>
      </c>
    </row>
    <row r="202" spans="1:29">
      <c r="A202" s="2748" t="s">
        <v>1583</v>
      </c>
      <c r="B202" s="2752">
        <v>7</v>
      </c>
      <c r="C202" s="2753">
        <v>183</v>
      </c>
      <c r="D202" s="3171">
        <v>198</v>
      </c>
      <c r="E202" s="3172"/>
      <c r="F202" s="2754">
        <v>500</v>
      </c>
      <c r="G202" s="2755">
        <v>886</v>
      </c>
      <c r="H202" s="2755">
        <v>14347</v>
      </c>
      <c r="I202" s="2755">
        <v>1136</v>
      </c>
      <c r="J202" s="2756"/>
      <c r="K202" s="2755">
        <v>271</v>
      </c>
      <c r="L202" s="1564"/>
      <c r="M202" s="2750">
        <f t="shared" si="84"/>
        <v>17528</v>
      </c>
      <c r="N202" s="2764">
        <v>1772</v>
      </c>
      <c r="O202" s="2759">
        <v>1956</v>
      </c>
      <c r="P202" s="2760">
        <v>1709</v>
      </c>
      <c r="Q202" s="2759">
        <v>1681</v>
      </c>
      <c r="R202" s="2761">
        <v>1680</v>
      </c>
      <c r="S202" s="2755">
        <v>6804</v>
      </c>
      <c r="T202" s="2746">
        <f t="shared" si="76"/>
        <v>15602</v>
      </c>
      <c r="U202" s="2755">
        <v>284</v>
      </c>
      <c r="V202" s="2733">
        <f t="shared" si="79"/>
        <v>15886</v>
      </c>
      <c r="W202" s="2734">
        <f t="shared" si="80"/>
        <v>33414</v>
      </c>
      <c r="X202" s="2735">
        <f t="shared" si="82"/>
        <v>-2.8058112454253048</v>
      </c>
      <c r="Y202" s="2763">
        <f t="shared" si="83"/>
        <v>-1.5033604527767919</v>
      </c>
      <c r="Z202" s="310"/>
      <c r="AA202" s="310">
        <f>SUM(N212:U212)</f>
        <v>31508</v>
      </c>
      <c r="AB202" s="1280"/>
      <c r="AC202" s="1280"/>
    </row>
    <row r="203" spans="1:29">
      <c r="A203" s="2748" t="s">
        <v>1584</v>
      </c>
      <c r="B203" s="2752">
        <v>7</v>
      </c>
      <c r="C203" s="2753">
        <v>184</v>
      </c>
      <c r="D203" s="3171">
        <v>198</v>
      </c>
      <c r="E203" s="3172"/>
      <c r="F203" s="2754">
        <v>491</v>
      </c>
      <c r="G203" s="2755">
        <v>917</v>
      </c>
      <c r="H203" s="2755">
        <v>14331</v>
      </c>
      <c r="I203" s="2755">
        <v>1141</v>
      </c>
      <c r="J203" s="2756"/>
      <c r="K203" s="2755">
        <v>270</v>
      </c>
      <c r="L203" s="1564"/>
      <c r="M203" s="2750">
        <f t="shared" si="84"/>
        <v>17539</v>
      </c>
      <c r="N203" s="2765">
        <v>1773</v>
      </c>
      <c r="O203" s="2753">
        <v>1943</v>
      </c>
      <c r="P203" s="2756">
        <v>1706</v>
      </c>
      <c r="Q203" s="2753">
        <v>1677</v>
      </c>
      <c r="R203" s="2766">
        <v>1859</v>
      </c>
      <c r="S203" s="2755">
        <v>6784</v>
      </c>
      <c r="T203" s="2746">
        <f t="shared" si="76"/>
        <v>15742</v>
      </c>
      <c r="U203" s="2755">
        <v>283</v>
      </c>
      <c r="V203" s="2733">
        <f t="shared" si="79"/>
        <v>16025</v>
      </c>
      <c r="W203" s="2734">
        <f t="shared" si="80"/>
        <v>33564</v>
      </c>
      <c r="X203" s="2735">
        <f t="shared" si="82"/>
        <v>-2.7340283939662813</v>
      </c>
      <c r="Y203" s="2763">
        <f t="shared" si="83"/>
        <v>-1.2242495585638613</v>
      </c>
      <c r="AA203" s="310">
        <f t="shared" ref="AA203:AA210" si="86">SUM(N213:S213)</f>
        <v>15597</v>
      </c>
    </row>
    <row r="204" spans="1:29">
      <c r="A204" s="2748" t="s">
        <v>1585</v>
      </c>
      <c r="B204" s="2752">
        <v>7</v>
      </c>
      <c r="C204" s="2753">
        <v>191</v>
      </c>
      <c r="D204" s="3171">
        <v>199</v>
      </c>
      <c r="E204" s="3172"/>
      <c r="F204" s="2754">
        <v>493</v>
      </c>
      <c r="G204" s="2755">
        <v>912</v>
      </c>
      <c r="H204" s="2755">
        <v>14316</v>
      </c>
      <c r="I204" s="2755">
        <v>1141</v>
      </c>
      <c r="J204" s="2756"/>
      <c r="K204" s="2755">
        <v>268</v>
      </c>
      <c r="L204" s="1564"/>
      <c r="M204" s="2750">
        <f t="shared" si="84"/>
        <v>17527</v>
      </c>
      <c r="N204" s="2765">
        <v>1774</v>
      </c>
      <c r="O204" s="2753">
        <v>1943</v>
      </c>
      <c r="P204" s="2756">
        <v>1706</v>
      </c>
      <c r="Q204" s="2753">
        <v>1673</v>
      </c>
      <c r="R204" s="2766">
        <v>1860</v>
      </c>
      <c r="S204" s="2755">
        <v>6779</v>
      </c>
      <c r="T204" s="2746">
        <f t="shared" si="76"/>
        <v>15735</v>
      </c>
      <c r="U204" s="2755">
        <v>283</v>
      </c>
      <c r="V204" s="2733">
        <f t="shared" si="79"/>
        <v>16018</v>
      </c>
      <c r="W204" s="2734">
        <f t="shared" si="80"/>
        <v>33545</v>
      </c>
      <c r="X204" s="2735">
        <f t="shared" si="82"/>
        <v>-2.7466429918987956</v>
      </c>
      <c r="Y204" s="2763">
        <f t="shared" si="83"/>
        <v>-1.6794653848408503</v>
      </c>
      <c r="Z204" s="310">
        <f>SUM(N206:U206)</f>
        <v>31456</v>
      </c>
      <c r="AA204" s="310">
        <f t="shared" si="86"/>
        <v>15601</v>
      </c>
      <c r="AB204" s="1280"/>
      <c r="AC204" s="1280"/>
    </row>
    <row r="205" spans="1:29" s="1280" customFormat="1">
      <c r="A205" s="2748" t="s">
        <v>1586</v>
      </c>
      <c r="B205" s="2752">
        <v>7</v>
      </c>
      <c r="C205" s="2753">
        <v>193</v>
      </c>
      <c r="D205" s="3171">
        <v>198</v>
      </c>
      <c r="E205" s="3172"/>
      <c r="F205" s="2754">
        <v>493</v>
      </c>
      <c r="G205" s="2755">
        <v>911</v>
      </c>
      <c r="H205" s="2755">
        <v>14290</v>
      </c>
      <c r="I205" s="2755">
        <v>1138</v>
      </c>
      <c r="J205" s="2756"/>
      <c r="K205" s="2755">
        <v>278</v>
      </c>
      <c r="L205" s="1564"/>
      <c r="M205" s="2750">
        <f t="shared" si="84"/>
        <v>17508</v>
      </c>
      <c r="N205" s="2765">
        <v>1759</v>
      </c>
      <c r="O205" s="2753">
        <v>1920</v>
      </c>
      <c r="P205" s="2756">
        <v>1705</v>
      </c>
      <c r="Q205" s="2753">
        <v>1656</v>
      </c>
      <c r="R205" s="2766">
        <v>1838</v>
      </c>
      <c r="S205" s="2755">
        <v>6732</v>
      </c>
      <c r="T205" s="2746">
        <f t="shared" si="76"/>
        <v>15610</v>
      </c>
      <c r="U205" s="2755">
        <v>280</v>
      </c>
      <c r="V205" s="2733">
        <f t="shared" si="79"/>
        <v>15890</v>
      </c>
      <c r="W205" s="2734">
        <f t="shared" si="80"/>
        <v>33398</v>
      </c>
      <c r="X205" s="2735">
        <f t="shared" si="82"/>
        <v>-1.0400180872710885</v>
      </c>
      <c r="Y205" s="2763">
        <f t="shared" si="83"/>
        <v>-1.130846654825346</v>
      </c>
      <c r="AA205" s="310">
        <f t="shared" si="86"/>
        <v>15660</v>
      </c>
      <c r="AB205" s="249"/>
      <c r="AC205" s="249"/>
    </row>
    <row r="206" spans="1:29">
      <c r="A206" s="2748" t="s">
        <v>1587</v>
      </c>
      <c r="B206" s="2752">
        <v>7</v>
      </c>
      <c r="C206" s="2753">
        <v>191</v>
      </c>
      <c r="D206" s="3171">
        <v>198</v>
      </c>
      <c r="E206" s="3172"/>
      <c r="F206" s="2754">
        <v>492</v>
      </c>
      <c r="G206" s="2755">
        <v>912</v>
      </c>
      <c r="H206" s="2755">
        <v>14283</v>
      </c>
      <c r="I206" s="2755">
        <v>1137</v>
      </c>
      <c r="J206" s="2756"/>
      <c r="K206" s="2755">
        <v>278</v>
      </c>
      <c r="L206" s="1564"/>
      <c r="M206" s="2750">
        <f t="shared" si="84"/>
        <v>17498</v>
      </c>
      <c r="N206" s="2765">
        <v>1762</v>
      </c>
      <c r="O206" s="2753">
        <v>1920</v>
      </c>
      <c r="P206" s="2756">
        <v>1685</v>
      </c>
      <c r="Q206" s="2753">
        <v>1655</v>
      </c>
      <c r="R206" s="2766">
        <v>1835</v>
      </c>
      <c r="S206" s="2755">
        <v>6731</v>
      </c>
      <c r="T206" s="2746">
        <f t="shared" si="76"/>
        <v>15588</v>
      </c>
      <c r="U206" s="2755">
        <v>280</v>
      </c>
      <c r="V206" s="2733">
        <f t="shared" si="79"/>
        <v>15868</v>
      </c>
      <c r="W206" s="2734">
        <f t="shared" si="80"/>
        <v>33366</v>
      </c>
      <c r="X206" s="2735">
        <f t="shared" si="82"/>
        <v>-1.9335313568346169</v>
      </c>
      <c r="Y206" s="2763">
        <f t="shared" si="83"/>
        <v>-1.5839306256083541</v>
      </c>
      <c r="AA206" s="310">
        <f t="shared" si="86"/>
        <v>15808</v>
      </c>
    </row>
    <row r="207" spans="1:29">
      <c r="A207" s="2748" t="s">
        <v>1588</v>
      </c>
      <c r="B207" s="2752">
        <v>7</v>
      </c>
      <c r="C207" s="2753">
        <v>192</v>
      </c>
      <c r="D207" s="3171">
        <v>198</v>
      </c>
      <c r="E207" s="3172"/>
      <c r="F207" s="2754">
        <v>493</v>
      </c>
      <c r="G207" s="2755">
        <v>911</v>
      </c>
      <c r="H207" s="2755">
        <v>14275</v>
      </c>
      <c r="I207" s="2755">
        <v>1136</v>
      </c>
      <c r="J207" s="2756"/>
      <c r="K207" s="2755">
        <v>278</v>
      </c>
      <c r="L207" s="1564"/>
      <c r="M207" s="2750">
        <f t="shared" si="84"/>
        <v>17490</v>
      </c>
      <c r="N207" s="2765">
        <v>1762</v>
      </c>
      <c r="O207" s="2753">
        <v>1920</v>
      </c>
      <c r="P207" s="2756">
        <v>1685</v>
      </c>
      <c r="Q207" s="2753">
        <v>1658</v>
      </c>
      <c r="R207" s="2766">
        <v>1830</v>
      </c>
      <c r="S207" s="2755">
        <v>6725</v>
      </c>
      <c r="T207" s="2746">
        <f t="shared" si="76"/>
        <v>15580</v>
      </c>
      <c r="U207" s="2755">
        <v>280</v>
      </c>
      <c r="V207" s="2733">
        <f t="shared" si="79"/>
        <v>15860</v>
      </c>
      <c r="W207" s="2734">
        <f t="shared" si="80"/>
        <v>33350</v>
      </c>
      <c r="X207" s="2735">
        <f t="shared" si="82"/>
        <v>-1.9893527598767169</v>
      </c>
      <c r="Y207" s="2763">
        <f t="shared" si="83"/>
        <v>-1.6456293500058949</v>
      </c>
      <c r="Z207" s="2126"/>
      <c r="AA207" s="310">
        <f t="shared" si="86"/>
        <v>15803</v>
      </c>
    </row>
    <row r="208" spans="1:29">
      <c r="A208" s="2748" t="s">
        <v>1589</v>
      </c>
      <c r="B208" s="2767">
        <v>7</v>
      </c>
      <c r="C208" s="2768">
        <v>265</v>
      </c>
      <c r="D208" s="3163">
        <v>193</v>
      </c>
      <c r="E208" s="3164"/>
      <c r="F208" s="2769">
        <v>481</v>
      </c>
      <c r="G208" s="2770">
        <v>694</v>
      </c>
      <c r="H208" s="2770">
        <v>14424</v>
      </c>
      <c r="I208" s="2770">
        <v>1152</v>
      </c>
      <c r="J208" s="2771"/>
      <c r="K208" s="2770">
        <v>270</v>
      </c>
      <c r="L208" s="1564"/>
      <c r="M208" s="2772">
        <f t="shared" si="84"/>
        <v>17486</v>
      </c>
      <c r="N208" s="2773">
        <v>1768</v>
      </c>
      <c r="O208" s="2768">
        <v>1923</v>
      </c>
      <c r="P208" s="2771">
        <v>1684</v>
      </c>
      <c r="Q208" s="2768">
        <v>1668</v>
      </c>
      <c r="R208" s="2774">
        <v>1828</v>
      </c>
      <c r="S208" s="2770">
        <v>6924</v>
      </c>
      <c r="T208" s="2746">
        <f t="shared" si="76"/>
        <v>15795</v>
      </c>
      <c r="U208" s="2770">
        <v>280</v>
      </c>
      <c r="V208" s="2733">
        <f t="shared" si="79"/>
        <v>16075</v>
      </c>
      <c r="W208" s="2734">
        <f t="shared" si="80"/>
        <v>33561</v>
      </c>
      <c r="X208" s="2735">
        <f t="shared" si="82"/>
        <v>-2.2309197651663393</v>
      </c>
      <c r="Y208" s="2775">
        <f t="shared" si="83"/>
        <v>-1.1632701142655244</v>
      </c>
      <c r="Z208" s="2126"/>
      <c r="AA208" s="310">
        <f t="shared" si="86"/>
        <v>15775</v>
      </c>
    </row>
    <row r="209" spans="1:29">
      <c r="A209" s="2748" t="s">
        <v>1590</v>
      </c>
      <c r="B209" s="2752">
        <v>3</v>
      </c>
      <c r="C209" s="2753">
        <v>111</v>
      </c>
      <c r="D209" s="3171">
        <v>198</v>
      </c>
      <c r="E209" s="3172"/>
      <c r="F209" s="2754">
        <v>571</v>
      </c>
      <c r="G209" s="2755">
        <v>909</v>
      </c>
      <c r="H209" s="2755">
        <v>15356</v>
      </c>
      <c r="I209" s="2755">
        <v>1085</v>
      </c>
      <c r="J209" s="2756"/>
      <c r="K209" s="2757">
        <v>286</v>
      </c>
      <c r="L209" s="1564"/>
      <c r="M209" s="2750">
        <f t="shared" si="84"/>
        <v>18519</v>
      </c>
      <c r="N209" s="2764">
        <v>1802</v>
      </c>
      <c r="O209" s="2759">
        <v>2059</v>
      </c>
      <c r="P209" s="2760">
        <v>1722</v>
      </c>
      <c r="Q209" s="2759">
        <v>1743</v>
      </c>
      <c r="R209" s="2761">
        <v>1961</v>
      </c>
      <c r="S209" s="2755">
        <v>6499</v>
      </c>
      <c r="T209" s="2746">
        <f t="shared" si="76"/>
        <v>15786</v>
      </c>
      <c r="U209" s="2755">
        <v>288</v>
      </c>
      <c r="V209" s="2733">
        <f t="shared" si="79"/>
        <v>16074</v>
      </c>
      <c r="W209" s="2734">
        <f t="shared" si="80"/>
        <v>34593</v>
      </c>
      <c r="X209" s="2735">
        <f t="shared" si="82"/>
        <v>-0.40335592126492514</v>
      </c>
      <c r="Y209" s="2763">
        <f>(W209/W221-1)*100</f>
        <v>-0.89385474860335101</v>
      </c>
      <c r="Z209" s="2126"/>
      <c r="AA209" s="310">
        <f t="shared" si="86"/>
        <v>15778</v>
      </c>
      <c r="AB209" s="1280"/>
      <c r="AC209" s="1280"/>
    </row>
    <row r="210" spans="1:29" s="1280" customFormat="1">
      <c r="A210" s="2748" t="s">
        <v>1591</v>
      </c>
      <c r="B210" s="2752">
        <v>7</v>
      </c>
      <c r="C210" s="2753">
        <v>110</v>
      </c>
      <c r="D210" s="3171">
        <v>190</v>
      </c>
      <c r="E210" s="3172"/>
      <c r="F210" s="2754">
        <v>560</v>
      </c>
      <c r="G210" s="2755">
        <v>897</v>
      </c>
      <c r="H210" s="2776">
        <v>15375</v>
      </c>
      <c r="I210" s="2755">
        <v>1095</v>
      </c>
      <c r="J210" s="2756"/>
      <c r="K210" s="2755">
        <v>280</v>
      </c>
      <c r="L210" s="1564"/>
      <c r="M210" s="2751">
        <f t="shared" si="84"/>
        <v>18514</v>
      </c>
      <c r="N210" s="2764">
        <v>1801</v>
      </c>
      <c r="O210" s="2759">
        <v>2055</v>
      </c>
      <c r="P210" s="2760">
        <v>1721</v>
      </c>
      <c r="Q210" s="2759">
        <v>1743</v>
      </c>
      <c r="R210" s="2761">
        <v>1961</v>
      </c>
      <c r="S210" s="2755">
        <v>6497</v>
      </c>
      <c r="T210" s="2746">
        <f t="shared" si="76"/>
        <v>15778</v>
      </c>
      <c r="U210" s="2755">
        <v>288</v>
      </c>
      <c r="V210" s="2733">
        <f t="shared" si="79"/>
        <v>16066</v>
      </c>
      <c r="W210" s="2734">
        <f t="shared" si="80"/>
        <v>34580</v>
      </c>
      <c r="X210" s="2735">
        <f t="shared" si="82"/>
        <v>-0.34985736584315363</v>
      </c>
      <c r="Y210" s="2763">
        <f t="shared" ref="Y210:Y273" si="87">(W210/W222-1)*100</f>
        <v>-0.85440678938012438</v>
      </c>
      <c r="Z210" s="2126"/>
      <c r="AA210" s="310">
        <f t="shared" si="86"/>
        <v>15782</v>
      </c>
      <c r="AB210" s="249"/>
      <c r="AC210" s="249"/>
    </row>
    <row r="211" spans="1:29">
      <c r="A211" s="2748" t="s">
        <v>1592</v>
      </c>
      <c r="B211" s="2752">
        <v>7</v>
      </c>
      <c r="C211" s="2753">
        <v>110</v>
      </c>
      <c r="D211" s="3171">
        <v>189</v>
      </c>
      <c r="E211" s="3172"/>
      <c r="F211" s="2754">
        <v>545</v>
      </c>
      <c r="G211" s="2755">
        <v>894</v>
      </c>
      <c r="H211" s="2755">
        <v>14967</v>
      </c>
      <c r="I211" s="2755">
        <v>1073</v>
      </c>
      <c r="J211" s="2756"/>
      <c r="K211" s="2755">
        <v>278</v>
      </c>
      <c r="L211" s="1564"/>
      <c r="M211" s="2751">
        <f t="shared" si="84"/>
        <v>18063</v>
      </c>
      <c r="N211" s="2758">
        <v>1770</v>
      </c>
      <c r="O211" s="2759">
        <v>2039</v>
      </c>
      <c r="P211" s="2760">
        <v>1718</v>
      </c>
      <c r="Q211" s="2759">
        <v>1718</v>
      </c>
      <c r="R211" s="2761">
        <v>1935</v>
      </c>
      <c r="S211" s="2755">
        <v>6456</v>
      </c>
      <c r="T211" s="2746">
        <f t="shared" si="76"/>
        <v>15636</v>
      </c>
      <c r="U211" s="2755">
        <v>291</v>
      </c>
      <c r="V211" s="2733">
        <f t="shared" si="79"/>
        <v>15927</v>
      </c>
      <c r="W211" s="2734">
        <f t="shared" si="80"/>
        <v>33990</v>
      </c>
      <c r="X211" s="2735">
        <f t="shared" si="82"/>
        <v>-2.7197328737613047</v>
      </c>
      <c r="Y211" s="2763">
        <f t="shared" si="87"/>
        <v>-2.3388116308470264</v>
      </c>
      <c r="AA211" s="310">
        <f>SUM(N221:U221)</f>
        <v>32326</v>
      </c>
    </row>
    <row r="212" spans="1:29" s="1280" customFormat="1">
      <c r="A212" s="2748" t="s">
        <v>1593</v>
      </c>
      <c r="B212" s="2752">
        <v>7</v>
      </c>
      <c r="C212" s="2753">
        <v>110</v>
      </c>
      <c r="D212" s="3171">
        <v>188</v>
      </c>
      <c r="E212" s="3172"/>
      <c r="F212" s="2754">
        <v>545</v>
      </c>
      <c r="G212" s="2755">
        <v>895</v>
      </c>
      <c r="H212" s="2755">
        <v>14959</v>
      </c>
      <c r="I212" s="2755">
        <v>1072</v>
      </c>
      <c r="J212" s="2756"/>
      <c r="K212" s="2755">
        <v>280</v>
      </c>
      <c r="L212" s="1564"/>
      <c r="M212" s="2751">
        <f t="shared" si="84"/>
        <v>18056</v>
      </c>
      <c r="N212" s="2758">
        <v>1768</v>
      </c>
      <c r="O212" s="2759">
        <v>2038</v>
      </c>
      <c r="P212" s="2760">
        <v>1700</v>
      </c>
      <c r="Q212" s="2759">
        <v>1718</v>
      </c>
      <c r="R212" s="2761">
        <v>1934</v>
      </c>
      <c r="S212" s="2755">
        <v>6451</v>
      </c>
      <c r="T212" s="2746">
        <f t="shared" si="76"/>
        <v>15609</v>
      </c>
      <c r="U212" s="2755">
        <v>290</v>
      </c>
      <c r="V212" s="2733">
        <f t="shared" si="79"/>
        <v>15899</v>
      </c>
      <c r="W212" s="2734">
        <f t="shared" si="80"/>
        <v>33955</v>
      </c>
      <c r="X212" s="2735">
        <f t="shared" si="82"/>
        <v>-2.7312395625707087</v>
      </c>
      <c r="Y212" s="2763">
        <f t="shared" si="87"/>
        <v>-2.3748598372674734</v>
      </c>
      <c r="Z212" s="2126">
        <f>SUM(N214:S214)</f>
        <v>15601</v>
      </c>
      <c r="AA212" s="310">
        <f>SUM(N222:U222)</f>
        <v>32302</v>
      </c>
      <c r="AB212" s="249"/>
      <c r="AC212" s="249"/>
    </row>
    <row r="213" spans="1:29">
      <c r="A213" s="2748" t="s">
        <v>1594</v>
      </c>
      <c r="B213" s="2752">
        <v>7</v>
      </c>
      <c r="C213" s="2753">
        <v>109</v>
      </c>
      <c r="D213" s="3171">
        <v>187</v>
      </c>
      <c r="E213" s="3172"/>
      <c r="F213" s="2754">
        <v>544</v>
      </c>
      <c r="G213" s="2755">
        <v>890</v>
      </c>
      <c r="H213" s="2755">
        <v>14953</v>
      </c>
      <c r="I213" s="2755">
        <v>1072</v>
      </c>
      <c r="J213" s="2756"/>
      <c r="K213" s="2755">
        <v>281</v>
      </c>
      <c r="L213" s="1564"/>
      <c r="M213" s="2750">
        <f t="shared" si="84"/>
        <v>18043</v>
      </c>
      <c r="N213" s="2758">
        <v>1761</v>
      </c>
      <c r="O213" s="2759">
        <v>2036</v>
      </c>
      <c r="P213" s="2760">
        <v>1699</v>
      </c>
      <c r="Q213" s="2759">
        <v>1718</v>
      </c>
      <c r="R213" s="2761">
        <v>1936</v>
      </c>
      <c r="S213" s="2755">
        <v>6447</v>
      </c>
      <c r="T213" s="2746">
        <f t="shared" si="76"/>
        <v>15597</v>
      </c>
      <c r="U213" s="2755">
        <v>306</v>
      </c>
      <c r="V213" s="2733">
        <f t="shared" si="79"/>
        <v>15903</v>
      </c>
      <c r="W213" s="2734">
        <f t="shared" si="80"/>
        <v>33946</v>
      </c>
      <c r="X213" s="2735">
        <f t="shared" si="82"/>
        <v>-2.7646044406122061</v>
      </c>
      <c r="Y213" s="2763">
        <f t="shared" si="87"/>
        <v>-2.3642429820524669</v>
      </c>
      <c r="AA213" s="310">
        <f>SUM(N223:U223)</f>
        <v>32176</v>
      </c>
    </row>
    <row r="214" spans="1:29">
      <c r="A214" s="2748" t="s">
        <v>1595</v>
      </c>
      <c r="B214" s="2752">
        <v>7</v>
      </c>
      <c r="C214" s="2753">
        <v>109</v>
      </c>
      <c r="D214" s="3171">
        <v>190</v>
      </c>
      <c r="E214" s="3172"/>
      <c r="F214" s="2754">
        <v>544</v>
      </c>
      <c r="G214" s="2755">
        <v>888</v>
      </c>
      <c r="H214" s="2755">
        <v>14941</v>
      </c>
      <c r="I214" s="2755">
        <v>1074</v>
      </c>
      <c r="J214" s="2756"/>
      <c r="K214" s="2755">
        <v>281</v>
      </c>
      <c r="L214" s="1564"/>
      <c r="M214" s="2750">
        <f t="shared" si="84"/>
        <v>18034</v>
      </c>
      <c r="N214" s="2764">
        <v>1772</v>
      </c>
      <c r="O214" s="2759">
        <v>2037</v>
      </c>
      <c r="P214" s="2760">
        <v>1698</v>
      </c>
      <c r="Q214" s="2759">
        <v>1714</v>
      </c>
      <c r="R214" s="2761">
        <v>1935</v>
      </c>
      <c r="S214" s="2755">
        <v>6445</v>
      </c>
      <c r="T214" s="2746">
        <f t="shared" si="76"/>
        <v>15601</v>
      </c>
      <c r="U214" s="2755">
        <v>289</v>
      </c>
      <c r="V214" s="2733">
        <f t="shared" si="79"/>
        <v>15890</v>
      </c>
      <c r="W214" s="2734">
        <f t="shared" si="80"/>
        <v>33924</v>
      </c>
      <c r="X214" s="2735">
        <f t="shared" si="82"/>
        <v>-2.7921517895644676</v>
      </c>
      <c r="Y214" s="2763">
        <f t="shared" si="87"/>
        <v>-2.424713089999142</v>
      </c>
      <c r="AA214" s="310">
        <f>SUM(N224:U224)</f>
        <v>32143</v>
      </c>
      <c r="AB214" s="1280"/>
      <c r="AC214" s="1280"/>
    </row>
    <row r="215" spans="1:29">
      <c r="A215" s="2748" t="s">
        <v>1596</v>
      </c>
      <c r="B215" s="2752">
        <v>7</v>
      </c>
      <c r="C215" s="2753">
        <v>130</v>
      </c>
      <c r="D215" s="3171">
        <v>178</v>
      </c>
      <c r="E215" s="3172"/>
      <c r="F215" s="2754">
        <v>551</v>
      </c>
      <c r="G215" s="2755">
        <v>878</v>
      </c>
      <c r="H215" s="2755">
        <v>14921</v>
      </c>
      <c r="I215" s="2755">
        <v>1086</v>
      </c>
      <c r="J215" s="2756"/>
      <c r="K215" s="2755">
        <v>281</v>
      </c>
      <c r="L215" s="1564"/>
      <c r="M215" s="2750">
        <f t="shared" si="84"/>
        <v>18032</v>
      </c>
      <c r="N215" s="2765">
        <v>1815</v>
      </c>
      <c r="O215" s="2753">
        <v>2036</v>
      </c>
      <c r="P215" s="2756">
        <v>1727</v>
      </c>
      <c r="Q215" s="2753">
        <v>1700</v>
      </c>
      <c r="R215" s="2766">
        <v>1935</v>
      </c>
      <c r="S215" s="2755">
        <v>6447</v>
      </c>
      <c r="T215" s="2746">
        <f t="shared" si="76"/>
        <v>15660</v>
      </c>
      <c r="U215" s="2755">
        <v>288</v>
      </c>
      <c r="V215" s="2733">
        <f t="shared" si="79"/>
        <v>15948</v>
      </c>
      <c r="W215" s="2734">
        <f t="shared" si="80"/>
        <v>33980</v>
      </c>
      <c r="X215" s="2735">
        <f t="shared" si="82"/>
        <v>-3.8190740345636853</v>
      </c>
      <c r="Y215" s="2763">
        <f t="shared" si="87"/>
        <v>-3.011274439845868</v>
      </c>
      <c r="AA215" s="310">
        <f t="shared" ref="AA215:AA222" si="88">SUM(N225:S225)</f>
        <v>15919</v>
      </c>
    </row>
    <row r="216" spans="1:29">
      <c r="A216" s="2748" t="s">
        <v>1597</v>
      </c>
      <c r="B216" s="2752">
        <v>7</v>
      </c>
      <c r="C216" s="2753">
        <v>132</v>
      </c>
      <c r="D216" s="3171">
        <v>179</v>
      </c>
      <c r="E216" s="3172"/>
      <c r="F216" s="2754">
        <v>549</v>
      </c>
      <c r="G216" s="2755">
        <v>878</v>
      </c>
      <c r="H216" s="2755">
        <v>14911</v>
      </c>
      <c r="I216" s="2755">
        <v>1086</v>
      </c>
      <c r="J216" s="2756"/>
      <c r="K216" s="2755">
        <v>280</v>
      </c>
      <c r="L216" s="1564"/>
      <c r="M216" s="2750">
        <f t="shared" si="84"/>
        <v>18022</v>
      </c>
      <c r="N216" s="2765">
        <v>1816</v>
      </c>
      <c r="O216" s="2753">
        <v>1979</v>
      </c>
      <c r="P216" s="2756">
        <v>1725</v>
      </c>
      <c r="Q216" s="2753">
        <v>1700</v>
      </c>
      <c r="R216" s="2766">
        <v>1933</v>
      </c>
      <c r="S216" s="2755">
        <v>6655</v>
      </c>
      <c r="T216" s="2746">
        <f t="shared" si="76"/>
        <v>15808</v>
      </c>
      <c r="U216" s="2755">
        <v>288</v>
      </c>
      <c r="V216" s="2733">
        <f t="shared" si="79"/>
        <v>16096</v>
      </c>
      <c r="W216" s="2734">
        <f t="shared" si="80"/>
        <v>34118</v>
      </c>
      <c r="X216" s="2735">
        <f t="shared" si="82"/>
        <v>-3.8262447302417457</v>
      </c>
      <c r="Y216" s="2763">
        <f t="shared" si="87"/>
        <v>-2.536707992915499</v>
      </c>
      <c r="Z216" s="310">
        <f>SUM(N218:U218)</f>
        <v>31835</v>
      </c>
      <c r="AA216" s="310">
        <f t="shared" si="88"/>
        <v>15922</v>
      </c>
      <c r="AB216" s="1280"/>
      <c r="AC216" s="1280"/>
    </row>
    <row r="217" spans="1:29" s="1280" customFormat="1">
      <c r="A217" s="2748" t="s">
        <v>1598</v>
      </c>
      <c r="B217" s="2752">
        <v>7</v>
      </c>
      <c r="C217" s="2753">
        <v>132</v>
      </c>
      <c r="D217" s="3171">
        <v>179</v>
      </c>
      <c r="E217" s="3172"/>
      <c r="F217" s="2754">
        <v>548</v>
      </c>
      <c r="G217" s="2755">
        <v>874</v>
      </c>
      <c r="H217" s="2755">
        <v>14341</v>
      </c>
      <c r="I217" s="2755">
        <v>1185</v>
      </c>
      <c r="J217" s="2756"/>
      <c r="K217" s="2755">
        <v>426</v>
      </c>
      <c r="L217" s="1564"/>
      <c r="M217" s="2750">
        <f t="shared" si="84"/>
        <v>17692</v>
      </c>
      <c r="N217" s="2765">
        <v>1803</v>
      </c>
      <c r="O217" s="2753">
        <v>2018</v>
      </c>
      <c r="P217" s="2756">
        <v>1724</v>
      </c>
      <c r="Q217" s="2753">
        <v>1695</v>
      </c>
      <c r="R217" s="2766">
        <v>1923</v>
      </c>
      <c r="S217" s="2755">
        <v>6640</v>
      </c>
      <c r="T217" s="2746">
        <f t="shared" si="76"/>
        <v>15803</v>
      </c>
      <c r="U217" s="2755">
        <v>285</v>
      </c>
      <c r="V217" s="2733">
        <f t="shared" si="79"/>
        <v>16088</v>
      </c>
      <c r="W217" s="2734">
        <f t="shared" si="80"/>
        <v>33780</v>
      </c>
      <c r="X217" s="2735">
        <f t="shared" si="82"/>
        <v>-4.5687469658557633</v>
      </c>
      <c r="Y217" s="2763">
        <f t="shared" si="87"/>
        <v>-2.8696302260049489</v>
      </c>
      <c r="AA217" s="310">
        <f t="shared" si="88"/>
        <v>15994</v>
      </c>
      <c r="AB217" s="249"/>
      <c r="AC217" s="249"/>
    </row>
    <row r="218" spans="1:29">
      <c r="A218" s="2748" t="s">
        <v>1599</v>
      </c>
      <c r="B218" s="2752">
        <v>7</v>
      </c>
      <c r="C218" s="2753">
        <v>132</v>
      </c>
      <c r="D218" s="3171">
        <v>179</v>
      </c>
      <c r="E218" s="3172"/>
      <c r="F218" s="2754">
        <v>548</v>
      </c>
      <c r="G218" s="2755">
        <v>872</v>
      </c>
      <c r="H218" s="2755">
        <v>14740</v>
      </c>
      <c r="I218" s="2755">
        <v>1083</v>
      </c>
      <c r="J218" s="2756"/>
      <c r="K218" s="2755">
        <v>282</v>
      </c>
      <c r="L218" s="1564"/>
      <c r="M218" s="2750">
        <f t="shared" si="84"/>
        <v>17843</v>
      </c>
      <c r="N218" s="2765">
        <v>1800</v>
      </c>
      <c r="O218" s="2753">
        <v>2016</v>
      </c>
      <c r="P218" s="2756">
        <v>1714</v>
      </c>
      <c r="Q218" s="2753">
        <v>1694</v>
      </c>
      <c r="R218" s="2766">
        <v>1915</v>
      </c>
      <c r="S218" s="2755">
        <v>6636</v>
      </c>
      <c r="T218" s="2746">
        <f t="shared" si="76"/>
        <v>15775</v>
      </c>
      <c r="U218" s="2755">
        <v>285</v>
      </c>
      <c r="V218" s="2733">
        <f t="shared" si="79"/>
        <v>16060</v>
      </c>
      <c r="W218" s="2734">
        <f t="shared" si="80"/>
        <v>33903</v>
      </c>
      <c r="X218" s="2735">
        <f t="shared" si="82"/>
        <v>-3.728283155282186</v>
      </c>
      <c r="Y218" s="2763">
        <f t="shared" si="87"/>
        <v>-2.4598653547384774</v>
      </c>
      <c r="AA218" s="310">
        <f t="shared" si="88"/>
        <v>15974</v>
      </c>
    </row>
    <row r="219" spans="1:29">
      <c r="A219" s="2748" t="s">
        <v>1600</v>
      </c>
      <c r="B219" s="2752">
        <v>7</v>
      </c>
      <c r="C219" s="2753">
        <v>132</v>
      </c>
      <c r="D219" s="3171">
        <v>180</v>
      </c>
      <c r="E219" s="3172"/>
      <c r="F219" s="2754">
        <v>548</v>
      </c>
      <c r="G219" s="2755">
        <v>875</v>
      </c>
      <c r="H219" s="2755">
        <v>14738</v>
      </c>
      <c r="I219" s="2755">
        <v>1082</v>
      </c>
      <c r="J219" s="2756"/>
      <c r="K219" s="2755">
        <v>283</v>
      </c>
      <c r="L219" s="1564"/>
      <c r="M219" s="2750">
        <f t="shared" si="84"/>
        <v>17845</v>
      </c>
      <c r="N219" s="2765">
        <v>1799</v>
      </c>
      <c r="O219" s="2753">
        <v>2012</v>
      </c>
      <c r="P219" s="2756">
        <v>1714</v>
      </c>
      <c r="Q219" s="2753">
        <v>1684</v>
      </c>
      <c r="R219" s="2766">
        <v>1908</v>
      </c>
      <c r="S219" s="2755">
        <v>6661</v>
      </c>
      <c r="T219" s="2746">
        <f t="shared" si="76"/>
        <v>15778</v>
      </c>
      <c r="U219" s="2755">
        <v>285</v>
      </c>
      <c r="V219" s="2733">
        <f t="shared" si="79"/>
        <v>16063</v>
      </c>
      <c r="W219" s="2734">
        <f t="shared" si="80"/>
        <v>33908</v>
      </c>
      <c r="X219" s="2735">
        <f t="shared" si="82"/>
        <v>-3.7019049160865625</v>
      </c>
      <c r="Y219" s="2763">
        <f t="shared" si="87"/>
        <v>-2.4174053182916988</v>
      </c>
      <c r="Z219" s="2126"/>
      <c r="AA219" s="310">
        <f t="shared" si="88"/>
        <v>15950</v>
      </c>
    </row>
    <row r="220" spans="1:29">
      <c r="A220" s="2748" t="s">
        <v>1601</v>
      </c>
      <c r="B220" s="2767">
        <v>7</v>
      </c>
      <c r="C220" s="2768">
        <v>128</v>
      </c>
      <c r="D220" s="3163">
        <v>197</v>
      </c>
      <c r="E220" s="3164"/>
      <c r="F220" s="2769">
        <v>532</v>
      </c>
      <c r="G220" s="2770">
        <v>896</v>
      </c>
      <c r="H220" s="2770">
        <v>14748</v>
      </c>
      <c r="I220" s="2770">
        <v>1091</v>
      </c>
      <c r="J220" s="2771"/>
      <c r="K220" s="2770">
        <v>286</v>
      </c>
      <c r="L220" s="1564"/>
      <c r="M220" s="2772">
        <f t="shared" si="84"/>
        <v>17885</v>
      </c>
      <c r="N220" s="2773">
        <v>1792</v>
      </c>
      <c r="O220" s="2768">
        <v>2010</v>
      </c>
      <c r="P220" s="2771">
        <v>1712</v>
      </c>
      <c r="Q220" s="2768">
        <v>1715</v>
      </c>
      <c r="R220" s="2774">
        <v>1908</v>
      </c>
      <c r="S220" s="2770">
        <v>6645</v>
      </c>
      <c r="T220" s="2746">
        <f t="shared" si="76"/>
        <v>15782</v>
      </c>
      <c r="U220" s="2770">
        <v>289</v>
      </c>
      <c r="V220" s="2733">
        <f t="shared" si="79"/>
        <v>16071</v>
      </c>
      <c r="W220" s="2734">
        <f t="shared" si="80"/>
        <v>33956</v>
      </c>
      <c r="X220" s="2735">
        <f t="shared" si="82"/>
        <v>-3.5016726017049749</v>
      </c>
      <c r="Y220" s="2763">
        <f t="shared" si="87"/>
        <v>-1.9377942068328213</v>
      </c>
      <c r="Z220" s="2126"/>
      <c r="AA220" s="310">
        <f t="shared" si="88"/>
        <v>15935</v>
      </c>
    </row>
    <row r="221" spans="1:29">
      <c r="A221" s="2748" t="s">
        <v>1602</v>
      </c>
      <c r="B221" s="2777">
        <v>8</v>
      </c>
      <c r="C221" s="2778">
        <v>686</v>
      </c>
      <c r="D221" s="3177">
        <v>150</v>
      </c>
      <c r="E221" s="3178"/>
      <c r="F221" s="2779">
        <v>651</v>
      </c>
      <c r="G221" s="2757">
        <v>10946</v>
      </c>
      <c r="H221" s="2757">
        <v>244</v>
      </c>
      <c r="I221" s="2757">
        <v>5635</v>
      </c>
      <c r="J221" s="2780"/>
      <c r="K221" s="2757">
        <v>274</v>
      </c>
      <c r="L221" s="1564"/>
      <c r="M221" s="2751">
        <f t="shared" si="84"/>
        <v>18594</v>
      </c>
      <c r="N221" s="2781">
        <v>1828</v>
      </c>
      <c r="O221" s="2782">
        <v>1988</v>
      </c>
      <c r="P221" s="2783">
        <v>1709</v>
      </c>
      <c r="Q221" s="2782">
        <v>1722</v>
      </c>
      <c r="R221" s="2784">
        <v>2002</v>
      </c>
      <c r="S221" s="2757">
        <v>6766</v>
      </c>
      <c r="T221" s="2746">
        <f t="shared" ref="T221:T252" si="89">SUM(N221:S221)</f>
        <v>16015</v>
      </c>
      <c r="U221" s="2757">
        <v>296</v>
      </c>
      <c r="V221" s="2733">
        <f t="shared" si="79"/>
        <v>16311</v>
      </c>
      <c r="W221" s="2734">
        <f t="shared" si="80"/>
        <v>34905</v>
      </c>
      <c r="X221" s="2735">
        <f t="shared" si="82"/>
        <v>1.418130249809102</v>
      </c>
      <c r="Y221" s="2762">
        <f t="shared" si="87"/>
        <v>2.5381158015334471</v>
      </c>
      <c r="Z221" s="2126"/>
      <c r="AA221" s="310">
        <f t="shared" si="88"/>
        <v>15928</v>
      </c>
      <c r="AB221" s="1280"/>
      <c r="AC221" s="1280"/>
    </row>
    <row r="222" spans="1:29" s="1280" customFormat="1">
      <c r="A222" s="2748" t="s">
        <v>1603</v>
      </c>
      <c r="B222" s="2752">
        <v>8</v>
      </c>
      <c r="C222" s="2753">
        <v>698</v>
      </c>
      <c r="D222" s="3171">
        <v>158</v>
      </c>
      <c r="E222" s="3172"/>
      <c r="F222" s="2754">
        <v>670</v>
      </c>
      <c r="G222" s="2755">
        <v>10916</v>
      </c>
      <c r="H222" s="2776">
        <v>258</v>
      </c>
      <c r="I222" s="2755">
        <v>5613</v>
      </c>
      <c r="J222" s="2756"/>
      <c r="K222" s="2755">
        <v>258</v>
      </c>
      <c r="L222" s="1564"/>
      <c r="M222" s="2750">
        <f t="shared" si="84"/>
        <v>18579</v>
      </c>
      <c r="N222" s="2764">
        <v>1829</v>
      </c>
      <c r="O222" s="2759">
        <v>1981</v>
      </c>
      <c r="P222" s="2760">
        <v>1704</v>
      </c>
      <c r="Q222" s="2759">
        <v>1722</v>
      </c>
      <c r="R222" s="2761">
        <v>2000</v>
      </c>
      <c r="S222" s="2755">
        <v>6767</v>
      </c>
      <c r="T222" s="2746">
        <f t="shared" si="89"/>
        <v>16003</v>
      </c>
      <c r="U222" s="2755">
        <v>296</v>
      </c>
      <c r="V222" s="2733">
        <f t="shared" si="79"/>
        <v>16299</v>
      </c>
      <c r="W222" s="2734">
        <f t="shared" si="80"/>
        <v>34878</v>
      </c>
      <c r="X222" s="2735">
        <f t="shared" si="82"/>
        <v>0.28067145247476777</v>
      </c>
      <c r="Y222" s="2762">
        <f t="shared" si="87"/>
        <v>1.9079620160701305</v>
      </c>
      <c r="Z222" s="2126"/>
      <c r="AA222" s="310">
        <f t="shared" si="88"/>
        <v>15804</v>
      </c>
      <c r="AB222" s="249"/>
      <c r="AC222" s="249"/>
    </row>
    <row r="223" spans="1:29">
      <c r="A223" s="2748" t="s">
        <v>1604</v>
      </c>
      <c r="B223" s="2752">
        <v>8</v>
      </c>
      <c r="C223" s="2753">
        <v>698</v>
      </c>
      <c r="D223" s="3171">
        <v>159</v>
      </c>
      <c r="E223" s="3172"/>
      <c r="F223" s="2754">
        <v>794</v>
      </c>
      <c r="G223" s="2755">
        <v>10820</v>
      </c>
      <c r="H223" s="2755">
        <v>261</v>
      </c>
      <c r="I223" s="2755">
        <v>5548</v>
      </c>
      <c r="J223" s="2756"/>
      <c r="K223" s="2755">
        <v>280</v>
      </c>
      <c r="L223" s="1564"/>
      <c r="M223" s="2750">
        <f t="shared" si="84"/>
        <v>18568</v>
      </c>
      <c r="N223" s="2758">
        <v>1812</v>
      </c>
      <c r="O223" s="2759">
        <v>2042</v>
      </c>
      <c r="P223" s="2760">
        <v>1702</v>
      </c>
      <c r="Q223" s="2759">
        <v>1709</v>
      </c>
      <c r="R223" s="2761">
        <v>1987</v>
      </c>
      <c r="S223" s="2755">
        <v>6688</v>
      </c>
      <c r="T223" s="2746">
        <f t="shared" si="89"/>
        <v>15940</v>
      </c>
      <c r="U223" s="2757">
        <v>296</v>
      </c>
      <c r="V223" s="2733">
        <f t="shared" si="79"/>
        <v>16236</v>
      </c>
      <c r="W223" s="2734">
        <f t="shared" si="80"/>
        <v>34804</v>
      </c>
      <c r="X223" s="2735">
        <f t="shared" si="82"/>
        <v>1.1880108991825677</v>
      </c>
      <c r="Y223" s="2762">
        <f t="shared" si="87"/>
        <v>2.2143906020557935</v>
      </c>
      <c r="AA223" s="310">
        <f>SUM(N233:U233)</f>
        <v>31134</v>
      </c>
    </row>
    <row r="224" spans="1:29" s="1280" customFormat="1">
      <c r="A224" s="2748" t="s">
        <v>1605</v>
      </c>
      <c r="B224" s="2752">
        <v>6</v>
      </c>
      <c r="C224" s="2753">
        <v>712</v>
      </c>
      <c r="D224" s="3171">
        <v>162</v>
      </c>
      <c r="E224" s="3172"/>
      <c r="F224" s="2754">
        <v>767</v>
      </c>
      <c r="G224" s="2755">
        <v>10818</v>
      </c>
      <c r="H224" s="2755">
        <v>269</v>
      </c>
      <c r="I224" s="2755">
        <v>5540</v>
      </c>
      <c r="J224" s="2756"/>
      <c r="K224" s="2755">
        <v>289</v>
      </c>
      <c r="L224" s="1564"/>
      <c r="M224" s="2750">
        <f t="shared" si="84"/>
        <v>18563</v>
      </c>
      <c r="N224" s="2758">
        <v>1811</v>
      </c>
      <c r="O224" s="2759">
        <v>2041</v>
      </c>
      <c r="P224" s="2760">
        <v>1690</v>
      </c>
      <c r="Q224" s="2759">
        <v>1710</v>
      </c>
      <c r="R224" s="2761">
        <v>1989</v>
      </c>
      <c r="S224" s="2755">
        <v>6684</v>
      </c>
      <c r="T224" s="2746">
        <f t="shared" si="89"/>
        <v>15925</v>
      </c>
      <c r="U224" s="2755">
        <v>293</v>
      </c>
      <c r="V224" s="2733">
        <f t="shared" si="79"/>
        <v>16218</v>
      </c>
      <c r="W224" s="2734">
        <f t="shared" si="80"/>
        <v>34781</v>
      </c>
      <c r="X224" s="2735">
        <f t="shared" si="82"/>
        <v>1.1497384481255368</v>
      </c>
      <c r="Y224" s="2762">
        <f t="shared" si="87"/>
        <v>2.1558433929568022</v>
      </c>
      <c r="Z224" s="2126">
        <f>SUM(N226:S226)</f>
        <v>15922</v>
      </c>
      <c r="AA224" s="310">
        <f>SUM(N234:U234)</f>
        <v>31116</v>
      </c>
      <c r="AB224" s="249"/>
      <c r="AC224" s="249"/>
    </row>
    <row r="225" spans="1:29">
      <c r="A225" s="2748" t="s">
        <v>1606</v>
      </c>
      <c r="B225" s="2752">
        <v>5</v>
      </c>
      <c r="C225" s="2753">
        <v>712</v>
      </c>
      <c r="D225" s="3171">
        <v>162</v>
      </c>
      <c r="E225" s="3172"/>
      <c r="F225" s="2754">
        <v>662</v>
      </c>
      <c r="G225" s="2755">
        <v>10864</v>
      </c>
      <c r="H225" s="2755">
        <v>269</v>
      </c>
      <c r="I225" s="2755">
        <v>5591</v>
      </c>
      <c r="J225" s="2756"/>
      <c r="K225" s="2755">
        <v>291</v>
      </c>
      <c r="L225" s="1564"/>
      <c r="M225" s="2750">
        <f t="shared" si="84"/>
        <v>18556</v>
      </c>
      <c r="N225" s="2758">
        <v>1811</v>
      </c>
      <c r="O225" s="2759">
        <v>2040</v>
      </c>
      <c r="P225" s="2760">
        <v>1688</v>
      </c>
      <c r="Q225" s="2759">
        <v>1710</v>
      </c>
      <c r="R225" s="2761">
        <v>1987</v>
      </c>
      <c r="S225" s="2755">
        <v>6683</v>
      </c>
      <c r="T225" s="2746">
        <f t="shared" si="89"/>
        <v>15919</v>
      </c>
      <c r="U225" s="2755">
        <v>293</v>
      </c>
      <c r="V225" s="2733">
        <f t="shared" si="79"/>
        <v>16212</v>
      </c>
      <c r="W225" s="2734">
        <f t="shared" si="80"/>
        <v>34768</v>
      </c>
      <c r="X225" s="2735">
        <f t="shared" si="82"/>
        <v>1.1446636869072213</v>
      </c>
      <c r="Y225" s="2762">
        <f t="shared" si="87"/>
        <v>1.5598527779400628</v>
      </c>
      <c r="AA225" s="310">
        <f>SUM(N235:U235)</f>
        <v>31120</v>
      </c>
    </row>
    <row r="226" spans="1:29">
      <c r="A226" s="2748" t="s">
        <v>1607</v>
      </c>
      <c r="B226" s="2752">
        <v>5</v>
      </c>
      <c r="C226" s="2753">
        <v>714</v>
      </c>
      <c r="D226" s="3171">
        <v>161</v>
      </c>
      <c r="E226" s="3172"/>
      <c r="F226" s="2754">
        <v>666</v>
      </c>
      <c r="G226" s="2755">
        <v>10861</v>
      </c>
      <c r="H226" s="2755">
        <v>269</v>
      </c>
      <c r="I226" s="2755">
        <v>5584</v>
      </c>
      <c r="J226" s="2756"/>
      <c r="K226" s="2755">
        <v>292</v>
      </c>
      <c r="L226" s="1564"/>
      <c r="M226" s="2750">
        <f t="shared" si="84"/>
        <v>18552</v>
      </c>
      <c r="N226" s="2764">
        <v>1811</v>
      </c>
      <c r="O226" s="2759">
        <v>2038</v>
      </c>
      <c r="P226" s="2760">
        <v>1684</v>
      </c>
      <c r="Q226" s="2759">
        <v>1717</v>
      </c>
      <c r="R226" s="2761">
        <v>1987</v>
      </c>
      <c r="S226" s="2755">
        <v>6685</v>
      </c>
      <c r="T226" s="2746">
        <f t="shared" si="89"/>
        <v>15922</v>
      </c>
      <c r="U226" s="2755">
        <v>293</v>
      </c>
      <c r="V226" s="2733">
        <f t="shared" si="79"/>
        <v>16215</v>
      </c>
      <c r="W226" s="2734">
        <f t="shared" si="80"/>
        <v>34767</v>
      </c>
      <c r="X226" s="2735">
        <f t="shared" si="82"/>
        <v>-9.1550433518228225E-2</v>
      </c>
      <c r="Y226" s="2762">
        <f t="shared" si="87"/>
        <v>0.73887343532683669</v>
      </c>
      <c r="AA226" s="310">
        <f>SUM(N236:U236)</f>
        <v>31110</v>
      </c>
      <c r="AB226" s="1280"/>
      <c r="AC226" s="1280"/>
    </row>
    <row r="227" spans="1:29">
      <c r="A227" s="2748" t="s">
        <v>1608</v>
      </c>
      <c r="B227" s="2752">
        <v>5</v>
      </c>
      <c r="C227" s="2753">
        <v>714</v>
      </c>
      <c r="D227" s="3171">
        <v>160</v>
      </c>
      <c r="E227" s="3172"/>
      <c r="F227" s="2754">
        <v>861</v>
      </c>
      <c r="G227" s="2755">
        <v>10862</v>
      </c>
      <c r="H227" s="2755">
        <v>269</v>
      </c>
      <c r="I227" s="2755">
        <v>5584</v>
      </c>
      <c r="J227" s="2756"/>
      <c r="K227" s="2755">
        <v>293</v>
      </c>
      <c r="L227" s="1564"/>
      <c r="M227" s="2750">
        <f t="shared" si="84"/>
        <v>18748</v>
      </c>
      <c r="N227" s="2765">
        <v>1812</v>
      </c>
      <c r="O227" s="2753">
        <v>2072</v>
      </c>
      <c r="P227" s="2756">
        <v>1684</v>
      </c>
      <c r="Q227" s="2753">
        <v>1763</v>
      </c>
      <c r="R227" s="2766">
        <v>1984</v>
      </c>
      <c r="S227" s="2755">
        <v>6679</v>
      </c>
      <c r="T227" s="2746">
        <f t="shared" si="89"/>
        <v>15994</v>
      </c>
      <c r="U227" s="2755">
        <v>293</v>
      </c>
      <c r="V227" s="2733">
        <f t="shared" si="79"/>
        <v>16287</v>
      </c>
      <c r="W227" s="2734">
        <f t="shared" si="80"/>
        <v>35035</v>
      </c>
      <c r="X227" s="2735">
        <f t="shared" si="82"/>
        <v>1.0401509027216482</v>
      </c>
      <c r="Y227" s="2762">
        <f t="shared" si="87"/>
        <v>1.3832219231993514</v>
      </c>
      <c r="AA227" s="310">
        <f t="shared" ref="AA227:AA234" si="90">SUM(N237:S237)</f>
        <v>15609</v>
      </c>
    </row>
    <row r="228" spans="1:29">
      <c r="A228" s="2748" t="s">
        <v>1609</v>
      </c>
      <c r="B228" s="2752">
        <v>6</v>
      </c>
      <c r="C228" s="2753">
        <v>717</v>
      </c>
      <c r="D228" s="3171">
        <v>161</v>
      </c>
      <c r="E228" s="3172"/>
      <c r="F228" s="2754">
        <v>677</v>
      </c>
      <c r="G228" s="2755">
        <v>10954</v>
      </c>
      <c r="H228" s="2755">
        <v>267</v>
      </c>
      <c r="I228" s="2755">
        <v>5661</v>
      </c>
      <c r="J228" s="2756"/>
      <c r="K228" s="2755">
        <v>296</v>
      </c>
      <c r="L228" s="1564"/>
      <c r="M228" s="2750">
        <f t="shared" si="84"/>
        <v>18739</v>
      </c>
      <c r="N228" s="2765">
        <v>1809</v>
      </c>
      <c r="O228" s="2753">
        <v>2072</v>
      </c>
      <c r="P228" s="2756">
        <v>1684</v>
      </c>
      <c r="Q228" s="2753">
        <v>1762</v>
      </c>
      <c r="R228" s="2766">
        <v>1969</v>
      </c>
      <c r="S228" s="2755">
        <v>6678</v>
      </c>
      <c r="T228" s="2746">
        <f t="shared" si="89"/>
        <v>15974</v>
      </c>
      <c r="U228" s="2755">
        <v>293</v>
      </c>
      <c r="V228" s="2733">
        <f t="shared" si="79"/>
        <v>16267</v>
      </c>
      <c r="W228" s="2734">
        <f t="shared" si="80"/>
        <v>35006</v>
      </c>
      <c r="X228" s="2735">
        <f t="shared" si="82"/>
        <v>1.0461040711782221</v>
      </c>
      <c r="Y228" s="2762">
        <f t="shared" si="87"/>
        <v>1.1763345761438115</v>
      </c>
      <c r="Z228" s="310">
        <f>SUM(N230:U230)</f>
        <v>32159</v>
      </c>
      <c r="AA228" s="310">
        <f t="shared" si="90"/>
        <v>15660</v>
      </c>
      <c r="AB228" s="1280"/>
      <c r="AC228" s="1280"/>
    </row>
    <row r="229" spans="1:29" s="1280" customFormat="1">
      <c r="A229" s="2748" t="s">
        <v>1610</v>
      </c>
      <c r="B229" s="2752">
        <v>6</v>
      </c>
      <c r="C229" s="2753">
        <v>727</v>
      </c>
      <c r="D229" s="3171">
        <v>157</v>
      </c>
      <c r="E229" s="3172"/>
      <c r="F229" s="2754">
        <v>648</v>
      </c>
      <c r="G229" s="2755">
        <v>10830</v>
      </c>
      <c r="H229" s="2755">
        <v>267</v>
      </c>
      <c r="I229" s="2755">
        <v>5610</v>
      </c>
      <c r="J229" s="2756"/>
      <c r="K229" s="2755">
        <v>294</v>
      </c>
      <c r="L229" s="1564"/>
      <c r="M229" s="2750">
        <f t="shared" si="84"/>
        <v>18539</v>
      </c>
      <c r="N229" s="2765">
        <v>1798</v>
      </c>
      <c r="O229" s="2753">
        <v>2063</v>
      </c>
      <c r="P229" s="2756">
        <v>1724</v>
      </c>
      <c r="Q229" s="2753">
        <v>1742</v>
      </c>
      <c r="R229" s="2766">
        <v>1957</v>
      </c>
      <c r="S229" s="2755">
        <v>6666</v>
      </c>
      <c r="T229" s="2746">
        <f t="shared" si="89"/>
        <v>15950</v>
      </c>
      <c r="U229" s="2755">
        <v>289</v>
      </c>
      <c r="V229" s="2733">
        <f t="shared" si="79"/>
        <v>16239</v>
      </c>
      <c r="W229" s="2734">
        <f t="shared" si="80"/>
        <v>34778</v>
      </c>
      <c r="X229" s="2735">
        <f t="shared" si="82"/>
        <v>1.1126261248977309</v>
      </c>
      <c r="Y229" s="2762">
        <f t="shared" si="87"/>
        <v>1.3817630597015018</v>
      </c>
      <c r="AA229" s="310">
        <f t="shared" si="90"/>
        <v>15719</v>
      </c>
      <c r="AB229" s="249"/>
      <c r="AC229" s="249"/>
    </row>
    <row r="230" spans="1:29">
      <c r="A230" s="2748" t="s">
        <v>1611</v>
      </c>
      <c r="B230" s="2752">
        <v>6</v>
      </c>
      <c r="C230" s="2753">
        <v>728</v>
      </c>
      <c r="D230" s="3171">
        <v>157</v>
      </c>
      <c r="E230" s="3172"/>
      <c r="F230" s="2754">
        <v>638</v>
      </c>
      <c r="G230" s="2755">
        <v>10837</v>
      </c>
      <c r="H230" s="2755">
        <v>264</v>
      </c>
      <c r="I230" s="2755">
        <v>5609</v>
      </c>
      <c r="J230" s="2756"/>
      <c r="K230" s="2755">
        <v>295</v>
      </c>
      <c r="L230" s="1564"/>
      <c r="M230" s="2750">
        <f t="shared" si="84"/>
        <v>18534</v>
      </c>
      <c r="N230" s="2765">
        <v>1799</v>
      </c>
      <c r="O230" s="2753">
        <v>2060</v>
      </c>
      <c r="P230" s="2756">
        <v>1714</v>
      </c>
      <c r="Q230" s="2753">
        <v>1742</v>
      </c>
      <c r="R230" s="2766">
        <v>1959</v>
      </c>
      <c r="S230" s="2755">
        <v>6661</v>
      </c>
      <c r="T230" s="2746">
        <f t="shared" si="89"/>
        <v>15935</v>
      </c>
      <c r="U230" s="2755">
        <v>289</v>
      </c>
      <c r="V230" s="2733">
        <f t="shared" si="79"/>
        <v>16224</v>
      </c>
      <c r="W230" s="2734">
        <f t="shared" si="80"/>
        <v>34758</v>
      </c>
      <c r="X230" s="2735">
        <f t="shared" si="82"/>
        <v>0.73921078378085259</v>
      </c>
      <c r="Y230" s="2762">
        <f t="shared" si="87"/>
        <v>1.1789363374377748</v>
      </c>
      <c r="AA230" s="310">
        <f t="shared" si="90"/>
        <v>15771</v>
      </c>
    </row>
    <row r="231" spans="1:29">
      <c r="A231" s="2748" t="s">
        <v>1612</v>
      </c>
      <c r="B231" s="2752">
        <v>6</v>
      </c>
      <c r="C231" s="2753">
        <v>728</v>
      </c>
      <c r="D231" s="3171">
        <v>157</v>
      </c>
      <c r="E231" s="3172"/>
      <c r="F231" s="2754">
        <v>638</v>
      </c>
      <c r="G231" s="2755">
        <v>10835</v>
      </c>
      <c r="H231" s="2755">
        <v>263</v>
      </c>
      <c r="I231" s="2755">
        <v>5609</v>
      </c>
      <c r="J231" s="2756"/>
      <c r="K231" s="2755">
        <v>295</v>
      </c>
      <c r="L231" s="1564"/>
      <c r="M231" s="2750">
        <f t="shared" si="84"/>
        <v>18531</v>
      </c>
      <c r="N231" s="2765">
        <v>1799</v>
      </c>
      <c r="O231" s="2753">
        <v>2055</v>
      </c>
      <c r="P231" s="2756">
        <v>1714</v>
      </c>
      <c r="Q231" s="2753">
        <v>1742</v>
      </c>
      <c r="R231" s="2766">
        <v>1957</v>
      </c>
      <c r="S231" s="2755">
        <v>6661</v>
      </c>
      <c r="T231" s="2746">
        <f t="shared" si="89"/>
        <v>15928</v>
      </c>
      <c r="U231" s="2755">
        <v>289</v>
      </c>
      <c r="V231" s="2733">
        <f t="shared" si="79"/>
        <v>16217</v>
      </c>
      <c r="W231" s="2734">
        <f t="shared" si="80"/>
        <v>34748</v>
      </c>
      <c r="X231" s="2735">
        <f t="shared" si="82"/>
        <v>0.70101075970003812</v>
      </c>
      <c r="Y231" s="2762">
        <f t="shared" si="87"/>
        <v>1.1527713088029801</v>
      </c>
      <c r="Z231" s="2126"/>
      <c r="AA231" s="310">
        <f t="shared" si="90"/>
        <v>15688</v>
      </c>
    </row>
    <row r="232" spans="1:29">
      <c r="A232" s="2748" t="s">
        <v>1613</v>
      </c>
      <c r="B232" s="2767">
        <v>3</v>
      </c>
      <c r="C232" s="2768">
        <v>729</v>
      </c>
      <c r="D232" s="3163">
        <v>156</v>
      </c>
      <c r="E232" s="3164"/>
      <c r="F232" s="2769">
        <v>636</v>
      </c>
      <c r="G232" s="2770">
        <v>10839</v>
      </c>
      <c r="H232" s="2770">
        <v>263</v>
      </c>
      <c r="I232" s="2770">
        <v>5616</v>
      </c>
      <c r="J232" s="2771"/>
      <c r="K232" s="2770">
        <v>292</v>
      </c>
      <c r="L232" s="1564"/>
      <c r="M232" s="2772">
        <f t="shared" si="84"/>
        <v>18534</v>
      </c>
      <c r="N232" s="2773">
        <v>1803</v>
      </c>
      <c r="O232" s="2768">
        <v>2058</v>
      </c>
      <c r="P232" s="2771">
        <v>1721</v>
      </c>
      <c r="Q232" s="2768">
        <v>1742</v>
      </c>
      <c r="R232" s="2774">
        <v>1959</v>
      </c>
      <c r="S232" s="2770">
        <v>6521</v>
      </c>
      <c r="T232" s="2746">
        <f t="shared" si="89"/>
        <v>15804</v>
      </c>
      <c r="U232" s="2770">
        <v>289</v>
      </c>
      <c r="V232" s="2733">
        <f t="shared" si="79"/>
        <v>16093</v>
      </c>
      <c r="W232" s="2734">
        <f t="shared" si="80"/>
        <v>34627</v>
      </c>
      <c r="X232" s="2735">
        <f t="shared" si="82"/>
        <v>-0.34948115490079923</v>
      </c>
      <c r="Y232" s="2762">
        <f t="shared" si="87"/>
        <v>-0.82770076755641631</v>
      </c>
      <c r="Z232" s="2126"/>
      <c r="AA232" s="310">
        <f t="shared" si="90"/>
        <v>15674</v>
      </c>
    </row>
    <row r="233" spans="1:29">
      <c r="A233" s="2785" t="s">
        <v>1614</v>
      </c>
      <c r="B233" s="2777">
        <v>8</v>
      </c>
      <c r="C233" s="2778">
        <v>752</v>
      </c>
      <c r="D233" s="3177">
        <v>163</v>
      </c>
      <c r="E233" s="3178"/>
      <c r="F233" s="2779">
        <v>661</v>
      </c>
      <c r="G233" s="2757">
        <v>3280</v>
      </c>
      <c r="H233" s="2757">
        <v>7552</v>
      </c>
      <c r="I233" s="2757">
        <v>5684</v>
      </c>
      <c r="J233" s="2780"/>
      <c r="K233" s="2757">
        <v>234</v>
      </c>
      <c r="L233" s="1564"/>
      <c r="M233" s="2751">
        <f t="shared" si="84"/>
        <v>18334</v>
      </c>
      <c r="N233" s="2781">
        <v>1821</v>
      </c>
      <c r="O233" s="2782">
        <v>1983</v>
      </c>
      <c r="P233" s="2783">
        <v>1642</v>
      </c>
      <c r="Q233" s="2782">
        <v>1629</v>
      </c>
      <c r="R233" s="2784">
        <v>1917</v>
      </c>
      <c r="S233" s="2757">
        <v>6435</v>
      </c>
      <c r="T233" s="2746">
        <f t="shared" si="89"/>
        <v>15427</v>
      </c>
      <c r="U233" s="2757">
        <v>280</v>
      </c>
      <c r="V233" s="2733">
        <f t="shared" si="79"/>
        <v>15707</v>
      </c>
      <c r="W233" s="2734">
        <f t="shared" si="80"/>
        <v>34041</v>
      </c>
      <c r="X233" s="2735">
        <f t="shared" si="82"/>
        <v>-0.65026552508941071</v>
      </c>
      <c r="Y233" s="2762">
        <f t="shared" si="87"/>
        <v>1.4453450947669477</v>
      </c>
      <c r="Z233" s="2126"/>
      <c r="AA233" s="310">
        <f t="shared" si="90"/>
        <v>15669</v>
      </c>
      <c r="AB233" s="1280"/>
      <c r="AC233" s="1280"/>
    </row>
    <row r="234" spans="1:29" s="1280" customFormat="1">
      <c r="A234" s="2785" t="s">
        <v>1615</v>
      </c>
      <c r="B234" s="2752">
        <v>8</v>
      </c>
      <c r="C234" s="2753">
        <v>811</v>
      </c>
      <c r="D234" s="3171">
        <v>132</v>
      </c>
      <c r="E234" s="3172"/>
      <c r="F234" s="2754">
        <v>861</v>
      </c>
      <c r="G234" s="2755">
        <v>3301</v>
      </c>
      <c r="H234" s="2776">
        <v>7519</v>
      </c>
      <c r="I234" s="2755">
        <v>5651</v>
      </c>
      <c r="J234" s="2756"/>
      <c r="K234" s="2755">
        <v>244</v>
      </c>
      <c r="L234" s="1564"/>
      <c r="M234" s="2750">
        <f t="shared" si="84"/>
        <v>18527</v>
      </c>
      <c r="N234" s="2764">
        <v>1819</v>
      </c>
      <c r="O234" s="2759">
        <v>1980</v>
      </c>
      <c r="P234" s="2760">
        <v>1641</v>
      </c>
      <c r="Q234" s="2759">
        <v>1629</v>
      </c>
      <c r="R234" s="2761">
        <v>1915</v>
      </c>
      <c r="S234" s="2755">
        <v>6434</v>
      </c>
      <c r="T234" s="2746">
        <f t="shared" si="89"/>
        <v>15418</v>
      </c>
      <c r="U234" s="2755">
        <v>280</v>
      </c>
      <c r="V234" s="2733">
        <f t="shared" si="79"/>
        <v>15698</v>
      </c>
      <c r="W234" s="2734">
        <f t="shared" si="80"/>
        <v>34225</v>
      </c>
      <c r="X234" s="2735">
        <f t="shared" si="82"/>
        <v>0.46090445721722606</v>
      </c>
      <c r="Y234" s="2763">
        <f t="shared" si="87"/>
        <v>1.7027219778913638</v>
      </c>
      <c r="Z234" s="2126"/>
      <c r="AA234" s="310">
        <f t="shared" si="90"/>
        <v>16021</v>
      </c>
      <c r="AB234" s="249"/>
      <c r="AC234" s="249"/>
    </row>
    <row r="235" spans="1:29">
      <c r="A235" s="2785" t="s">
        <v>1616</v>
      </c>
      <c r="B235" s="2752">
        <v>7</v>
      </c>
      <c r="C235" s="2753">
        <v>798</v>
      </c>
      <c r="D235" s="3171">
        <v>133</v>
      </c>
      <c r="E235" s="3172"/>
      <c r="F235" s="2754">
        <v>659</v>
      </c>
      <c r="G235" s="2755">
        <v>3303</v>
      </c>
      <c r="H235" s="2755">
        <v>7520</v>
      </c>
      <c r="I235" s="2755">
        <v>5685</v>
      </c>
      <c r="J235" s="2756"/>
      <c r="K235" s="2755">
        <v>245</v>
      </c>
      <c r="L235" s="1564"/>
      <c r="M235" s="2750">
        <f t="shared" si="84"/>
        <v>18350</v>
      </c>
      <c r="N235" s="2758">
        <v>1807</v>
      </c>
      <c r="O235" s="2759">
        <v>1966</v>
      </c>
      <c r="P235" s="2760">
        <v>1641</v>
      </c>
      <c r="Q235" s="2759">
        <v>1697</v>
      </c>
      <c r="R235" s="2761">
        <v>1907</v>
      </c>
      <c r="S235" s="2755">
        <v>6402</v>
      </c>
      <c r="T235" s="2746">
        <f t="shared" si="89"/>
        <v>15420</v>
      </c>
      <c r="U235" s="2755">
        <v>280</v>
      </c>
      <c r="V235" s="2733">
        <f t="shared" si="79"/>
        <v>15700</v>
      </c>
      <c r="W235" s="2734">
        <f t="shared" si="80"/>
        <v>34050</v>
      </c>
      <c r="X235" s="2735">
        <f t="shared" si="82"/>
        <v>0.5589653660675209</v>
      </c>
      <c r="Y235" s="2763">
        <f t="shared" si="87"/>
        <v>1.7998086582157402</v>
      </c>
      <c r="AA235" s="310">
        <f>SUM(N245:U245)</f>
        <v>29937</v>
      </c>
    </row>
    <row r="236" spans="1:29" s="1280" customFormat="1">
      <c r="A236" s="2785" t="s">
        <v>1617</v>
      </c>
      <c r="B236" s="2752">
        <v>7</v>
      </c>
      <c r="C236" s="2753">
        <v>798</v>
      </c>
      <c r="D236" s="3171">
        <v>135</v>
      </c>
      <c r="E236" s="3172"/>
      <c r="F236" s="2754">
        <v>662</v>
      </c>
      <c r="G236" s="2755">
        <v>3307</v>
      </c>
      <c r="H236" s="2755">
        <v>7515</v>
      </c>
      <c r="I236" s="2755">
        <v>5682</v>
      </c>
      <c r="J236" s="2756"/>
      <c r="K236" s="2755">
        <v>246</v>
      </c>
      <c r="L236" s="1564"/>
      <c r="M236" s="2750">
        <f t="shared" si="84"/>
        <v>18352</v>
      </c>
      <c r="N236" s="2758">
        <v>1807</v>
      </c>
      <c r="O236" s="2759">
        <v>1965</v>
      </c>
      <c r="P236" s="2760">
        <v>1622</v>
      </c>
      <c r="Q236" s="2759">
        <v>1697</v>
      </c>
      <c r="R236" s="2761">
        <v>1901</v>
      </c>
      <c r="S236" s="2755">
        <v>6423</v>
      </c>
      <c r="T236" s="2746">
        <f t="shared" si="89"/>
        <v>15415</v>
      </c>
      <c r="U236" s="2755">
        <v>280</v>
      </c>
      <c r="V236" s="2733">
        <f t="shared" si="79"/>
        <v>15695</v>
      </c>
      <c r="W236" s="2734">
        <f t="shared" si="80"/>
        <v>34047</v>
      </c>
      <c r="X236" s="2735">
        <f t="shared" si="82"/>
        <v>0.60851926977687487</v>
      </c>
      <c r="Y236" s="2763">
        <f t="shared" si="87"/>
        <v>1.4753218884120178</v>
      </c>
      <c r="Z236" s="2126">
        <f>SUM(N238:S238)</f>
        <v>15660</v>
      </c>
      <c r="AA236" s="310">
        <f>SUM(N246:U246)</f>
        <v>30153</v>
      </c>
      <c r="AB236" s="249"/>
      <c r="AC236" s="249"/>
    </row>
    <row r="237" spans="1:29">
      <c r="A237" s="2785" t="s">
        <v>1618</v>
      </c>
      <c r="B237" s="2752">
        <v>7</v>
      </c>
      <c r="C237" s="2753">
        <v>798</v>
      </c>
      <c r="D237" s="3171">
        <v>135</v>
      </c>
      <c r="E237" s="3172"/>
      <c r="F237" s="2754">
        <v>663</v>
      </c>
      <c r="G237" s="2755">
        <v>3305</v>
      </c>
      <c r="H237" s="2755">
        <v>7511</v>
      </c>
      <c r="I237" s="2755">
        <v>5679</v>
      </c>
      <c r="J237" s="2756"/>
      <c r="K237" s="2755">
        <v>248</v>
      </c>
      <c r="L237" s="1564"/>
      <c r="M237" s="2750">
        <f t="shared" si="84"/>
        <v>18346</v>
      </c>
      <c r="N237" s="2758">
        <v>1807</v>
      </c>
      <c r="O237" s="2759">
        <v>1967</v>
      </c>
      <c r="P237" s="2760">
        <v>1624</v>
      </c>
      <c r="Q237" s="2759">
        <v>1697</v>
      </c>
      <c r="R237" s="2761">
        <v>1899</v>
      </c>
      <c r="S237" s="2755">
        <v>6615</v>
      </c>
      <c r="T237" s="2746">
        <f t="shared" si="89"/>
        <v>15609</v>
      </c>
      <c r="U237" s="2755">
        <v>279</v>
      </c>
      <c r="V237" s="2733">
        <f t="shared" ref="V237:V264" si="91">SUM(T237:U237)</f>
        <v>15888</v>
      </c>
      <c r="W237" s="2734">
        <f t="shared" ref="W237:W264" si="92">SUM(M237:U237)-T237</f>
        <v>34234</v>
      </c>
      <c r="X237" s="2735">
        <f t="shared" si="82"/>
        <v>-0.55829584259309284</v>
      </c>
      <c r="Y237" s="2763">
        <f t="shared" si="87"/>
        <v>1.1463688471311295</v>
      </c>
      <c r="AA237" s="310">
        <f>SUM(N247:U247)</f>
        <v>30134</v>
      </c>
    </row>
    <row r="238" spans="1:29">
      <c r="A238" s="2785" t="s">
        <v>1619</v>
      </c>
      <c r="B238" s="2752">
        <v>7</v>
      </c>
      <c r="C238" s="2753">
        <v>814</v>
      </c>
      <c r="D238" s="3171">
        <v>134</v>
      </c>
      <c r="E238" s="3172"/>
      <c r="F238" s="2754">
        <v>884</v>
      </c>
      <c r="G238" s="2755">
        <v>3299</v>
      </c>
      <c r="H238" s="2755">
        <v>7510</v>
      </c>
      <c r="I238" s="2755">
        <v>5672</v>
      </c>
      <c r="J238" s="2756"/>
      <c r="K238" s="2755">
        <v>249</v>
      </c>
      <c r="L238" s="1564"/>
      <c r="M238" s="2750">
        <f t="shared" si="84"/>
        <v>18569</v>
      </c>
      <c r="N238" s="2764">
        <v>1805</v>
      </c>
      <c r="O238" s="2759">
        <v>1967</v>
      </c>
      <c r="P238" s="2760">
        <v>1623</v>
      </c>
      <c r="Q238" s="2759">
        <v>1699</v>
      </c>
      <c r="R238" s="2761">
        <v>1961</v>
      </c>
      <c r="S238" s="2755">
        <v>6605</v>
      </c>
      <c r="T238" s="2746">
        <f t="shared" si="89"/>
        <v>15660</v>
      </c>
      <c r="U238" s="2755">
        <v>283</v>
      </c>
      <c r="V238" s="2733">
        <f t="shared" si="91"/>
        <v>15943</v>
      </c>
      <c r="W238" s="2734">
        <f t="shared" si="92"/>
        <v>34512</v>
      </c>
      <c r="X238" s="2735">
        <f t="shared" si="82"/>
        <v>0.46529243088242467</v>
      </c>
      <c r="Y238" s="2763">
        <f t="shared" si="87"/>
        <v>1.868414061808199</v>
      </c>
      <c r="AA238" s="310">
        <f>SUM(N248:U248)</f>
        <v>30356</v>
      </c>
      <c r="AB238" s="1280"/>
      <c r="AC238" s="1280"/>
    </row>
    <row r="239" spans="1:29">
      <c r="A239" s="2785" t="s">
        <v>1620</v>
      </c>
      <c r="B239" s="2752">
        <v>7</v>
      </c>
      <c r="C239" s="2753">
        <v>811</v>
      </c>
      <c r="D239" s="3171">
        <v>134</v>
      </c>
      <c r="E239" s="3172"/>
      <c r="F239" s="2754">
        <v>669</v>
      </c>
      <c r="G239" s="2755">
        <v>3339</v>
      </c>
      <c r="H239" s="2755">
        <v>7580</v>
      </c>
      <c r="I239" s="2755">
        <v>5764</v>
      </c>
      <c r="J239" s="2756"/>
      <c r="K239" s="2755">
        <v>251</v>
      </c>
      <c r="L239" s="1564"/>
      <c r="M239" s="2750">
        <f t="shared" si="84"/>
        <v>18555</v>
      </c>
      <c r="N239" s="2765">
        <v>1845</v>
      </c>
      <c r="O239" s="2753">
        <v>2014</v>
      </c>
      <c r="P239" s="2756">
        <v>1692</v>
      </c>
      <c r="Q239" s="2753">
        <v>1677</v>
      </c>
      <c r="R239" s="2766">
        <v>1886</v>
      </c>
      <c r="S239" s="2755">
        <v>6605</v>
      </c>
      <c r="T239" s="2746">
        <f t="shared" si="89"/>
        <v>15719</v>
      </c>
      <c r="U239" s="2755">
        <v>283</v>
      </c>
      <c r="V239" s="2733">
        <f t="shared" si="91"/>
        <v>16002</v>
      </c>
      <c r="W239" s="2734">
        <f t="shared" si="92"/>
        <v>34557</v>
      </c>
      <c r="X239" s="2735">
        <f t="shared" si="82"/>
        <v>7.5508332883877927E-2</v>
      </c>
      <c r="Y239" s="2763">
        <f t="shared" si="87"/>
        <v>1.8569281103545832</v>
      </c>
      <c r="AA239" s="310">
        <f t="shared" ref="AA239:AA246" si="93">SUM(N249:S249)</f>
        <v>15131</v>
      </c>
    </row>
    <row r="240" spans="1:29">
      <c r="A240" s="2785" t="s">
        <v>1621</v>
      </c>
      <c r="B240" s="2752">
        <v>6</v>
      </c>
      <c r="C240" s="2753">
        <v>815</v>
      </c>
      <c r="D240" s="3171">
        <v>135</v>
      </c>
      <c r="E240" s="3172"/>
      <c r="F240" s="2754">
        <v>663</v>
      </c>
      <c r="G240" s="2755">
        <v>3338</v>
      </c>
      <c r="H240" s="2755">
        <v>7576</v>
      </c>
      <c r="I240" s="2755">
        <v>5759</v>
      </c>
      <c r="J240" s="2756"/>
      <c r="K240" s="2755">
        <v>253</v>
      </c>
      <c r="L240" s="1564"/>
      <c r="M240" s="2750">
        <f t="shared" si="84"/>
        <v>18545</v>
      </c>
      <c r="N240" s="2765">
        <v>1845</v>
      </c>
      <c r="O240" s="2753">
        <v>2005</v>
      </c>
      <c r="P240" s="2756">
        <v>1694</v>
      </c>
      <c r="Q240" s="2753">
        <v>1677</v>
      </c>
      <c r="R240" s="2766">
        <v>1947</v>
      </c>
      <c r="S240" s="2755">
        <v>6603</v>
      </c>
      <c r="T240" s="2746">
        <f t="shared" si="89"/>
        <v>15771</v>
      </c>
      <c r="U240" s="2755">
        <v>283</v>
      </c>
      <c r="V240" s="2733">
        <f t="shared" si="91"/>
        <v>16054</v>
      </c>
      <c r="W240" s="2734">
        <f t="shared" si="92"/>
        <v>34599</v>
      </c>
      <c r="X240" s="2735">
        <f t="shared" si="82"/>
        <v>5.9350383079737057E-2</v>
      </c>
      <c r="Y240" s="2763">
        <f t="shared" si="87"/>
        <v>1.9656960980785065</v>
      </c>
      <c r="Z240" s="310">
        <f>SUM(N242:U242)</f>
        <v>31629</v>
      </c>
      <c r="AA240" s="310">
        <f t="shared" si="93"/>
        <v>15130</v>
      </c>
      <c r="AB240" s="1280"/>
      <c r="AC240" s="1280"/>
    </row>
    <row r="241" spans="1:29" s="1280" customFormat="1">
      <c r="A241" s="2785" t="s">
        <v>1622</v>
      </c>
      <c r="B241" s="2752">
        <v>8</v>
      </c>
      <c r="C241" s="2753">
        <v>818</v>
      </c>
      <c r="D241" s="3171">
        <v>136</v>
      </c>
      <c r="E241" s="3172"/>
      <c r="F241" s="2754">
        <v>636</v>
      </c>
      <c r="G241" s="2755">
        <v>3314</v>
      </c>
      <c r="H241" s="2755">
        <v>7460</v>
      </c>
      <c r="I241" s="2755">
        <v>5704</v>
      </c>
      <c r="J241" s="2756"/>
      <c r="K241" s="2755">
        <v>259</v>
      </c>
      <c r="L241" s="1564"/>
      <c r="M241" s="2750">
        <f t="shared" si="84"/>
        <v>18335</v>
      </c>
      <c r="N241" s="2765">
        <v>1820</v>
      </c>
      <c r="O241" s="2753">
        <v>1991</v>
      </c>
      <c r="P241" s="2756">
        <v>1705</v>
      </c>
      <c r="Q241" s="2753">
        <v>1669</v>
      </c>
      <c r="R241" s="2766">
        <v>1934</v>
      </c>
      <c r="S241" s="2755">
        <v>6569</v>
      </c>
      <c r="T241" s="2746">
        <f t="shared" si="89"/>
        <v>15688</v>
      </c>
      <c r="U241" s="2755">
        <v>281</v>
      </c>
      <c r="V241" s="2733">
        <f t="shared" si="91"/>
        <v>15969</v>
      </c>
      <c r="W241" s="2734">
        <f t="shared" si="92"/>
        <v>34304</v>
      </c>
      <c r="X241" s="2735">
        <f t="shared" si="82"/>
        <v>-9.2632955536176009E-2</v>
      </c>
      <c r="Y241" s="2763">
        <f t="shared" si="87"/>
        <v>1.8527315914489417</v>
      </c>
      <c r="AA241" s="310">
        <f t="shared" si="93"/>
        <v>15120</v>
      </c>
      <c r="AB241" s="249"/>
      <c r="AC241" s="249"/>
    </row>
    <row r="242" spans="1:29">
      <c r="A242" s="2785" t="s">
        <v>1623</v>
      </c>
      <c r="B242" s="2752">
        <v>8</v>
      </c>
      <c r="C242" s="2753">
        <v>820</v>
      </c>
      <c r="D242" s="3171">
        <v>136</v>
      </c>
      <c r="E242" s="3172"/>
      <c r="F242" s="2754">
        <v>634</v>
      </c>
      <c r="G242" s="2755">
        <v>3330</v>
      </c>
      <c r="H242" s="2755">
        <v>7508</v>
      </c>
      <c r="I242" s="2755">
        <v>5700</v>
      </c>
      <c r="J242" s="2756"/>
      <c r="K242" s="2755">
        <v>262</v>
      </c>
      <c r="L242" s="1564"/>
      <c r="M242" s="2750">
        <f t="shared" si="84"/>
        <v>18398</v>
      </c>
      <c r="N242" s="2765">
        <v>1827</v>
      </c>
      <c r="O242" s="2753">
        <v>1992</v>
      </c>
      <c r="P242" s="2756">
        <v>1677</v>
      </c>
      <c r="Q242" s="2753">
        <v>1677</v>
      </c>
      <c r="R242" s="2766">
        <v>1935</v>
      </c>
      <c r="S242" s="2755">
        <v>6566</v>
      </c>
      <c r="T242" s="2746">
        <f t="shared" si="89"/>
        <v>15674</v>
      </c>
      <c r="U242" s="2755">
        <v>281</v>
      </c>
      <c r="V242" s="2733">
        <f t="shared" si="91"/>
        <v>15955</v>
      </c>
      <c r="W242" s="2734">
        <f t="shared" si="92"/>
        <v>34353</v>
      </c>
      <c r="X242" s="2735">
        <f t="shared" ref="X242:X292" si="94">(M242/M254-1)*100</f>
        <v>0.27250926531501296</v>
      </c>
      <c r="Y242" s="2763">
        <f t="shared" si="87"/>
        <v>1.4739764872688577</v>
      </c>
      <c r="AA242" s="310">
        <f t="shared" si="93"/>
        <v>15113</v>
      </c>
    </row>
    <row r="243" spans="1:29">
      <c r="A243" s="2785" t="s">
        <v>1624</v>
      </c>
      <c r="B243" s="2752">
        <v>8</v>
      </c>
      <c r="C243" s="2753">
        <v>822</v>
      </c>
      <c r="D243" s="3171">
        <v>136</v>
      </c>
      <c r="E243" s="3172"/>
      <c r="F243" s="2754">
        <v>633</v>
      </c>
      <c r="G243" s="2755">
        <v>3329</v>
      </c>
      <c r="H243" s="2755">
        <v>7508</v>
      </c>
      <c r="I243" s="2755">
        <v>5703</v>
      </c>
      <c r="J243" s="2756"/>
      <c r="K243" s="2755">
        <v>263</v>
      </c>
      <c r="L243" s="1564"/>
      <c r="M243" s="2750">
        <f t="shared" si="84"/>
        <v>18402</v>
      </c>
      <c r="N243" s="2765">
        <v>1827</v>
      </c>
      <c r="O243" s="2753">
        <v>1990</v>
      </c>
      <c r="P243" s="2756">
        <v>1676</v>
      </c>
      <c r="Q243" s="2753">
        <v>1677</v>
      </c>
      <c r="R243" s="2766">
        <v>1932</v>
      </c>
      <c r="S243" s="2755">
        <v>6567</v>
      </c>
      <c r="T243" s="2746">
        <f t="shared" si="89"/>
        <v>15669</v>
      </c>
      <c r="U243" s="2755">
        <v>281</v>
      </c>
      <c r="V243" s="2733">
        <f t="shared" si="91"/>
        <v>15950</v>
      </c>
      <c r="W243" s="2734">
        <f t="shared" si="92"/>
        <v>34352</v>
      </c>
      <c r="X243" s="2735">
        <f t="shared" si="94"/>
        <v>0.3052436498419242</v>
      </c>
      <c r="Y243" s="2763">
        <f t="shared" si="87"/>
        <v>1.3572524489555038</v>
      </c>
      <c r="Z243" s="2126"/>
      <c r="AA243" s="310">
        <f t="shared" si="93"/>
        <v>15048</v>
      </c>
    </row>
    <row r="244" spans="1:29">
      <c r="A244" s="2785" t="s">
        <v>1625</v>
      </c>
      <c r="B244" s="2767">
        <v>8</v>
      </c>
      <c r="C244" s="2768">
        <v>690</v>
      </c>
      <c r="D244" s="3163">
        <v>149</v>
      </c>
      <c r="E244" s="3164"/>
      <c r="F244" s="2769">
        <v>648</v>
      </c>
      <c r="G244" s="2770">
        <v>10953</v>
      </c>
      <c r="H244" s="2770">
        <v>244</v>
      </c>
      <c r="I244" s="2770">
        <v>5637</v>
      </c>
      <c r="J244" s="2771"/>
      <c r="K244" s="2770">
        <v>270</v>
      </c>
      <c r="L244" s="1564"/>
      <c r="M244" s="2772">
        <f t="shared" si="84"/>
        <v>18599</v>
      </c>
      <c r="N244" s="2773">
        <v>1824</v>
      </c>
      <c r="O244" s="2768">
        <v>1988</v>
      </c>
      <c r="P244" s="2771">
        <v>1725</v>
      </c>
      <c r="Q244" s="2768">
        <v>1720</v>
      </c>
      <c r="R244" s="2774">
        <v>2000</v>
      </c>
      <c r="S244" s="2770">
        <v>6764</v>
      </c>
      <c r="T244" s="2746">
        <f t="shared" si="89"/>
        <v>16021</v>
      </c>
      <c r="U244" s="2770">
        <v>296</v>
      </c>
      <c r="V244" s="2733">
        <f t="shared" si="91"/>
        <v>16317</v>
      </c>
      <c r="W244" s="2734">
        <f t="shared" si="92"/>
        <v>34916</v>
      </c>
      <c r="X244" s="2735">
        <f t="shared" si="94"/>
        <v>1.4011558172500216</v>
      </c>
      <c r="Y244" s="2775">
        <f t="shared" si="87"/>
        <v>2.8726319200966355</v>
      </c>
      <c r="Z244" s="2126"/>
      <c r="AA244" s="310">
        <f t="shared" si="93"/>
        <v>15226</v>
      </c>
    </row>
    <row r="245" spans="1:29">
      <c r="A245" s="2785" t="s">
        <v>1626</v>
      </c>
      <c r="B245" s="2777">
        <v>8</v>
      </c>
      <c r="C245" s="2778">
        <v>720</v>
      </c>
      <c r="D245" s="3177">
        <v>132</v>
      </c>
      <c r="E245" s="3178"/>
      <c r="F245" s="2779">
        <v>886</v>
      </c>
      <c r="G245" s="2757">
        <v>10884</v>
      </c>
      <c r="H245" s="2757"/>
      <c r="I245" s="2757">
        <v>5587</v>
      </c>
      <c r="J245" s="2780"/>
      <c r="K245" s="2757">
        <v>237</v>
      </c>
      <c r="L245" s="1564"/>
      <c r="M245" s="2751">
        <f t="shared" si="84"/>
        <v>18454</v>
      </c>
      <c r="N245" s="2786">
        <v>1639</v>
      </c>
      <c r="O245" s="2778">
        <v>1850</v>
      </c>
      <c r="P245" s="2780">
        <v>1525</v>
      </c>
      <c r="Q245" s="2778">
        <v>1630</v>
      </c>
      <c r="R245" s="2787">
        <v>1830</v>
      </c>
      <c r="S245" s="2757">
        <v>6361</v>
      </c>
      <c r="T245" s="2746">
        <f t="shared" si="89"/>
        <v>14835</v>
      </c>
      <c r="U245" s="2757">
        <v>267</v>
      </c>
      <c r="V245" s="2733">
        <f t="shared" si="91"/>
        <v>15102</v>
      </c>
      <c r="W245" s="2734">
        <f t="shared" si="92"/>
        <v>33556</v>
      </c>
      <c r="X245" s="2735">
        <f t="shared" si="94"/>
        <v>2.0290816608613982</v>
      </c>
      <c r="Y245" s="2762">
        <f t="shared" si="87"/>
        <v>2.5174141512892545</v>
      </c>
      <c r="Z245" s="2126"/>
      <c r="AA245" s="310">
        <f t="shared" si="93"/>
        <v>15266</v>
      </c>
      <c r="AB245" s="1280"/>
      <c r="AC245" s="1280"/>
    </row>
    <row r="246" spans="1:29" s="1280" customFormat="1">
      <c r="A246" s="2785" t="s">
        <v>1627</v>
      </c>
      <c r="B246" s="2752">
        <v>8</v>
      </c>
      <c r="C246" s="2753">
        <v>720</v>
      </c>
      <c r="D246" s="3171">
        <v>132</v>
      </c>
      <c r="E246" s="3172"/>
      <c r="F246" s="2754">
        <v>702</v>
      </c>
      <c r="G246" s="2755">
        <v>10978</v>
      </c>
      <c r="H246" s="2755"/>
      <c r="I246" s="2755">
        <v>5669</v>
      </c>
      <c r="J246" s="2756"/>
      <c r="K246" s="2755">
        <v>233</v>
      </c>
      <c r="L246" s="1564"/>
      <c r="M246" s="2750">
        <f t="shared" si="84"/>
        <v>18442</v>
      </c>
      <c r="N246" s="2765">
        <v>1639</v>
      </c>
      <c r="O246" s="2753">
        <v>1850</v>
      </c>
      <c r="P246" s="2756">
        <v>1600</v>
      </c>
      <c r="Q246" s="2753">
        <v>1662</v>
      </c>
      <c r="R246" s="2766">
        <v>1831</v>
      </c>
      <c r="S246" s="2755">
        <v>6361</v>
      </c>
      <c r="T246" s="2746">
        <f t="shared" si="89"/>
        <v>14943</v>
      </c>
      <c r="U246" s="2755">
        <v>267</v>
      </c>
      <c r="V246" s="2733">
        <f t="shared" si="91"/>
        <v>15210</v>
      </c>
      <c r="W246" s="2734">
        <f t="shared" si="92"/>
        <v>33652</v>
      </c>
      <c r="X246" s="2735">
        <f t="shared" si="94"/>
        <v>1.8163749792966311</v>
      </c>
      <c r="Y246" s="2763">
        <f t="shared" si="87"/>
        <v>2.7447867370927748</v>
      </c>
      <c r="Z246" s="2126"/>
      <c r="AA246" s="310">
        <f t="shared" si="93"/>
        <v>15319</v>
      </c>
      <c r="AB246" s="249"/>
      <c r="AC246" s="249"/>
    </row>
    <row r="247" spans="1:29">
      <c r="A247" s="2785" t="s">
        <v>1628</v>
      </c>
      <c r="B247" s="2752">
        <v>8</v>
      </c>
      <c r="C247" s="2753">
        <v>733</v>
      </c>
      <c r="D247" s="3171">
        <v>133</v>
      </c>
      <c r="E247" s="3172"/>
      <c r="F247" s="2754">
        <v>685</v>
      </c>
      <c r="G247" s="2755">
        <v>10815</v>
      </c>
      <c r="H247" s="2755"/>
      <c r="I247" s="2755">
        <v>5644</v>
      </c>
      <c r="J247" s="2756"/>
      <c r="K247" s="2755">
        <v>230</v>
      </c>
      <c r="L247" s="1564"/>
      <c r="M247" s="2750">
        <f t="shared" si="84"/>
        <v>18248</v>
      </c>
      <c r="N247" s="2788">
        <v>1631</v>
      </c>
      <c r="O247" s="2753">
        <v>1893</v>
      </c>
      <c r="P247" s="2756">
        <v>1599</v>
      </c>
      <c r="Q247" s="2753">
        <v>1651</v>
      </c>
      <c r="R247" s="2766">
        <v>1821</v>
      </c>
      <c r="S247" s="2755">
        <v>6339</v>
      </c>
      <c r="T247" s="2746">
        <f t="shared" si="89"/>
        <v>14934</v>
      </c>
      <c r="U247" s="2755">
        <v>266</v>
      </c>
      <c r="V247" s="2733">
        <f t="shared" si="91"/>
        <v>15200</v>
      </c>
      <c r="W247" s="2734">
        <f t="shared" si="92"/>
        <v>33448</v>
      </c>
      <c r="X247" s="2735">
        <f t="shared" si="94"/>
        <v>1.5244241682430104</v>
      </c>
      <c r="Y247" s="2763">
        <f t="shared" si="87"/>
        <v>2.6988854432128617</v>
      </c>
      <c r="AA247" s="310">
        <f>SUM(N257:U257)</f>
        <v>29034</v>
      </c>
    </row>
    <row r="248" spans="1:29" s="1280" customFormat="1">
      <c r="A248" s="2785" t="s">
        <v>1629</v>
      </c>
      <c r="B248" s="2752">
        <v>8</v>
      </c>
      <c r="C248" s="2753">
        <v>748</v>
      </c>
      <c r="D248" s="3171">
        <v>133</v>
      </c>
      <c r="E248" s="3172"/>
      <c r="F248" s="2754">
        <v>686</v>
      </c>
      <c r="G248" s="2755">
        <v>10802</v>
      </c>
      <c r="H248" s="2755"/>
      <c r="I248" s="2755">
        <v>5635</v>
      </c>
      <c r="J248" s="2756"/>
      <c r="K248" s="2755">
        <v>229</v>
      </c>
      <c r="L248" s="1564"/>
      <c r="M248" s="2750">
        <f t="shared" si="84"/>
        <v>18241</v>
      </c>
      <c r="N248" s="2788">
        <v>1630</v>
      </c>
      <c r="O248" s="2753">
        <v>1892</v>
      </c>
      <c r="P248" s="2756">
        <v>1592</v>
      </c>
      <c r="Q248" s="2753">
        <v>1650</v>
      </c>
      <c r="R248" s="2766">
        <v>1943</v>
      </c>
      <c r="S248" s="2755">
        <v>6338</v>
      </c>
      <c r="T248" s="2746">
        <f t="shared" si="89"/>
        <v>15045</v>
      </c>
      <c r="U248" s="2755">
        <v>266</v>
      </c>
      <c r="V248" s="2733">
        <f t="shared" si="91"/>
        <v>15311</v>
      </c>
      <c r="W248" s="2734">
        <f t="shared" si="92"/>
        <v>33552</v>
      </c>
      <c r="X248" s="2735">
        <f t="shared" si="94"/>
        <v>0.57341346418922079</v>
      </c>
      <c r="Y248" s="2763">
        <f t="shared" si="87"/>
        <v>1.718963165075027</v>
      </c>
      <c r="Z248" s="2126">
        <f>SUM(N250:S250)</f>
        <v>15130</v>
      </c>
      <c r="AA248" s="310">
        <f>SUM(N258:U258)</f>
        <v>29024</v>
      </c>
      <c r="AB248" s="249"/>
      <c r="AC248" s="249"/>
    </row>
    <row r="249" spans="1:29">
      <c r="A249" s="2785" t="s">
        <v>1630</v>
      </c>
      <c r="B249" s="2752">
        <v>8</v>
      </c>
      <c r="C249" s="2753">
        <v>749</v>
      </c>
      <c r="D249" s="3171">
        <v>133</v>
      </c>
      <c r="E249" s="3172"/>
      <c r="F249" s="2754">
        <v>843</v>
      </c>
      <c r="G249" s="2755">
        <v>10853</v>
      </c>
      <c r="H249" s="2755"/>
      <c r="I249" s="2755">
        <v>5633</v>
      </c>
      <c r="J249" s="2756"/>
      <c r="K249" s="2755">
        <v>230</v>
      </c>
      <c r="L249" s="1564"/>
      <c r="M249" s="2750">
        <f t="shared" ref="M249:M280" si="95">SUM(B249:K249)</f>
        <v>18449</v>
      </c>
      <c r="N249" s="2788">
        <v>1722</v>
      </c>
      <c r="O249" s="2753">
        <v>1892</v>
      </c>
      <c r="P249" s="2756">
        <v>1592</v>
      </c>
      <c r="Q249" s="2753">
        <v>1651</v>
      </c>
      <c r="R249" s="2766">
        <v>1942</v>
      </c>
      <c r="S249" s="2755">
        <v>6332</v>
      </c>
      <c r="T249" s="2746">
        <f t="shared" si="89"/>
        <v>15131</v>
      </c>
      <c r="U249" s="2755">
        <v>266</v>
      </c>
      <c r="V249" s="2733">
        <f t="shared" si="91"/>
        <v>15397</v>
      </c>
      <c r="W249" s="2734">
        <f t="shared" si="92"/>
        <v>33846</v>
      </c>
      <c r="X249" s="2735">
        <f t="shared" si="94"/>
        <v>0.34810987217841483</v>
      </c>
      <c r="Y249" s="2763">
        <f t="shared" si="87"/>
        <v>1.8353592490071069</v>
      </c>
      <c r="AA249" s="310">
        <f>SUM(N259:U259)</f>
        <v>28934</v>
      </c>
    </row>
    <row r="250" spans="1:29">
      <c r="A250" s="2785" t="s">
        <v>1631</v>
      </c>
      <c r="B250" s="2752">
        <v>7</v>
      </c>
      <c r="C250" s="2753">
        <v>755</v>
      </c>
      <c r="D250" s="3171">
        <v>135</v>
      </c>
      <c r="E250" s="3172"/>
      <c r="F250" s="2754">
        <v>704</v>
      </c>
      <c r="G250" s="2755">
        <v>10950</v>
      </c>
      <c r="H250" s="2755"/>
      <c r="I250" s="2755">
        <v>5699</v>
      </c>
      <c r="J250" s="2756"/>
      <c r="K250" s="2755">
        <v>233</v>
      </c>
      <c r="L250" s="1564"/>
      <c r="M250" s="2750">
        <f t="shared" si="95"/>
        <v>18483</v>
      </c>
      <c r="N250" s="2765">
        <v>1722</v>
      </c>
      <c r="O250" s="2753">
        <v>1890</v>
      </c>
      <c r="P250" s="2756">
        <v>1592</v>
      </c>
      <c r="Q250" s="2753">
        <v>1651</v>
      </c>
      <c r="R250" s="2766">
        <v>1947</v>
      </c>
      <c r="S250" s="2755">
        <v>6328</v>
      </c>
      <c r="T250" s="2746">
        <f t="shared" si="89"/>
        <v>15130</v>
      </c>
      <c r="U250" s="2755">
        <v>266</v>
      </c>
      <c r="V250" s="2733">
        <f t="shared" si="91"/>
        <v>15396</v>
      </c>
      <c r="W250" s="2734">
        <f t="shared" si="92"/>
        <v>33879</v>
      </c>
      <c r="X250" s="2735">
        <f t="shared" si="94"/>
        <v>0.60418027433051247</v>
      </c>
      <c r="Y250" s="2763">
        <f t="shared" si="87"/>
        <v>1.9806748743264713</v>
      </c>
      <c r="AA250" s="310">
        <f>SUM(N260:U260)</f>
        <v>29440</v>
      </c>
      <c r="AB250" s="1280"/>
      <c r="AC250" s="1280"/>
    </row>
    <row r="251" spans="1:29">
      <c r="A251" s="2785" t="s">
        <v>1632</v>
      </c>
      <c r="B251" s="2752">
        <v>7</v>
      </c>
      <c r="C251" s="2753">
        <v>753</v>
      </c>
      <c r="D251" s="3171">
        <v>137</v>
      </c>
      <c r="E251" s="3172"/>
      <c r="F251" s="2754">
        <v>706</v>
      </c>
      <c r="G251" s="2755">
        <v>10986</v>
      </c>
      <c r="H251" s="2755"/>
      <c r="I251" s="2755">
        <v>5719</v>
      </c>
      <c r="J251" s="2756"/>
      <c r="K251" s="2755">
        <v>233</v>
      </c>
      <c r="L251" s="1564"/>
      <c r="M251" s="2750">
        <f t="shared" si="95"/>
        <v>18541</v>
      </c>
      <c r="N251" s="2765">
        <v>1722</v>
      </c>
      <c r="O251" s="2753">
        <v>1890</v>
      </c>
      <c r="P251" s="2756">
        <v>1592</v>
      </c>
      <c r="Q251" s="2753">
        <v>1651</v>
      </c>
      <c r="R251" s="2766">
        <v>1941</v>
      </c>
      <c r="S251" s="2755">
        <v>6324</v>
      </c>
      <c r="T251" s="2746">
        <f t="shared" si="89"/>
        <v>15120</v>
      </c>
      <c r="U251" s="2755">
        <v>266</v>
      </c>
      <c r="V251" s="2733">
        <f t="shared" si="91"/>
        <v>15386</v>
      </c>
      <c r="W251" s="2734">
        <f t="shared" si="92"/>
        <v>33927</v>
      </c>
      <c r="X251" s="2735">
        <f t="shared" si="94"/>
        <v>0.75535267905662007</v>
      </c>
      <c r="Y251" s="2763">
        <f t="shared" si="87"/>
        <v>1.8798234287258575</v>
      </c>
      <c r="AA251" s="310">
        <f t="shared" ref="AA251:AA258" si="96">SUM(N261:S261)</f>
        <v>14594</v>
      </c>
    </row>
    <row r="252" spans="1:29">
      <c r="A252" s="2785" t="s">
        <v>1633</v>
      </c>
      <c r="B252" s="2752">
        <v>8</v>
      </c>
      <c r="C252" s="2753">
        <v>752</v>
      </c>
      <c r="D252" s="3171">
        <v>137</v>
      </c>
      <c r="E252" s="3172"/>
      <c r="F252" s="2754">
        <v>706</v>
      </c>
      <c r="G252" s="2755">
        <v>10981</v>
      </c>
      <c r="H252" s="2755"/>
      <c r="I252" s="2755">
        <v>5717</v>
      </c>
      <c r="J252" s="2756"/>
      <c r="K252" s="2755">
        <v>233</v>
      </c>
      <c r="L252" s="1564"/>
      <c r="M252" s="2750">
        <f t="shared" si="95"/>
        <v>18534</v>
      </c>
      <c r="N252" s="2765">
        <v>1721</v>
      </c>
      <c r="O252" s="2753">
        <v>1889</v>
      </c>
      <c r="P252" s="2756">
        <v>1592</v>
      </c>
      <c r="Q252" s="2753">
        <v>1651</v>
      </c>
      <c r="R252" s="2766">
        <v>1940</v>
      </c>
      <c r="S252" s="2755">
        <v>6320</v>
      </c>
      <c r="T252" s="2746">
        <f t="shared" si="89"/>
        <v>15113</v>
      </c>
      <c r="U252" s="2755">
        <v>285</v>
      </c>
      <c r="V252" s="2733">
        <f t="shared" si="91"/>
        <v>15398</v>
      </c>
      <c r="W252" s="2734">
        <f t="shared" si="92"/>
        <v>33932</v>
      </c>
      <c r="X252" s="2735">
        <f t="shared" si="94"/>
        <v>0.6571444088415701</v>
      </c>
      <c r="Y252" s="2763">
        <f t="shared" si="87"/>
        <v>1.595856163358178</v>
      </c>
      <c r="Z252" s="310">
        <f>SUM(N254:U254)</f>
        <v>30732</v>
      </c>
      <c r="AA252" s="310">
        <f t="shared" si="96"/>
        <v>14592</v>
      </c>
      <c r="AB252" s="1280"/>
      <c r="AC252" s="1280"/>
    </row>
    <row r="253" spans="1:29" s="1280" customFormat="1">
      <c r="A253" s="2785" t="s">
        <v>1634</v>
      </c>
      <c r="B253" s="2752">
        <v>8</v>
      </c>
      <c r="C253" s="2753">
        <v>754</v>
      </c>
      <c r="D253" s="3171">
        <v>137</v>
      </c>
      <c r="E253" s="3172"/>
      <c r="F253" s="2754">
        <v>677</v>
      </c>
      <c r="G253" s="2755">
        <v>3314</v>
      </c>
      <c r="H253" s="2755">
        <v>7560</v>
      </c>
      <c r="I253" s="2755">
        <v>5670</v>
      </c>
      <c r="J253" s="2756"/>
      <c r="K253" s="2755">
        <v>232</v>
      </c>
      <c r="L253" s="1564"/>
      <c r="M253" s="2750">
        <f t="shared" si="95"/>
        <v>18352</v>
      </c>
      <c r="N253" s="2765">
        <v>1714</v>
      </c>
      <c r="O253" s="2753">
        <v>1880</v>
      </c>
      <c r="P253" s="2756">
        <v>1593</v>
      </c>
      <c r="Q253" s="2753">
        <v>1651</v>
      </c>
      <c r="R253" s="2766">
        <v>1924</v>
      </c>
      <c r="S253" s="2755">
        <v>6286</v>
      </c>
      <c r="T253" s="2746">
        <f t="shared" ref="T253:T264" si="97">SUM(N253:S253)</f>
        <v>15048</v>
      </c>
      <c r="U253" s="2755">
        <v>280</v>
      </c>
      <c r="V253" s="2733">
        <f t="shared" si="91"/>
        <v>15328</v>
      </c>
      <c r="W253" s="2734">
        <f t="shared" si="92"/>
        <v>33680</v>
      </c>
      <c r="X253" s="2735">
        <f t="shared" si="94"/>
        <v>0.43233185574345079</v>
      </c>
      <c r="Y253" s="2763">
        <f t="shared" si="87"/>
        <v>1.4091292303986425</v>
      </c>
      <c r="AA253" s="310">
        <f t="shared" si="96"/>
        <v>14642</v>
      </c>
      <c r="AB253" s="249"/>
      <c r="AC253" s="249"/>
    </row>
    <row r="254" spans="1:29">
      <c r="A254" s="2785" t="s">
        <v>1635</v>
      </c>
      <c r="B254" s="2752">
        <v>8</v>
      </c>
      <c r="C254" s="2753">
        <v>753</v>
      </c>
      <c r="D254" s="3171">
        <v>137</v>
      </c>
      <c r="E254" s="3172"/>
      <c r="F254" s="2754">
        <v>677</v>
      </c>
      <c r="G254" s="2755">
        <v>3310</v>
      </c>
      <c r="H254" s="2755">
        <v>7557</v>
      </c>
      <c r="I254" s="2755">
        <v>5674</v>
      </c>
      <c r="J254" s="2756"/>
      <c r="K254" s="2755">
        <v>232</v>
      </c>
      <c r="L254" s="1564"/>
      <c r="M254" s="2750">
        <f t="shared" si="95"/>
        <v>18348</v>
      </c>
      <c r="N254" s="2765">
        <v>1712</v>
      </c>
      <c r="O254" s="2753">
        <v>1929</v>
      </c>
      <c r="P254" s="2756">
        <v>1584</v>
      </c>
      <c r="Q254" s="2753">
        <v>1634</v>
      </c>
      <c r="R254" s="2766">
        <v>1927</v>
      </c>
      <c r="S254" s="2755">
        <v>6440</v>
      </c>
      <c r="T254" s="2746">
        <f t="shared" si="97"/>
        <v>15226</v>
      </c>
      <c r="U254" s="2755">
        <v>280</v>
      </c>
      <c r="V254" s="2733">
        <f t="shared" si="91"/>
        <v>15506</v>
      </c>
      <c r="W254" s="2734">
        <f t="shared" si="92"/>
        <v>33854</v>
      </c>
      <c r="X254" s="2735">
        <f t="shared" si="94"/>
        <v>0.43792423910662404</v>
      </c>
      <c r="Y254" s="2763">
        <f t="shared" si="87"/>
        <v>1.9422445722545145</v>
      </c>
      <c r="AA254" s="310">
        <f t="shared" si="96"/>
        <v>14729</v>
      </c>
    </row>
    <row r="255" spans="1:29">
      <c r="A255" s="2785" t="s">
        <v>1636</v>
      </c>
      <c r="B255" s="2752">
        <v>8</v>
      </c>
      <c r="C255" s="2753">
        <v>756</v>
      </c>
      <c r="D255" s="3171">
        <v>137</v>
      </c>
      <c r="E255" s="3172"/>
      <c r="F255" s="2754">
        <v>676</v>
      </c>
      <c r="G255" s="2755">
        <v>3306</v>
      </c>
      <c r="H255" s="2755">
        <v>7560</v>
      </c>
      <c r="I255" s="2755">
        <v>5671</v>
      </c>
      <c r="J255" s="2756"/>
      <c r="K255" s="2755">
        <v>232</v>
      </c>
      <c r="L255" s="1564"/>
      <c r="M255" s="2750">
        <f t="shared" si="95"/>
        <v>18346</v>
      </c>
      <c r="N255" s="2765">
        <v>1709</v>
      </c>
      <c r="O255" s="2753">
        <v>1923</v>
      </c>
      <c r="P255" s="2756">
        <v>1643</v>
      </c>
      <c r="Q255" s="2753">
        <v>1629</v>
      </c>
      <c r="R255" s="2766">
        <v>1922</v>
      </c>
      <c r="S255" s="2755">
        <v>6440</v>
      </c>
      <c r="T255" s="2746">
        <f t="shared" si="97"/>
        <v>15266</v>
      </c>
      <c r="U255" s="2755">
        <v>280</v>
      </c>
      <c r="V255" s="2733">
        <f t="shared" si="91"/>
        <v>15546</v>
      </c>
      <c r="W255" s="2734">
        <f t="shared" si="92"/>
        <v>33892</v>
      </c>
      <c r="X255" s="2735">
        <f t="shared" si="94"/>
        <v>0.43797218876602262</v>
      </c>
      <c r="Y255" s="2763">
        <f t="shared" si="87"/>
        <v>1.9768316533774533</v>
      </c>
      <c r="Z255" s="2126"/>
      <c r="AA255" s="310">
        <f t="shared" si="96"/>
        <v>14682</v>
      </c>
    </row>
    <row r="256" spans="1:29">
      <c r="A256" s="2785" t="s">
        <v>1637</v>
      </c>
      <c r="B256" s="2767">
        <v>8</v>
      </c>
      <c r="C256" s="2768">
        <v>758</v>
      </c>
      <c r="D256" s="3163">
        <v>137</v>
      </c>
      <c r="E256" s="3164"/>
      <c r="F256" s="2769">
        <v>674</v>
      </c>
      <c r="G256" s="2770">
        <v>3306</v>
      </c>
      <c r="H256" s="2770">
        <v>7558</v>
      </c>
      <c r="I256" s="2770">
        <v>5670</v>
      </c>
      <c r="J256" s="2771"/>
      <c r="K256" s="2770">
        <v>231</v>
      </c>
      <c r="L256" s="1564"/>
      <c r="M256" s="2772">
        <f t="shared" si="95"/>
        <v>18342</v>
      </c>
      <c r="N256" s="2773">
        <v>1707</v>
      </c>
      <c r="O256" s="2768">
        <v>1983</v>
      </c>
      <c r="P256" s="2771">
        <v>1642</v>
      </c>
      <c r="Q256" s="2768">
        <v>1629</v>
      </c>
      <c r="R256" s="2774">
        <v>1921</v>
      </c>
      <c r="S256" s="2770">
        <v>6437</v>
      </c>
      <c r="T256" s="2746">
        <f t="shared" si="97"/>
        <v>15319</v>
      </c>
      <c r="U256" s="2770">
        <v>280</v>
      </c>
      <c r="V256" s="2733">
        <f t="shared" si="91"/>
        <v>15599</v>
      </c>
      <c r="W256" s="2734">
        <f t="shared" si="92"/>
        <v>33941</v>
      </c>
      <c r="X256" s="2735">
        <f t="shared" si="94"/>
        <v>0.44356826022671214</v>
      </c>
      <c r="Y256" s="2775">
        <f t="shared" si="87"/>
        <v>2.1365592368571606</v>
      </c>
      <c r="Z256" s="2126"/>
      <c r="AA256" s="310">
        <f t="shared" si="96"/>
        <v>14684</v>
      </c>
    </row>
    <row r="257" spans="1:29">
      <c r="A257" s="2785" t="s">
        <v>1638</v>
      </c>
      <c r="B257" s="2777">
        <v>8</v>
      </c>
      <c r="C257" s="2778">
        <v>636</v>
      </c>
      <c r="D257" s="3177">
        <v>137</v>
      </c>
      <c r="E257" s="3178"/>
      <c r="F257" s="2779">
        <v>681</v>
      </c>
      <c r="G257" s="2757">
        <v>10903</v>
      </c>
      <c r="H257" s="2780"/>
      <c r="I257" s="2757">
        <v>5499</v>
      </c>
      <c r="J257" s="2780"/>
      <c r="K257" s="2757">
        <v>223</v>
      </c>
      <c r="L257" s="1564"/>
      <c r="M257" s="2751">
        <f t="shared" si="95"/>
        <v>18087</v>
      </c>
      <c r="N257" s="2786">
        <v>1592</v>
      </c>
      <c r="O257" s="2778">
        <v>1805</v>
      </c>
      <c r="P257" s="2780">
        <v>1497</v>
      </c>
      <c r="Q257" s="2778">
        <v>1655</v>
      </c>
      <c r="R257" s="2787">
        <v>1763</v>
      </c>
      <c r="S257" s="2757">
        <v>6077</v>
      </c>
      <c r="T257" s="2746">
        <f t="shared" si="97"/>
        <v>14389</v>
      </c>
      <c r="U257" s="2757">
        <v>256</v>
      </c>
      <c r="V257" s="2733">
        <f t="shared" si="91"/>
        <v>14645</v>
      </c>
      <c r="W257" s="2734">
        <f t="shared" si="92"/>
        <v>32732</v>
      </c>
      <c r="X257" s="2735">
        <f t="shared" si="94"/>
        <v>5.0409431442011821</v>
      </c>
      <c r="Y257" s="2762">
        <f t="shared" si="87"/>
        <v>5.6825519824357462</v>
      </c>
      <c r="Z257" s="2126"/>
      <c r="AA257" s="310">
        <f t="shared" si="96"/>
        <v>14712</v>
      </c>
      <c r="AB257" s="1280"/>
      <c r="AC257" s="1280"/>
    </row>
    <row r="258" spans="1:29" s="1280" customFormat="1">
      <c r="A258" s="2785" t="s">
        <v>1639</v>
      </c>
      <c r="B258" s="2752">
        <v>8</v>
      </c>
      <c r="C258" s="2753">
        <v>673</v>
      </c>
      <c r="D258" s="3171">
        <v>132</v>
      </c>
      <c r="E258" s="3172"/>
      <c r="F258" s="2754">
        <v>667</v>
      </c>
      <c r="G258" s="2755">
        <v>10906</v>
      </c>
      <c r="H258" s="2756"/>
      <c r="I258" s="2755">
        <v>5501</v>
      </c>
      <c r="J258" s="2756"/>
      <c r="K258" s="2755">
        <v>226</v>
      </c>
      <c r="L258" s="1564"/>
      <c r="M258" s="2750">
        <f t="shared" si="95"/>
        <v>18113</v>
      </c>
      <c r="N258" s="2765">
        <v>1591</v>
      </c>
      <c r="O258" s="2753">
        <v>1805</v>
      </c>
      <c r="P258" s="2756">
        <v>1497</v>
      </c>
      <c r="Q258" s="2753">
        <v>1654</v>
      </c>
      <c r="R258" s="2766">
        <v>1762</v>
      </c>
      <c r="S258" s="2755">
        <v>6075</v>
      </c>
      <c r="T258" s="2746">
        <f t="shared" si="97"/>
        <v>14384</v>
      </c>
      <c r="U258" s="2755">
        <v>256</v>
      </c>
      <c r="V258" s="2733">
        <f t="shared" si="91"/>
        <v>14640</v>
      </c>
      <c r="W258" s="2734">
        <f t="shared" si="92"/>
        <v>32753</v>
      </c>
      <c r="X258" s="2735">
        <f t="shared" si="94"/>
        <v>5.2469494479953527</v>
      </c>
      <c r="Y258" s="2763">
        <f t="shared" si="87"/>
        <v>5.8152683100184177</v>
      </c>
      <c r="Z258" s="2126"/>
      <c r="AA258" s="310">
        <f t="shared" si="96"/>
        <v>14713</v>
      </c>
      <c r="AB258" s="249"/>
      <c r="AC258" s="249"/>
    </row>
    <row r="259" spans="1:29">
      <c r="A259" s="2785" t="s">
        <v>1640</v>
      </c>
      <c r="B259" s="2752">
        <v>8</v>
      </c>
      <c r="C259" s="2753">
        <v>669</v>
      </c>
      <c r="D259" s="3171">
        <v>133</v>
      </c>
      <c r="E259" s="3172"/>
      <c r="F259" s="2754">
        <v>649</v>
      </c>
      <c r="G259" s="2755">
        <v>10813</v>
      </c>
      <c r="H259" s="2756"/>
      <c r="I259" s="2755">
        <v>5475</v>
      </c>
      <c r="J259" s="2756"/>
      <c r="K259" s="2755">
        <v>227</v>
      </c>
      <c r="L259" s="1564"/>
      <c r="M259" s="2750">
        <f t="shared" si="95"/>
        <v>17974</v>
      </c>
      <c r="N259" s="2788">
        <v>1590</v>
      </c>
      <c r="O259" s="2753">
        <v>1799</v>
      </c>
      <c r="P259" s="2756">
        <v>1494</v>
      </c>
      <c r="Q259" s="2753">
        <v>1643</v>
      </c>
      <c r="R259" s="2766">
        <v>1760</v>
      </c>
      <c r="S259" s="2755">
        <v>6053</v>
      </c>
      <c r="T259" s="2746">
        <f t="shared" si="97"/>
        <v>14339</v>
      </c>
      <c r="U259" s="2755">
        <v>256</v>
      </c>
      <c r="V259" s="2733">
        <f t="shared" si="91"/>
        <v>14595</v>
      </c>
      <c r="W259" s="2734">
        <f t="shared" si="92"/>
        <v>32569</v>
      </c>
      <c r="X259" s="2735">
        <f t="shared" si="94"/>
        <v>4.8230011080655499</v>
      </c>
      <c r="Y259" s="2763">
        <f t="shared" si="87"/>
        <v>4.9766317485898437</v>
      </c>
      <c r="AA259" s="310">
        <f t="shared" ref="AA259:AA270" si="98">SUM(N269:U269)</f>
        <v>13753</v>
      </c>
    </row>
    <row r="260" spans="1:29" s="1280" customFormat="1">
      <c r="A260" s="2785" t="s">
        <v>1641</v>
      </c>
      <c r="B260" s="2752">
        <v>7</v>
      </c>
      <c r="C260" s="2753">
        <v>697</v>
      </c>
      <c r="D260" s="3171">
        <v>134</v>
      </c>
      <c r="E260" s="3172"/>
      <c r="F260" s="2754">
        <v>661</v>
      </c>
      <c r="G260" s="2755">
        <v>10850</v>
      </c>
      <c r="H260" s="2756"/>
      <c r="I260" s="2755">
        <v>5555</v>
      </c>
      <c r="J260" s="2756"/>
      <c r="K260" s="2755">
        <v>233</v>
      </c>
      <c r="L260" s="1564"/>
      <c r="M260" s="2750">
        <f t="shared" si="95"/>
        <v>18137</v>
      </c>
      <c r="N260" s="2788">
        <v>1583</v>
      </c>
      <c r="O260" s="2753">
        <v>1864</v>
      </c>
      <c r="P260" s="2756">
        <v>1519</v>
      </c>
      <c r="Q260" s="2753">
        <v>1642</v>
      </c>
      <c r="R260" s="2766">
        <v>1758</v>
      </c>
      <c r="S260" s="2755">
        <v>6226</v>
      </c>
      <c r="T260" s="2746">
        <f t="shared" si="97"/>
        <v>14592</v>
      </c>
      <c r="U260" s="2755">
        <v>256</v>
      </c>
      <c r="V260" s="2733">
        <f t="shared" si="91"/>
        <v>14848</v>
      </c>
      <c r="W260" s="2734">
        <f t="shared" si="92"/>
        <v>32985</v>
      </c>
      <c r="X260" s="2735">
        <f t="shared" si="94"/>
        <v>5.7859434237387042</v>
      </c>
      <c r="Y260" s="2763">
        <f t="shared" si="87"/>
        <v>5.6737361440379219</v>
      </c>
      <c r="Z260" s="2126">
        <f>SUM(N262:S262)</f>
        <v>14592</v>
      </c>
      <c r="AA260" s="310">
        <f t="shared" si="98"/>
        <v>13743</v>
      </c>
      <c r="AB260" s="249"/>
      <c r="AC260" s="249"/>
    </row>
    <row r="261" spans="1:29">
      <c r="A261" s="2785" t="s">
        <v>1642</v>
      </c>
      <c r="B261" s="2752">
        <v>7</v>
      </c>
      <c r="C261" s="2753">
        <v>698</v>
      </c>
      <c r="D261" s="3171">
        <v>134</v>
      </c>
      <c r="E261" s="3172"/>
      <c r="F261" s="2754">
        <v>820</v>
      </c>
      <c r="G261" s="2755">
        <v>10924</v>
      </c>
      <c r="H261" s="2756"/>
      <c r="I261" s="2755">
        <v>5566</v>
      </c>
      <c r="J261" s="2756"/>
      <c r="K261" s="2755">
        <v>236</v>
      </c>
      <c r="L261" s="1564"/>
      <c r="M261" s="2750">
        <f t="shared" si="95"/>
        <v>18385</v>
      </c>
      <c r="N261" s="2788">
        <v>1582</v>
      </c>
      <c r="O261" s="2753">
        <v>1863</v>
      </c>
      <c r="P261" s="2756">
        <v>1518</v>
      </c>
      <c r="Q261" s="2753">
        <v>1642</v>
      </c>
      <c r="R261" s="2766">
        <v>1757</v>
      </c>
      <c r="S261" s="2755">
        <v>6232</v>
      </c>
      <c r="T261" s="2746">
        <f t="shared" si="97"/>
        <v>14594</v>
      </c>
      <c r="U261" s="2755">
        <v>257</v>
      </c>
      <c r="V261" s="2733">
        <f t="shared" si="91"/>
        <v>14851</v>
      </c>
      <c r="W261" s="2734">
        <f t="shared" si="92"/>
        <v>33236</v>
      </c>
      <c r="X261" s="2735">
        <f t="shared" si="94"/>
        <v>5.9348890809564958</v>
      </c>
      <c r="Y261" s="2763">
        <f t="shared" si="87"/>
        <v>5.7461024498886459</v>
      </c>
      <c r="AA261" s="310">
        <f t="shared" si="98"/>
        <v>13878</v>
      </c>
    </row>
    <row r="262" spans="1:29">
      <c r="A262" s="2785" t="s">
        <v>1643</v>
      </c>
      <c r="B262" s="2752">
        <v>8</v>
      </c>
      <c r="C262" s="2753">
        <v>698</v>
      </c>
      <c r="D262" s="3171">
        <v>134</v>
      </c>
      <c r="E262" s="3172"/>
      <c r="F262" s="2754">
        <v>678</v>
      </c>
      <c r="G262" s="2755">
        <v>10981</v>
      </c>
      <c r="H262" s="2756"/>
      <c r="I262" s="2755">
        <v>5634</v>
      </c>
      <c r="J262" s="2756"/>
      <c r="K262" s="2755">
        <v>239</v>
      </c>
      <c r="L262" s="1564"/>
      <c r="M262" s="2750">
        <f t="shared" si="95"/>
        <v>18372</v>
      </c>
      <c r="N262" s="2765">
        <v>1584</v>
      </c>
      <c r="O262" s="2753">
        <v>1862</v>
      </c>
      <c r="P262" s="2756">
        <v>1518</v>
      </c>
      <c r="Q262" s="2753">
        <v>1640</v>
      </c>
      <c r="R262" s="2766">
        <v>1757</v>
      </c>
      <c r="S262" s="2755">
        <v>6231</v>
      </c>
      <c r="T262" s="2746">
        <f t="shared" si="97"/>
        <v>14592</v>
      </c>
      <c r="U262" s="2755">
        <v>257</v>
      </c>
      <c r="V262" s="2733">
        <f t="shared" si="91"/>
        <v>14849</v>
      </c>
      <c r="W262" s="2734">
        <f t="shared" si="92"/>
        <v>33221</v>
      </c>
      <c r="X262" s="2735">
        <f t="shared" si="94"/>
        <v>3.4401216147739389</v>
      </c>
      <c r="Y262" s="2763">
        <f t="shared" si="87"/>
        <v>4.3733701969901562</v>
      </c>
      <c r="AA262" s="310">
        <f t="shared" si="98"/>
        <v>14069</v>
      </c>
      <c r="AB262" s="1280"/>
      <c r="AC262" s="1280"/>
    </row>
    <row r="263" spans="1:29">
      <c r="A263" s="2785" t="s">
        <v>1644</v>
      </c>
      <c r="B263" s="2752">
        <v>8</v>
      </c>
      <c r="C263" s="2753">
        <v>700</v>
      </c>
      <c r="D263" s="3171">
        <v>134</v>
      </c>
      <c r="E263" s="3172"/>
      <c r="F263" s="2754">
        <v>688</v>
      </c>
      <c r="G263" s="2755">
        <v>11005</v>
      </c>
      <c r="H263" s="2756"/>
      <c r="I263" s="2755">
        <v>5628</v>
      </c>
      <c r="J263" s="2756"/>
      <c r="K263" s="2755">
        <v>239</v>
      </c>
      <c r="L263" s="1564"/>
      <c r="M263" s="2750">
        <f t="shared" si="95"/>
        <v>18402</v>
      </c>
      <c r="N263" s="2765">
        <v>1585</v>
      </c>
      <c r="O263" s="2753">
        <v>1862</v>
      </c>
      <c r="P263" s="2756">
        <v>1518</v>
      </c>
      <c r="Q263" s="2753">
        <v>1640</v>
      </c>
      <c r="R263" s="2766">
        <v>1845</v>
      </c>
      <c r="S263" s="2755">
        <v>6192</v>
      </c>
      <c r="T263" s="2746">
        <f t="shared" si="97"/>
        <v>14642</v>
      </c>
      <c r="U263" s="2755">
        <v>257</v>
      </c>
      <c r="V263" s="2733">
        <f t="shared" si="91"/>
        <v>14899</v>
      </c>
      <c r="W263" s="2734">
        <f t="shared" si="92"/>
        <v>33301</v>
      </c>
      <c r="X263" s="2735">
        <f t="shared" si="94"/>
        <v>3.8253215978334421</v>
      </c>
      <c r="Y263" s="2763">
        <f t="shared" si="87"/>
        <v>3.6865211570196399</v>
      </c>
      <c r="AA263" s="310">
        <f t="shared" si="98"/>
        <v>14075</v>
      </c>
    </row>
    <row r="264" spans="1:29">
      <c r="A264" s="2785" t="s">
        <v>1645</v>
      </c>
      <c r="B264" s="2752">
        <v>8</v>
      </c>
      <c r="C264" s="2753">
        <v>698</v>
      </c>
      <c r="D264" s="3171">
        <v>134</v>
      </c>
      <c r="E264" s="3172"/>
      <c r="F264" s="2754">
        <v>687</v>
      </c>
      <c r="G264" s="2755">
        <v>11019</v>
      </c>
      <c r="H264" s="2756"/>
      <c r="I264" s="2755">
        <v>5628</v>
      </c>
      <c r="J264" s="2756"/>
      <c r="K264" s="2755">
        <v>239</v>
      </c>
      <c r="L264" s="1564"/>
      <c r="M264" s="2750">
        <f t="shared" si="95"/>
        <v>18413</v>
      </c>
      <c r="N264" s="2765">
        <v>1647</v>
      </c>
      <c r="O264" s="2753">
        <v>1862</v>
      </c>
      <c r="P264" s="2756">
        <v>1516</v>
      </c>
      <c r="Q264" s="2753">
        <v>1638</v>
      </c>
      <c r="R264" s="2766">
        <v>1842</v>
      </c>
      <c r="S264" s="2755">
        <v>6224</v>
      </c>
      <c r="T264" s="2746">
        <f t="shared" si="97"/>
        <v>14729</v>
      </c>
      <c r="U264" s="2755">
        <v>257</v>
      </c>
      <c r="V264" s="2733">
        <f t="shared" si="91"/>
        <v>14986</v>
      </c>
      <c r="W264" s="2734">
        <f t="shared" si="92"/>
        <v>33399</v>
      </c>
      <c r="X264" s="2735">
        <f t="shared" si="94"/>
        <v>3.922564623546676</v>
      </c>
      <c r="Y264" s="2763">
        <f t="shared" si="87"/>
        <v>4.0240446008658504</v>
      </c>
      <c r="Z264" s="310">
        <f>SUM(N266:U266)</f>
        <v>14941</v>
      </c>
      <c r="AA264" s="310">
        <f t="shared" si="98"/>
        <v>14068</v>
      </c>
      <c r="AB264" s="1280"/>
      <c r="AC264" s="1280"/>
    </row>
    <row r="265" spans="1:29" s="1280" customFormat="1">
      <c r="A265" s="2785" t="s">
        <v>1646</v>
      </c>
      <c r="B265" s="2752">
        <v>8</v>
      </c>
      <c r="C265" s="2753">
        <v>698</v>
      </c>
      <c r="D265" s="3171">
        <v>133</v>
      </c>
      <c r="E265" s="3172"/>
      <c r="F265" s="2754">
        <v>655</v>
      </c>
      <c r="G265" s="2755">
        <v>10925</v>
      </c>
      <c r="H265" s="2756"/>
      <c r="I265" s="2755">
        <v>5615</v>
      </c>
      <c r="J265" s="2756"/>
      <c r="K265" s="2755">
        <v>239</v>
      </c>
      <c r="L265" s="1564"/>
      <c r="M265" s="2750">
        <f t="shared" si="95"/>
        <v>18273</v>
      </c>
      <c r="N265" s="2765">
        <v>1641</v>
      </c>
      <c r="O265" s="2753">
        <v>1847</v>
      </c>
      <c r="P265" s="2756">
        <v>1525</v>
      </c>
      <c r="Q265" s="2753">
        <v>1628</v>
      </c>
      <c r="R265" s="2766">
        <v>1835</v>
      </c>
      <c r="S265" s="2755">
        <v>6206</v>
      </c>
      <c r="T265" s="2756"/>
      <c r="U265" s="2755">
        <v>257</v>
      </c>
      <c r="V265" s="2789"/>
      <c r="W265" s="2790">
        <f t="shared" ref="W265:W304" si="99">M265+N265+O265+P265+Q265+R265+S265+U265</f>
        <v>33212</v>
      </c>
      <c r="X265" s="2735">
        <f t="shared" si="94"/>
        <v>2.2494544233674585</v>
      </c>
      <c r="Y265" s="2763">
        <f t="shared" si="87"/>
        <v>2.9861391050885366</v>
      </c>
      <c r="AA265" s="310">
        <f t="shared" si="98"/>
        <v>14393</v>
      </c>
      <c r="AB265" s="249"/>
      <c r="AC265" s="249"/>
    </row>
    <row r="266" spans="1:29">
      <c r="A266" s="2785" t="s">
        <v>1647</v>
      </c>
      <c r="B266" s="2752">
        <v>8</v>
      </c>
      <c r="C266" s="2753">
        <v>697</v>
      </c>
      <c r="D266" s="3171">
        <v>133</v>
      </c>
      <c r="E266" s="3172"/>
      <c r="F266" s="2754">
        <v>655</v>
      </c>
      <c r="G266" s="2755">
        <v>10922</v>
      </c>
      <c r="H266" s="2756"/>
      <c r="I266" s="2755">
        <v>5614</v>
      </c>
      <c r="J266" s="2756"/>
      <c r="K266" s="2755">
        <v>239</v>
      </c>
      <c r="L266" s="1564"/>
      <c r="M266" s="2750">
        <f t="shared" si="95"/>
        <v>18268</v>
      </c>
      <c r="N266" s="2765">
        <v>1640</v>
      </c>
      <c r="O266" s="2753">
        <v>1847</v>
      </c>
      <c r="P266" s="2756">
        <v>1524</v>
      </c>
      <c r="Q266" s="2753">
        <v>1628</v>
      </c>
      <c r="R266" s="2766">
        <v>1835</v>
      </c>
      <c r="S266" s="2755">
        <v>6210</v>
      </c>
      <c r="T266" s="2756"/>
      <c r="U266" s="2755">
        <v>257</v>
      </c>
      <c r="V266" s="2789"/>
      <c r="W266" s="2790">
        <f t="shared" si="99"/>
        <v>33209</v>
      </c>
      <c r="X266" s="2735">
        <f t="shared" si="94"/>
        <v>0.92260096127285696</v>
      </c>
      <c r="Y266" s="2763">
        <f t="shared" si="87"/>
        <v>2.3074553296364764</v>
      </c>
      <c r="AA266" s="310">
        <f t="shared" si="98"/>
        <v>14389</v>
      </c>
    </row>
    <row r="267" spans="1:29">
      <c r="A267" s="2785" t="s">
        <v>1648</v>
      </c>
      <c r="B267" s="2752">
        <v>8</v>
      </c>
      <c r="C267" s="2753">
        <v>696</v>
      </c>
      <c r="D267" s="3171">
        <v>133</v>
      </c>
      <c r="E267" s="3172"/>
      <c r="F267" s="2754">
        <v>656</v>
      </c>
      <c r="G267" s="2755">
        <v>10920</v>
      </c>
      <c r="H267" s="2756"/>
      <c r="I267" s="2755">
        <v>5614</v>
      </c>
      <c r="J267" s="2756"/>
      <c r="K267" s="2755">
        <v>239</v>
      </c>
      <c r="L267" s="1564"/>
      <c r="M267" s="2750">
        <f t="shared" si="95"/>
        <v>18266</v>
      </c>
      <c r="N267" s="2765">
        <v>1641</v>
      </c>
      <c r="O267" s="2753">
        <v>1850</v>
      </c>
      <c r="P267" s="2756">
        <v>1525</v>
      </c>
      <c r="Q267" s="2753">
        <v>1627</v>
      </c>
      <c r="R267" s="2766">
        <v>1832</v>
      </c>
      <c r="S267" s="2755">
        <v>6237</v>
      </c>
      <c r="T267" s="2756"/>
      <c r="U267" s="2755">
        <v>257</v>
      </c>
      <c r="V267" s="2789"/>
      <c r="W267" s="2790">
        <f t="shared" si="99"/>
        <v>33235</v>
      </c>
      <c r="X267" s="2735">
        <f t="shared" si="94"/>
        <v>0.93943412908930046</v>
      </c>
      <c r="Y267" s="2763">
        <f t="shared" si="87"/>
        <v>2.4033276844862117</v>
      </c>
      <c r="Z267" s="2126">
        <f t="shared" ref="Z267:Z278" si="100">SUM(N269:U269)</f>
        <v>13753</v>
      </c>
      <c r="AA267" s="310">
        <f t="shared" si="98"/>
        <v>14378</v>
      </c>
    </row>
    <row r="268" spans="1:29">
      <c r="A268" s="2785" t="s">
        <v>1649</v>
      </c>
      <c r="B268" s="2767">
        <v>8</v>
      </c>
      <c r="C268" s="2768">
        <v>696</v>
      </c>
      <c r="D268" s="3163">
        <v>133</v>
      </c>
      <c r="E268" s="3164"/>
      <c r="F268" s="2769">
        <v>656</v>
      </c>
      <c r="G268" s="2770">
        <v>10917</v>
      </c>
      <c r="H268" s="2771"/>
      <c r="I268" s="2770">
        <v>5611</v>
      </c>
      <c r="J268" s="2771"/>
      <c r="K268" s="2770">
        <v>240</v>
      </c>
      <c r="L268" s="1564"/>
      <c r="M268" s="2772">
        <f t="shared" si="95"/>
        <v>18261</v>
      </c>
      <c r="N268" s="2773">
        <v>1641</v>
      </c>
      <c r="O268" s="2768">
        <v>1848</v>
      </c>
      <c r="P268" s="2771">
        <v>1525</v>
      </c>
      <c r="Q268" s="2768">
        <v>1630</v>
      </c>
      <c r="R268" s="2774">
        <v>1832</v>
      </c>
      <c r="S268" s="2770">
        <v>6237</v>
      </c>
      <c r="T268" s="2771"/>
      <c r="U268" s="2770">
        <v>257</v>
      </c>
      <c r="V268" s="2791"/>
      <c r="W268" s="2734">
        <f t="shared" si="99"/>
        <v>33231</v>
      </c>
      <c r="X268" s="2735">
        <f t="shared" si="94"/>
        <v>0.99552015928323634</v>
      </c>
      <c r="Y268" s="2775">
        <f t="shared" si="87"/>
        <v>2.2586700310798014</v>
      </c>
      <c r="Z268" s="2126">
        <f t="shared" si="100"/>
        <v>13743</v>
      </c>
      <c r="AA268" s="310">
        <f t="shared" si="98"/>
        <v>14359</v>
      </c>
    </row>
    <row r="269" spans="1:29">
      <c r="A269" s="2785" t="s">
        <v>1650</v>
      </c>
      <c r="B269" s="2777">
        <v>7</v>
      </c>
      <c r="C269" s="2778">
        <v>81</v>
      </c>
      <c r="D269" s="3177">
        <v>690</v>
      </c>
      <c r="E269" s="3178"/>
      <c r="F269" s="2779">
        <v>739</v>
      </c>
      <c r="G269" s="2757">
        <v>10444</v>
      </c>
      <c r="H269" s="2780"/>
      <c r="I269" s="2757">
        <v>5062</v>
      </c>
      <c r="J269" s="2780"/>
      <c r="K269" s="2757">
        <v>196</v>
      </c>
      <c r="L269" s="1564"/>
      <c r="M269" s="2751">
        <f t="shared" si="95"/>
        <v>17219</v>
      </c>
      <c r="N269" s="2786">
        <v>1370</v>
      </c>
      <c r="O269" s="2778">
        <v>1700</v>
      </c>
      <c r="P269" s="2780">
        <v>1403</v>
      </c>
      <c r="Q269" s="2778">
        <v>1578</v>
      </c>
      <c r="R269" s="2787">
        <v>1654</v>
      </c>
      <c r="S269" s="2757">
        <v>5790</v>
      </c>
      <c r="T269" s="2780"/>
      <c r="U269" s="2757">
        <v>258</v>
      </c>
      <c r="V269" s="2792"/>
      <c r="W269" s="2793">
        <f t="shared" si="99"/>
        <v>30972</v>
      </c>
      <c r="X269" s="2794">
        <f t="shared" si="94"/>
        <v>1.8152790917691508</v>
      </c>
      <c r="Y269" s="2762">
        <f t="shared" si="87"/>
        <v>3.4296209717816106</v>
      </c>
      <c r="Z269" s="2126">
        <f t="shared" si="100"/>
        <v>13878</v>
      </c>
      <c r="AA269" s="310">
        <f t="shared" si="98"/>
        <v>14359</v>
      </c>
      <c r="AB269" s="1280"/>
      <c r="AC269" s="1280"/>
    </row>
    <row r="270" spans="1:29" s="1280" customFormat="1">
      <c r="A270" s="2785" t="s">
        <v>1651</v>
      </c>
      <c r="B270" s="2752">
        <v>7</v>
      </c>
      <c r="C270" s="2753">
        <v>85</v>
      </c>
      <c r="D270" s="3171">
        <v>692</v>
      </c>
      <c r="E270" s="3172"/>
      <c r="F270" s="2754">
        <v>762</v>
      </c>
      <c r="G270" s="2755">
        <v>10419</v>
      </c>
      <c r="H270" s="2756"/>
      <c r="I270" s="2755">
        <v>5059</v>
      </c>
      <c r="J270" s="2756"/>
      <c r="K270" s="2755">
        <v>186</v>
      </c>
      <c r="L270" s="1564"/>
      <c r="M270" s="2750">
        <f t="shared" si="95"/>
        <v>17210</v>
      </c>
      <c r="N270" s="2765">
        <v>1370</v>
      </c>
      <c r="O270" s="2753">
        <v>1696</v>
      </c>
      <c r="P270" s="2756">
        <v>1401</v>
      </c>
      <c r="Q270" s="2753">
        <v>1579</v>
      </c>
      <c r="R270" s="2766">
        <v>1654</v>
      </c>
      <c r="S270" s="2755">
        <v>5785</v>
      </c>
      <c r="T270" s="2756"/>
      <c r="U270" s="2755">
        <v>258</v>
      </c>
      <c r="V270" s="2789"/>
      <c r="W270" s="2790">
        <f t="shared" si="99"/>
        <v>30953</v>
      </c>
      <c r="X270" s="2735">
        <f t="shared" si="94"/>
        <v>1.7981781615994397</v>
      </c>
      <c r="Y270" s="2763">
        <f t="shared" si="87"/>
        <v>2.9022606382978822</v>
      </c>
      <c r="Z270" s="2126">
        <f t="shared" si="100"/>
        <v>14069</v>
      </c>
      <c r="AA270" s="310">
        <f t="shared" si="98"/>
        <v>14416</v>
      </c>
      <c r="AB270" s="249"/>
      <c r="AC270" s="249"/>
    </row>
    <row r="271" spans="1:29">
      <c r="A271" s="2785" t="s">
        <v>1652</v>
      </c>
      <c r="B271" s="2752">
        <v>8</v>
      </c>
      <c r="C271" s="2753">
        <v>87</v>
      </c>
      <c r="D271" s="3171">
        <v>698</v>
      </c>
      <c r="E271" s="3172"/>
      <c r="F271" s="2754">
        <v>699</v>
      </c>
      <c r="G271" s="2755">
        <v>10414</v>
      </c>
      <c r="H271" s="2756"/>
      <c r="I271" s="2755">
        <v>5053</v>
      </c>
      <c r="J271" s="2756"/>
      <c r="K271" s="2755">
        <v>188</v>
      </c>
      <c r="L271" s="1564"/>
      <c r="M271" s="2750">
        <f t="shared" si="95"/>
        <v>17147</v>
      </c>
      <c r="N271" s="2788">
        <v>1371</v>
      </c>
      <c r="O271" s="2753">
        <v>1697</v>
      </c>
      <c r="P271" s="2756">
        <v>1399</v>
      </c>
      <c r="Q271" s="2753">
        <v>1576</v>
      </c>
      <c r="R271" s="2766">
        <v>1649</v>
      </c>
      <c r="S271" s="2755">
        <v>5928</v>
      </c>
      <c r="T271" s="2756"/>
      <c r="U271" s="2755">
        <v>258</v>
      </c>
      <c r="V271" s="2789"/>
      <c r="W271" s="2790">
        <f t="shared" si="99"/>
        <v>31025</v>
      </c>
      <c r="X271" s="2735">
        <f t="shared" si="94"/>
        <v>1.7082863752298394</v>
      </c>
      <c r="Y271" s="2763">
        <f t="shared" si="87"/>
        <v>3.1724917694788912</v>
      </c>
      <c r="Z271" s="2126">
        <f t="shared" si="100"/>
        <v>14075</v>
      </c>
    </row>
    <row r="272" spans="1:29" s="1280" customFormat="1">
      <c r="A272" s="2785" t="s">
        <v>1653</v>
      </c>
      <c r="B272" s="2752">
        <v>7</v>
      </c>
      <c r="C272" s="2753">
        <v>87</v>
      </c>
      <c r="D272" s="3171">
        <v>702</v>
      </c>
      <c r="E272" s="3172"/>
      <c r="F272" s="2754">
        <v>680</v>
      </c>
      <c r="G272" s="2755">
        <v>10434</v>
      </c>
      <c r="H272" s="2756"/>
      <c r="I272" s="2755">
        <v>5049</v>
      </c>
      <c r="J272" s="2756"/>
      <c r="K272" s="2755">
        <v>186</v>
      </c>
      <c r="L272" s="1564"/>
      <c r="M272" s="2750">
        <f t="shared" si="95"/>
        <v>17145</v>
      </c>
      <c r="N272" s="2788">
        <v>1418</v>
      </c>
      <c r="O272" s="2753">
        <v>1752</v>
      </c>
      <c r="P272" s="2756">
        <v>1435</v>
      </c>
      <c r="Q272" s="2753">
        <v>1581</v>
      </c>
      <c r="R272" s="2766">
        <v>1693</v>
      </c>
      <c r="S272" s="2755">
        <v>5933</v>
      </c>
      <c r="T272" s="2756"/>
      <c r="U272" s="2755">
        <v>257</v>
      </c>
      <c r="V272" s="2789"/>
      <c r="W272" s="2790">
        <f t="shared" si="99"/>
        <v>31214</v>
      </c>
      <c r="X272" s="2735">
        <f t="shared" si="94"/>
        <v>2.4438336520076431</v>
      </c>
      <c r="Y272" s="2763">
        <f t="shared" si="87"/>
        <v>3.8355344133595093</v>
      </c>
      <c r="Z272" s="2126">
        <f t="shared" si="100"/>
        <v>14068</v>
      </c>
      <c r="AA272" s="249"/>
      <c r="AB272" s="249"/>
      <c r="AC272" s="249"/>
    </row>
    <row r="273" spans="1:29">
      <c r="A273" s="2785" t="s">
        <v>1654</v>
      </c>
      <c r="B273" s="2752">
        <v>7</v>
      </c>
      <c r="C273" s="2753">
        <v>87</v>
      </c>
      <c r="D273" s="3171">
        <v>704</v>
      </c>
      <c r="E273" s="3172"/>
      <c r="F273" s="2754">
        <v>893</v>
      </c>
      <c r="G273" s="2755">
        <v>10430</v>
      </c>
      <c r="H273" s="2756"/>
      <c r="I273" s="2755">
        <v>5048</v>
      </c>
      <c r="J273" s="2756"/>
      <c r="K273" s="2755">
        <v>186</v>
      </c>
      <c r="L273" s="1564"/>
      <c r="M273" s="2750">
        <f t="shared" si="95"/>
        <v>17355</v>
      </c>
      <c r="N273" s="2788">
        <v>1420</v>
      </c>
      <c r="O273" s="2753">
        <v>1748</v>
      </c>
      <c r="P273" s="2756">
        <v>1435</v>
      </c>
      <c r="Q273" s="2753">
        <v>1584</v>
      </c>
      <c r="R273" s="2766">
        <v>1693</v>
      </c>
      <c r="S273" s="2755">
        <v>5938</v>
      </c>
      <c r="T273" s="2756"/>
      <c r="U273" s="2755">
        <v>257</v>
      </c>
      <c r="V273" s="2789"/>
      <c r="W273" s="2790">
        <f t="shared" si="99"/>
        <v>31430</v>
      </c>
      <c r="X273" s="2735">
        <f t="shared" si="94"/>
        <v>3.7792262153919731</v>
      </c>
      <c r="Y273" s="2763">
        <f t="shared" si="87"/>
        <v>4.6027889639564723</v>
      </c>
      <c r="Z273" s="2126">
        <f t="shared" si="100"/>
        <v>14393</v>
      </c>
    </row>
    <row r="274" spans="1:29">
      <c r="A274" s="2785" t="s">
        <v>1655</v>
      </c>
      <c r="B274" s="2752">
        <v>7</v>
      </c>
      <c r="C274" s="2753">
        <v>88</v>
      </c>
      <c r="D274" s="3171">
        <v>716</v>
      </c>
      <c r="E274" s="3172"/>
      <c r="F274" s="2754">
        <v>910</v>
      </c>
      <c r="G274" s="2755">
        <v>10619</v>
      </c>
      <c r="H274" s="2756"/>
      <c r="I274" s="2755">
        <v>5234</v>
      </c>
      <c r="J274" s="2756"/>
      <c r="K274" s="2755">
        <v>187</v>
      </c>
      <c r="L274" s="1564"/>
      <c r="M274" s="2750">
        <f t="shared" si="95"/>
        <v>17761</v>
      </c>
      <c r="N274" s="2765">
        <v>1420</v>
      </c>
      <c r="O274" s="2753">
        <v>1746</v>
      </c>
      <c r="P274" s="2756">
        <v>1435</v>
      </c>
      <c r="Q274" s="2753">
        <v>1582</v>
      </c>
      <c r="R274" s="2766">
        <v>1691</v>
      </c>
      <c r="S274" s="2755">
        <v>5937</v>
      </c>
      <c r="T274" s="2756"/>
      <c r="U274" s="2755">
        <v>257</v>
      </c>
      <c r="V274" s="2789"/>
      <c r="W274" s="2790">
        <f t="shared" si="99"/>
        <v>31829</v>
      </c>
      <c r="X274" s="2735">
        <f t="shared" si="94"/>
        <v>6.2896469180131698</v>
      </c>
      <c r="Y274" s="2763">
        <f t="shared" ref="Y274:Y292" si="101">(W274/W286-1)*100</f>
        <v>5.7793286806247846</v>
      </c>
      <c r="Z274" s="2126">
        <f t="shared" si="100"/>
        <v>14389</v>
      </c>
      <c r="AA274" s="1280"/>
      <c r="AB274" s="1280"/>
      <c r="AC274" s="1280"/>
    </row>
    <row r="275" spans="1:29">
      <c r="A275" s="2785" t="s">
        <v>1656</v>
      </c>
      <c r="B275" s="2752">
        <v>7</v>
      </c>
      <c r="C275" s="2753">
        <v>88</v>
      </c>
      <c r="D275" s="3171">
        <v>717</v>
      </c>
      <c r="E275" s="3172"/>
      <c r="F275" s="2754">
        <v>658</v>
      </c>
      <c r="G275" s="2755">
        <v>10717</v>
      </c>
      <c r="H275" s="2756"/>
      <c r="I275" s="2755">
        <v>5351</v>
      </c>
      <c r="J275" s="2756"/>
      <c r="K275" s="2755">
        <v>186</v>
      </c>
      <c r="L275" s="1564"/>
      <c r="M275" s="2750">
        <f t="shared" si="95"/>
        <v>17724</v>
      </c>
      <c r="N275" s="2765">
        <v>1486</v>
      </c>
      <c r="O275" s="2753">
        <v>1756</v>
      </c>
      <c r="P275" s="2756">
        <v>1436</v>
      </c>
      <c r="Q275" s="2753">
        <v>1590</v>
      </c>
      <c r="R275" s="2766">
        <v>1773</v>
      </c>
      <c r="S275" s="2755">
        <v>6095</v>
      </c>
      <c r="T275" s="2756"/>
      <c r="U275" s="2755">
        <v>257</v>
      </c>
      <c r="V275" s="2789"/>
      <c r="W275" s="2790">
        <f t="shared" si="99"/>
        <v>32117</v>
      </c>
      <c r="X275" s="2735">
        <f t="shared" si="94"/>
        <v>6.0745705906996239</v>
      </c>
      <c r="Y275" s="2763">
        <f t="shared" si="101"/>
        <v>6.7293632859231733</v>
      </c>
      <c r="Z275" s="2126">
        <f t="shared" si="100"/>
        <v>14378</v>
      </c>
    </row>
    <row r="276" spans="1:29">
      <c r="A276" s="2785" t="s">
        <v>1657</v>
      </c>
      <c r="B276" s="2752">
        <v>7</v>
      </c>
      <c r="C276" s="2753">
        <v>95</v>
      </c>
      <c r="D276" s="3171">
        <v>720</v>
      </c>
      <c r="E276" s="3172"/>
      <c r="F276" s="2754">
        <v>656</v>
      </c>
      <c r="G276" s="2755">
        <v>10702</v>
      </c>
      <c r="H276" s="2756"/>
      <c r="I276" s="2755">
        <v>5349</v>
      </c>
      <c r="J276" s="2756"/>
      <c r="K276" s="2755">
        <v>189</v>
      </c>
      <c r="L276" s="1564"/>
      <c r="M276" s="2750">
        <f t="shared" si="95"/>
        <v>17718</v>
      </c>
      <c r="N276" s="2765">
        <v>1484</v>
      </c>
      <c r="O276" s="2753">
        <v>1755</v>
      </c>
      <c r="P276" s="2756">
        <v>1436</v>
      </c>
      <c r="Q276" s="2753">
        <v>1589</v>
      </c>
      <c r="R276" s="2766">
        <v>1773</v>
      </c>
      <c r="S276" s="2755">
        <v>6095</v>
      </c>
      <c r="T276" s="2756"/>
      <c r="U276" s="2755">
        <v>257</v>
      </c>
      <c r="V276" s="2789"/>
      <c r="W276" s="2790">
        <f t="shared" si="99"/>
        <v>32107</v>
      </c>
      <c r="X276" s="2735">
        <f t="shared" si="94"/>
        <v>4.7534586732884021</v>
      </c>
      <c r="Y276" s="2763">
        <f t="shared" si="101"/>
        <v>5.7682171564106044</v>
      </c>
      <c r="Z276" s="2126">
        <f t="shared" si="100"/>
        <v>14359</v>
      </c>
      <c r="AA276" s="1280"/>
      <c r="AB276" s="1280"/>
      <c r="AC276" s="1280"/>
    </row>
    <row r="277" spans="1:29" s="1280" customFormat="1">
      <c r="A277" s="2785" t="s">
        <v>1658</v>
      </c>
      <c r="B277" s="2752">
        <v>8</v>
      </c>
      <c r="C277" s="2753">
        <v>95</v>
      </c>
      <c r="D277" s="3171">
        <v>720</v>
      </c>
      <c r="E277" s="3172"/>
      <c r="F277" s="2754">
        <v>642</v>
      </c>
      <c r="G277" s="2755">
        <v>10740</v>
      </c>
      <c r="H277" s="2756"/>
      <c r="I277" s="2755">
        <v>5478</v>
      </c>
      <c r="J277" s="2756"/>
      <c r="K277" s="2755">
        <v>188</v>
      </c>
      <c r="L277" s="1564"/>
      <c r="M277" s="2750">
        <f t="shared" si="95"/>
        <v>17871</v>
      </c>
      <c r="N277" s="2765">
        <v>1477</v>
      </c>
      <c r="O277" s="2753">
        <v>1753</v>
      </c>
      <c r="P277" s="2756">
        <v>1445</v>
      </c>
      <c r="Q277" s="2753">
        <v>1589</v>
      </c>
      <c r="R277" s="2766">
        <v>1773</v>
      </c>
      <c r="S277" s="2755">
        <v>6084</v>
      </c>
      <c r="T277" s="2756"/>
      <c r="U277" s="2755">
        <v>257</v>
      </c>
      <c r="V277" s="2789"/>
      <c r="W277" s="2790">
        <f t="shared" si="99"/>
        <v>32249</v>
      </c>
      <c r="X277" s="2735">
        <f t="shared" si="94"/>
        <v>6.1475409836065475</v>
      </c>
      <c r="Y277" s="2763">
        <f t="shared" si="101"/>
        <v>6.5800779959019007</v>
      </c>
      <c r="Z277" s="2126">
        <f t="shared" si="100"/>
        <v>14359</v>
      </c>
      <c r="AA277" s="310"/>
      <c r="AB277" s="249"/>
      <c r="AC277" s="249"/>
    </row>
    <row r="278" spans="1:29">
      <c r="A278" s="2785" t="s">
        <v>1659</v>
      </c>
      <c r="B278" s="2752">
        <v>8</v>
      </c>
      <c r="C278" s="2753">
        <v>96</v>
      </c>
      <c r="D278" s="3171">
        <v>728</v>
      </c>
      <c r="E278" s="3172"/>
      <c r="F278" s="2754">
        <v>629</v>
      </c>
      <c r="G278" s="2755">
        <v>10934</v>
      </c>
      <c r="H278" s="2756"/>
      <c r="I278" s="2755">
        <v>5518</v>
      </c>
      <c r="J278" s="2756"/>
      <c r="K278" s="2755">
        <v>188</v>
      </c>
      <c r="L278" s="1564"/>
      <c r="M278" s="2750">
        <f t="shared" si="95"/>
        <v>18101</v>
      </c>
      <c r="N278" s="2765">
        <v>1477</v>
      </c>
      <c r="O278" s="2753">
        <v>1753</v>
      </c>
      <c r="P278" s="2756">
        <v>1444</v>
      </c>
      <c r="Q278" s="2753">
        <v>1584</v>
      </c>
      <c r="R278" s="2766">
        <v>1765</v>
      </c>
      <c r="S278" s="2755">
        <v>6079</v>
      </c>
      <c r="T278" s="2756"/>
      <c r="U278" s="2755">
        <v>257</v>
      </c>
      <c r="V278" s="2789"/>
      <c r="W278" s="2790">
        <f t="shared" si="99"/>
        <v>32460</v>
      </c>
      <c r="X278" s="2735">
        <f t="shared" si="94"/>
        <v>7.3542494513967105</v>
      </c>
      <c r="Y278" s="2763">
        <f t="shared" si="101"/>
        <v>6.9663217557503376</v>
      </c>
      <c r="Z278" s="2126">
        <f t="shared" si="100"/>
        <v>14416</v>
      </c>
      <c r="AA278" s="310">
        <f>M288-399</f>
        <v>16515</v>
      </c>
    </row>
    <row r="279" spans="1:29">
      <c r="A279" s="2785" t="s">
        <v>1660</v>
      </c>
      <c r="B279" s="2752">
        <v>8</v>
      </c>
      <c r="C279" s="2753">
        <v>97</v>
      </c>
      <c r="D279" s="3171">
        <v>727</v>
      </c>
      <c r="E279" s="3172"/>
      <c r="F279" s="2754">
        <v>629</v>
      </c>
      <c r="G279" s="2755">
        <v>10931</v>
      </c>
      <c r="H279" s="2756"/>
      <c r="I279" s="2755">
        <v>5515</v>
      </c>
      <c r="J279" s="2756"/>
      <c r="K279" s="2755">
        <v>189</v>
      </c>
      <c r="L279" s="1564"/>
      <c r="M279" s="2750">
        <f t="shared" si="95"/>
        <v>18096</v>
      </c>
      <c r="N279" s="2765">
        <v>1478</v>
      </c>
      <c r="O279" s="2753">
        <v>1753</v>
      </c>
      <c r="P279" s="2756">
        <v>1444</v>
      </c>
      <c r="Q279" s="2753">
        <v>1584</v>
      </c>
      <c r="R279" s="2766">
        <v>1764</v>
      </c>
      <c r="S279" s="2755">
        <v>6079</v>
      </c>
      <c r="T279" s="2756"/>
      <c r="U279" s="2755">
        <v>257</v>
      </c>
      <c r="V279" s="2789"/>
      <c r="W279" s="2790">
        <f t="shared" si="99"/>
        <v>32455</v>
      </c>
      <c r="X279" s="2735">
        <f t="shared" si="94"/>
        <v>7.2673384706579691</v>
      </c>
      <c r="Y279" s="2763">
        <f t="shared" si="101"/>
        <v>6.1279879663843628</v>
      </c>
      <c r="Z279" s="2126"/>
    </row>
    <row r="280" spans="1:29">
      <c r="A280" s="2785" t="s">
        <v>1661</v>
      </c>
      <c r="B280" s="2767">
        <v>8</v>
      </c>
      <c r="C280" s="2768">
        <v>97</v>
      </c>
      <c r="D280" s="3163">
        <v>728</v>
      </c>
      <c r="E280" s="3164"/>
      <c r="F280" s="2769">
        <v>626</v>
      </c>
      <c r="G280" s="2770">
        <v>10924</v>
      </c>
      <c r="H280" s="2771"/>
      <c r="I280" s="2770">
        <v>5509</v>
      </c>
      <c r="J280" s="2771"/>
      <c r="K280" s="2770">
        <v>189</v>
      </c>
      <c r="L280" s="1564"/>
      <c r="M280" s="2772">
        <f t="shared" si="95"/>
        <v>18081</v>
      </c>
      <c r="N280" s="2773">
        <v>1479</v>
      </c>
      <c r="O280" s="2768">
        <v>1805</v>
      </c>
      <c r="P280" s="2771">
        <v>1446</v>
      </c>
      <c r="Q280" s="2768">
        <v>1586</v>
      </c>
      <c r="R280" s="2774">
        <v>1765</v>
      </c>
      <c r="S280" s="2770">
        <v>6079</v>
      </c>
      <c r="T280" s="2771"/>
      <c r="U280" s="2770">
        <v>256</v>
      </c>
      <c r="V280" s="2791"/>
      <c r="W280" s="2734">
        <f t="shared" si="99"/>
        <v>32497</v>
      </c>
      <c r="X280" s="2735">
        <f t="shared" si="94"/>
        <v>5.6009811937857812</v>
      </c>
      <c r="Y280" s="2775">
        <f t="shared" si="101"/>
        <v>5.4207487186141545</v>
      </c>
      <c r="Z280" s="2126"/>
    </row>
    <row r="281" spans="1:29">
      <c r="A281" s="2785" t="s">
        <v>1662</v>
      </c>
      <c r="B281" s="2777">
        <v>7</v>
      </c>
      <c r="C281" s="2778">
        <v>69</v>
      </c>
      <c r="D281" s="3177">
        <v>675</v>
      </c>
      <c r="E281" s="3178"/>
      <c r="F281" s="2779">
        <v>836</v>
      </c>
      <c r="G281" s="2757">
        <v>10159</v>
      </c>
      <c r="H281" s="2780"/>
      <c r="I281" s="2757">
        <v>4888</v>
      </c>
      <c r="J281" s="2780"/>
      <c r="K281" s="2757">
        <v>278</v>
      </c>
      <c r="L281" s="1564"/>
      <c r="M281" s="2751">
        <f t="shared" ref="M281:M304" si="102">SUM(B281:K281)</f>
        <v>16912</v>
      </c>
      <c r="N281" s="2786">
        <f>4+1339-29</f>
        <v>1314</v>
      </c>
      <c r="O281" s="2778">
        <f>4+1674-29</f>
        <v>1649</v>
      </c>
      <c r="P281" s="2780">
        <f>4+1418-37</f>
        <v>1385</v>
      </c>
      <c r="Q281" s="2778">
        <f>4+1512-56</f>
        <v>1460</v>
      </c>
      <c r="R281" s="2787">
        <f>4+1611-52</f>
        <v>1563</v>
      </c>
      <c r="S281" s="2757">
        <f>5+5412-6</f>
        <v>5411</v>
      </c>
      <c r="T281" s="2780"/>
      <c r="U281" s="2757">
        <f>3+248</f>
        <v>251</v>
      </c>
      <c r="V281" s="2792"/>
      <c r="W281" s="2793">
        <f t="shared" si="99"/>
        <v>29945</v>
      </c>
      <c r="X281" s="2794">
        <f t="shared" si="94"/>
        <v>1.6162951390975122</v>
      </c>
      <c r="Y281" s="2762">
        <f t="shared" si="101"/>
        <v>1.5394527143874459</v>
      </c>
      <c r="Z281" s="2126"/>
      <c r="AA281" s="1280"/>
      <c r="AB281" s="1280"/>
      <c r="AC281" s="1280"/>
    </row>
    <row r="282" spans="1:29" s="1280" customFormat="1">
      <c r="A282" s="2785" t="s">
        <v>1663</v>
      </c>
      <c r="B282" s="2752">
        <v>7</v>
      </c>
      <c r="C282" s="2753">
        <v>79</v>
      </c>
      <c r="D282" s="3171">
        <v>675</v>
      </c>
      <c r="E282" s="3172"/>
      <c r="F282" s="2754">
        <v>819</v>
      </c>
      <c r="G282" s="2755">
        <v>10152</v>
      </c>
      <c r="H282" s="2756"/>
      <c r="I282" s="2755">
        <v>4897</v>
      </c>
      <c r="J282" s="2756"/>
      <c r="K282" s="2755">
        <v>277</v>
      </c>
      <c r="L282" s="1564"/>
      <c r="M282" s="2750">
        <f t="shared" si="102"/>
        <v>16906</v>
      </c>
      <c r="N282" s="2765">
        <f>4+1342-29</f>
        <v>1317</v>
      </c>
      <c r="O282" s="2753">
        <f>4+1674-29</f>
        <v>1649</v>
      </c>
      <c r="P282" s="2756">
        <f>4+1418-37</f>
        <v>1385</v>
      </c>
      <c r="Q282" s="2753">
        <f>4+1512-56</f>
        <v>1460</v>
      </c>
      <c r="R282" s="2766">
        <f>4+1599-52</f>
        <v>1551</v>
      </c>
      <c r="S282" s="2755">
        <f>5+5562-6</f>
        <v>5561</v>
      </c>
      <c r="T282" s="2756"/>
      <c r="U282" s="2755">
        <v>251</v>
      </c>
      <c r="V282" s="2789"/>
      <c r="W282" s="2790">
        <f t="shared" si="99"/>
        <v>30080</v>
      </c>
      <c r="X282" s="2735">
        <f t="shared" si="94"/>
        <v>1.616878042916392</v>
      </c>
      <c r="Y282" s="2763">
        <f t="shared" si="101"/>
        <v>2.0041371358811677</v>
      </c>
      <c r="Z282" s="2126"/>
      <c r="AA282" s="249"/>
      <c r="AB282" s="249"/>
      <c r="AC282" s="249"/>
    </row>
    <row r="283" spans="1:29">
      <c r="A283" s="2785" t="s">
        <v>1664</v>
      </c>
      <c r="B283" s="2752">
        <v>7</v>
      </c>
      <c r="C283" s="2753">
        <v>78</v>
      </c>
      <c r="D283" s="3171">
        <v>669</v>
      </c>
      <c r="E283" s="3172"/>
      <c r="F283" s="2754">
        <v>820</v>
      </c>
      <c r="G283" s="2755">
        <v>10115</v>
      </c>
      <c r="H283" s="2756"/>
      <c r="I283" s="2755">
        <v>4897</v>
      </c>
      <c r="J283" s="2756"/>
      <c r="K283" s="2755">
        <v>273</v>
      </c>
      <c r="L283" s="1564"/>
      <c r="M283" s="2750">
        <f t="shared" si="102"/>
        <v>16859</v>
      </c>
      <c r="N283" s="2788">
        <f>4+1338-28</f>
        <v>1314</v>
      </c>
      <c r="O283" s="2753">
        <f>4+1714-28</f>
        <v>1690</v>
      </c>
      <c r="P283" s="2756">
        <f>4+1418-37</f>
        <v>1385</v>
      </c>
      <c r="Q283" s="2753">
        <f>4+1510-56</f>
        <v>1458</v>
      </c>
      <c r="R283" s="2766">
        <f>4+1606-52</f>
        <v>1558</v>
      </c>
      <c r="S283" s="2755">
        <f>5+5557-6</f>
        <v>5556</v>
      </c>
      <c r="T283" s="2756"/>
      <c r="U283" s="2755">
        <v>251</v>
      </c>
      <c r="V283" s="2789"/>
      <c r="W283" s="2790">
        <f t="shared" si="99"/>
        <v>30071</v>
      </c>
      <c r="X283" s="2735">
        <f t="shared" si="94"/>
        <v>1.6459664777523253</v>
      </c>
      <c r="Y283" s="2763">
        <f t="shared" si="101"/>
        <v>2.3449731127901385</v>
      </c>
    </row>
    <row r="284" spans="1:29" s="1280" customFormat="1">
      <c r="A284" s="2785" t="s">
        <v>1665</v>
      </c>
      <c r="B284" s="2752">
        <v>7</v>
      </c>
      <c r="C284" s="2753">
        <v>72</v>
      </c>
      <c r="D284" s="3171">
        <v>665</v>
      </c>
      <c r="E284" s="3172"/>
      <c r="F284" s="2754">
        <v>702</v>
      </c>
      <c r="G284" s="2755">
        <v>10120</v>
      </c>
      <c r="H284" s="2756"/>
      <c r="I284" s="2755">
        <v>4890</v>
      </c>
      <c r="J284" s="2756"/>
      <c r="K284" s="2755">
        <v>280</v>
      </c>
      <c r="L284" s="1564"/>
      <c r="M284" s="2750">
        <f t="shared" si="102"/>
        <v>16736</v>
      </c>
      <c r="N284" s="2788">
        <f>4+1334-20</f>
        <v>1318</v>
      </c>
      <c r="O284" s="2753">
        <f>4+1716-16</f>
        <v>1704</v>
      </c>
      <c r="P284" s="2756">
        <f>4+1416-8</f>
        <v>1412</v>
      </c>
      <c r="Q284" s="2753">
        <f>4+1512-26</f>
        <v>1490</v>
      </c>
      <c r="R284" s="2766">
        <f>4+1606-15</f>
        <v>1595</v>
      </c>
      <c r="S284" s="2755">
        <f>5+5553-3</f>
        <v>5555</v>
      </c>
      <c r="T284" s="2756"/>
      <c r="U284" s="2755">
        <v>251</v>
      </c>
      <c r="V284" s="2789"/>
      <c r="W284" s="2790">
        <f t="shared" si="99"/>
        <v>30061</v>
      </c>
      <c r="X284" s="2735">
        <f t="shared" si="94"/>
        <v>0.96525096525097442</v>
      </c>
      <c r="Y284" s="2763">
        <f t="shared" si="101"/>
        <v>1.8878796095444628</v>
      </c>
      <c r="Z284" s="2126">
        <f>SUM(N286:S286)</f>
        <v>13129</v>
      </c>
      <c r="AA284" s="249"/>
      <c r="AB284" s="249"/>
      <c r="AC284" s="249"/>
    </row>
    <row r="285" spans="1:29">
      <c r="A285" s="2785" t="s">
        <v>1666</v>
      </c>
      <c r="B285" s="2752">
        <v>7</v>
      </c>
      <c r="C285" s="2753">
        <v>74</v>
      </c>
      <c r="D285" s="3171">
        <v>670</v>
      </c>
      <c r="E285" s="3172"/>
      <c r="F285" s="2754">
        <v>692</v>
      </c>
      <c r="G285" s="2755">
        <v>10111</v>
      </c>
      <c r="H285" s="2756"/>
      <c r="I285" s="2755">
        <v>4893</v>
      </c>
      <c r="J285" s="2756"/>
      <c r="K285" s="2755">
        <v>276</v>
      </c>
      <c r="L285" s="1564"/>
      <c r="M285" s="2750">
        <f t="shared" si="102"/>
        <v>16723</v>
      </c>
      <c r="N285" s="2788">
        <f>4+1334-20</f>
        <v>1318</v>
      </c>
      <c r="O285" s="2753">
        <f>4+1714-16</f>
        <v>1702</v>
      </c>
      <c r="P285" s="2756">
        <f>4+1415-8</f>
        <v>1411</v>
      </c>
      <c r="Q285" s="2753">
        <f>4+1512-21</f>
        <v>1495</v>
      </c>
      <c r="R285" s="2766">
        <f>4+1604-15</f>
        <v>1593</v>
      </c>
      <c r="S285" s="2755">
        <f>5+5552-3</f>
        <v>5554</v>
      </c>
      <c r="T285" s="2756"/>
      <c r="U285" s="2755">
        <v>251</v>
      </c>
      <c r="V285" s="2789"/>
      <c r="W285" s="2790">
        <f t="shared" si="99"/>
        <v>30047</v>
      </c>
      <c r="X285" s="2735">
        <f t="shared" si="94"/>
        <v>0.71669477234401757</v>
      </c>
      <c r="Y285" s="2763">
        <f t="shared" si="101"/>
        <v>1.7335364821398302</v>
      </c>
    </row>
    <row r="286" spans="1:29">
      <c r="A286" s="2785" t="s">
        <v>1667</v>
      </c>
      <c r="B286" s="2752">
        <v>4</v>
      </c>
      <c r="C286" s="2753">
        <v>74</v>
      </c>
      <c r="D286" s="3171">
        <v>670</v>
      </c>
      <c r="E286" s="3172"/>
      <c r="F286" s="2754">
        <v>696</v>
      </c>
      <c r="G286" s="2755">
        <v>10100</v>
      </c>
      <c r="H286" s="2756"/>
      <c r="I286" s="2755">
        <v>4891</v>
      </c>
      <c r="J286" s="2756"/>
      <c r="K286" s="2755">
        <v>275</v>
      </c>
      <c r="L286" s="1564"/>
      <c r="M286" s="2750">
        <f t="shared" si="102"/>
        <v>16710</v>
      </c>
      <c r="N286" s="2765">
        <f>4+1333-20</f>
        <v>1317</v>
      </c>
      <c r="O286" s="2753">
        <f>4+1712-16</f>
        <v>1700</v>
      </c>
      <c r="P286" s="2756">
        <f>4+1415-8</f>
        <v>1411</v>
      </c>
      <c r="Q286" s="2753">
        <f>4+1540-21</f>
        <v>1523</v>
      </c>
      <c r="R286" s="2766">
        <v>1630</v>
      </c>
      <c r="S286" s="2755">
        <f>5+5546-3</f>
        <v>5548</v>
      </c>
      <c r="T286" s="2756"/>
      <c r="U286" s="2755">
        <v>251</v>
      </c>
      <c r="V286" s="2789"/>
      <c r="W286" s="2790">
        <f t="shared" si="99"/>
        <v>30090</v>
      </c>
      <c r="X286" s="2735">
        <f t="shared" si="94"/>
        <v>0.63233965672990777</v>
      </c>
      <c r="Y286" s="2763">
        <f t="shared" si="101"/>
        <v>1.8929260776810786</v>
      </c>
      <c r="AA286" s="1280"/>
      <c r="AB286" s="1280"/>
      <c r="AC286" s="1280"/>
    </row>
    <row r="287" spans="1:29">
      <c r="A287" s="2785" t="s">
        <v>1668</v>
      </c>
      <c r="B287" s="2752">
        <v>4</v>
      </c>
      <c r="C287" s="2753">
        <v>75</v>
      </c>
      <c r="D287" s="3171">
        <v>672</v>
      </c>
      <c r="E287" s="3172"/>
      <c r="F287" s="2754">
        <v>692</v>
      </c>
      <c r="G287" s="2755">
        <v>10095</v>
      </c>
      <c r="H287" s="2756"/>
      <c r="I287" s="2755">
        <v>4893</v>
      </c>
      <c r="J287" s="2756"/>
      <c r="K287" s="2755">
        <v>278</v>
      </c>
      <c r="L287" s="1564"/>
      <c r="M287" s="2750">
        <f t="shared" si="102"/>
        <v>16709</v>
      </c>
      <c r="N287" s="2765">
        <v>1315</v>
      </c>
      <c r="O287" s="2753">
        <f>4+1715-16</f>
        <v>1703</v>
      </c>
      <c r="P287" s="2756">
        <f>4+1415-8</f>
        <v>1411</v>
      </c>
      <c r="Q287" s="2753">
        <f>4+1540-21</f>
        <v>1523</v>
      </c>
      <c r="R287" s="2766">
        <v>1630</v>
      </c>
      <c r="S287" s="2755">
        <v>5550</v>
      </c>
      <c r="T287" s="2756"/>
      <c r="U287" s="2755">
        <v>251</v>
      </c>
      <c r="V287" s="2789"/>
      <c r="W287" s="2790">
        <f t="shared" si="99"/>
        <v>30092</v>
      </c>
      <c r="X287" s="2735">
        <f t="shared" si="94"/>
        <v>0.74766355140187812</v>
      </c>
      <c r="Y287" s="2763">
        <f t="shared" si="101"/>
        <v>1.9273109101378694</v>
      </c>
    </row>
    <row r="288" spans="1:29">
      <c r="A288" s="2785" t="s">
        <v>1669</v>
      </c>
      <c r="B288" s="2752">
        <v>8</v>
      </c>
      <c r="C288" s="2753">
        <v>74</v>
      </c>
      <c r="D288" s="3171">
        <v>670</v>
      </c>
      <c r="E288" s="3172"/>
      <c r="F288" s="2754">
        <v>691</v>
      </c>
      <c r="G288" s="2755">
        <v>10234</v>
      </c>
      <c r="H288" s="2756"/>
      <c r="I288" s="2755">
        <v>4969</v>
      </c>
      <c r="J288" s="2756"/>
      <c r="K288" s="2755">
        <v>268</v>
      </c>
      <c r="L288" s="1564"/>
      <c r="M288" s="2750">
        <f t="shared" si="102"/>
        <v>16914</v>
      </c>
      <c r="N288" s="2765">
        <f>4+1387-20</f>
        <v>1371</v>
      </c>
      <c r="O288" s="2753">
        <f>4+1713-16</f>
        <v>1701</v>
      </c>
      <c r="P288" s="2756">
        <f>4+1414-8</f>
        <v>1410</v>
      </c>
      <c r="Q288" s="2753">
        <f>4+1541-21</f>
        <v>1524</v>
      </c>
      <c r="R288" s="2766">
        <v>1633</v>
      </c>
      <c r="S288" s="2755">
        <f>5+5550-3</f>
        <v>5552</v>
      </c>
      <c r="T288" s="2756"/>
      <c r="U288" s="2755">
        <v>251</v>
      </c>
      <c r="V288" s="2789"/>
      <c r="W288" s="2790">
        <f t="shared" si="99"/>
        <v>30356</v>
      </c>
      <c r="X288" s="2735">
        <f t="shared" si="94"/>
        <v>2.1376811594202794</v>
      </c>
      <c r="Y288" s="2763">
        <f t="shared" si="101"/>
        <v>2.8912314001965811</v>
      </c>
      <c r="AA288" s="1280"/>
      <c r="AB288" s="1280"/>
      <c r="AC288" s="1280"/>
    </row>
    <row r="289" spans="1:29" s="1280" customFormat="1">
      <c r="A289" s="2785" t="s">
        <v>1670</v>
      </c>
      <c r="B289" s="2752">
        <v>8</v>
      </c>
      <c r="C289" s="2753">
        <v>83</v>
      </c>
      <c r="D289" s="3171">
        <v>668</v>
      </c>
      <c r="E289" s="3172"/>
      <c r="F289" s="2754">
        <v>684</v>
      </c>
      <c r="G289" s="2755">
        <v>10167</v>
      </c>
      <c r="H289" s="2756"/>
      <c r="I289" s="2755">
        <v>4961</v>
      </c>
      <c r="J289" s="2756"/>
      <c r="K289" s="2755">
        <v>265</v>
      </c>
      <c r="L289" s="1564"/>
      <c r="M289" s="2750">
        <f t="shared" si="102"/>
        <v>16836</v>
      </c>
      <c r="N289" s="2765">
        <v>1365</v>
      </c>
      <c r="O289" s="2753">
        <v>1697</v>
      </c>
      <c r="P289" s="2756">
        <v>1410</v>
      </c>
      <c r="Q289" s="2753">
        <v>1520</v>
      </c>
      <c r="R289" s="2766">
        <v>1628</v>
      </c>
      <c r="S289" s="2755">
        <v>5544</v>
      </c>
      <c r="T289" s="2756"/>
      <c r="U289" s="2755">
        <v>258</v>
      </c>
      <c r="V289" s="2789"/>
      <c r="W289" s="2790">
        <f t="shared" si="99"/>
        <v>30258</v>
      </c>
      <c r="X289" s="2735">
        <f t="shared" si="94"/>
        <v>0.15466983938132728</v>
      </c>
      <c r="Y289" s="2763">
        <f t="shared" si="101"/>
        <v>1.4586057740670011</v>
      </c>
      <c r="AA289" s="310"/>
      <c r="AB289" s="249"/>
      <c r="AC289" s="249"/>
    </row>
    <row r="290" spans="1:29">
      <c r="A290" s="2785" t="s">
        <v>1671</v>
      </c>
      <c r="B290" s="2752">
        <v>8</v>
      </c>
      <c r="C290" s="2753">
        <v>83</v>
      </c>
      <c r="D290" s="3171">
        <v>670</v>
      </c>
      <c r="E290" s="3172"/>
      <c r="F290" s="2754">
        <v>684</v>
      </c>
      <c r="G290" s="2755">
        <v>10190</v>
      </c>
      <c r="H290" s="2756"/>
      <c r="I290" s="2755">
        <v>4959</v>
      </c>
      <c r="J290" s="2756"/>
      <c r="K290" s="2755">
        <v>267</v>
      </c>
      <c r="L290" s="1564"/>
      <c r="M290" s="2750">
        <f t="shared" si="102"/>
        <v>16861</v>
      </c>
      <c r="N290" s="2765">
        <v>1370</v>
      </c>
      <c r="O290" s="2753">
        <v>1700</v>
      </c>
      <c r="P290" s="2756">
        <v>1409</v>
      </c>
      <c r="Q290" s="2753">
        <v>1518</v>
      </c>
      <c r="R290" s="2766">
        <v>1660</v>
      </c>
      <c r="S290" s="2755">
        <v>5570</v>
      </c>
      <c r="T290" s="2756"/>
      <c r="U290" s="2755">
        <v>258</v>
      </c>
      <c r="V290" s="2789"/>
      <c r="W290" s="2790">
        <f t="shared" si="99"/>
        <v>30346</v>
      </c>
      <c r="X290" s="2735">
        <f t="shared" si="94"/>
        <v>0.4049306258560037</v>
      </c>
      <c r="Y290" s="2763">
        <f t="shared" si="101"/>
        <v>1.828797691352646</v>
      </c>
      <c r="AA290" s="310">
        <f>M300-399</f>
        <v>16161</v>
      </c>
    </row>
    <row r="291" spans="1:29">
      <c r="A291" s="2785" t="s">
        <v>1672</v>
      </c>
      <c r="B291" s="2752">
        <v>8</v>
      </c>
      <c r="C291" s="2753">
        <v>85</v>
      </c>
      <c r="D291" s="3171">
        <v>669</v>
      </c>
      <c r="E291" s="3172"/>
      <c r="F291" s="2754">
        <v>685</v>
      </c>
      <c r="G291" s="2755">
        <v>10201</v>
      </c>
      <c r="H291" s="2756"/>
      <c r="I291" s="2755">
        <v>4955</v>
      </c>
      <c r="J291" s="2756"/>
      <c r="K291" s="2755">
        <v>267</v>
      </c>
      <c r="L291" s="1564"/>
      <c r="M291" s="2750">
        <f t="shared" si="102"/>
        <v>16870</v>
      </c>
      <c r="N291" s="2765">
        <v>1371</v>
      </c>
      <c r="O291" s="2753">
        <v>1702</v>
      </c>
      <c r="P291" s="2756">
        <v>1408</v>
      </c>
      <c r="Q291" s="2753">
        <v>1542</v>
      </c>
      <c r="R291" s="2766">
        <v>1660</v>
      </c>
      <c r="S291" s="2755">
        <v>5770</v>
      </c>
      <c r="T291" s="2756"/>
      <c r="U291" s="2755">
        <v>258</v>
      </c>
      <c r="V291" s="2789"/>
      <c r="W291" s="2790">
        <f t="shared" si="99"/>
        <v>30581</v>
      </c>
      <c r="X291" s="2735">
        <f t="shared" si="94"/>
        <v>0.51838169576357007</v>
      </c>
      <c r="Y291" s="2763">
        <f t="shared" si="101"/>
        <v>2.6518075928971818</v>
      </c>
    </row>
    <row r="292" spans="1:29">
      <c r="A292" s="2785" t="s">
        <v>1673</v>
      </c>
      <c r="B292" s="2767">
        <v>7</v>
      </c>
      <c r="C292" s="2768">
        <v>84</v>
      </c>
      <c r="D292" s="3163">
        <v>665</v>
      </c>
      <c r="E292" s="3164"/>
      <c r="F292" s="2769">
        <v>715</v>
      </c>
      <c r="G292" s="2770">
        <v>10343</v>
      </c>
      <c r="H292" s="2771"/>
      <c r="I292" s="2770">
        <v>5044</v>
      </c>
      <c r="J292" s="2771"/>
      <c r="K292" s="2770">
        <v>264</v>
      </c>
      <c r="L292" s="1564"/>
      <c r="M292" s="2772">
        <f t="shared" si="102"/>
        <v>17122</v>
      </c>
      <c r="N292" s="2773">
        <v>1371</v>
      </c>
      <c r="O292" s="2768">
        <v>1701</v>
      </c>
      <c r="P292" s="2771">
        <v>1407</v>
      </c>
      <c r="Q292" s="2768">
        <v>1542</v>
      </c>
      <c r="R292" s="2774">
        <v>1658</v>
      </c>
      <c r="S292" s="2770">
        <v>5767</v>
      </c>
      <c r="T292" s="2771"/>
      <c r="U292" s="2770">
        <v>258</v>
      </c>
      <c r="V292" s="2791"/>
      <c r="W292" s="2734">
        <f t="shared" si="99"/>
        <v>30826</v>
      </c>
      <c r="X292" s="2735">
        <f t="shared" si="94"/>
        <v>2.0807249746616518</v>
      </c>
      <c r="Y292" s="2775">
        <f t="shared" si="101"/>
        <v>3.4672574094585906</v>
      </c>
    </row>
    <row r="293" spans="1:29">
      <c r="A293" s="2795" t="s">
        <v>1674</v>
      </c>
      <c r="B293" s="2777">
        <v>7</v>
      </c>
      <c r="C293" s="2778">
        <v>73</v>
      </c>
      <c r="D293" s="3177">
        <v>692</v>
      </c>
      <c r="E293" s="3178"/>
      <c r="F293" s="2779">
        <v>881</v>
      </c>
      <c r="G293" s="2757">
        <v>9936</v>
      </c>
      <c r="H293" s="2780"/>
      <c r="I293" s="2757">
        <v>4772</v>
      </c>
      <c r="J293" s="2780"/>
      <c r="K293" s="2757">
        <v>282</v>
      </c>
      <c r="L293" s="1564"/>
      <c r="M293" s="2751">
        <f t="shared" si="102"/>
        <v>16643</v>
      </c>
      <c r="N293" s="2786">
        <f>4+1364-29</f>
        <v>1339</v>
      </c>
      <c r="O293" s="2778">
        <f>4+1698-32</f>
        <v>1670</v>
      </c>
      <c r="P293" s="2780">
        <f>4+1434-42</f>
        <v>1396</v>
      </c>
      <c r="Q293" s="2778">
        <f>4+1526-58</f>
        <v>1472</v>
      </c>
      <c r="R293" s="2787">
        <f>4+1636-58</f>
        <v>1582</v>
      </c>
      <c r="S293" s="2757">
        <f>5+5151-9</f>
        <v>5147</v>
      </c>
      <c r="T293" s="2780"/>
      <c r="U293" s="2757">
        <f>3+240-1</f>
        <v>242</v>
      </c>
      <c r="V293" s="2792"/>
      <c r="W293" s="2793">
        <f t="shared" si="99"/>
        <v>29491</v>
      </c>
      <c r="X293" s="2796" t="s">
        <v>911</v>
      </c>
      <c r="Y293" s="2762">
        <f t="shared" ref="Y293:Y300" si="103">(W293/W307-1)*100</f>
        <v>0.85496392052255565</v>
      </c>
      <c r="AA293" s="1280"/>
      <c r="AB293" s="1280"/>
      <c r="AC293" s="1280"/>
    </row>
    <row r="294" spans="1:29" s="1280" customFormat="1">
      <c r="A294" s="2748" t="s">
        <v>1675</v>
      </c>
      <c r="B294" s="2752">
        <v>7</v>
      </c>
      <c r="C294" s="2753">
        <v>70</v>
      </c>
      <c r="D294" s="3171">
        <v>684</v>
      </c>
      <c r="E294" s="3172"/>
      <c r="F294" s="2754">
        <v>897</v>
      </c>
      <c r="G294" s="2755">
        <v>9952</v>
      </c>
      <c r="H294" s="2756"/>
      <c r="I294" s="2755">
        <v>4765</v>
      </c>
      <c r="J294" s="2756"/>
      <c r="K294" s="2755">
        <v>262</v>
      </c>
      <c r="L294" s="1564"/>
      <c r="M294" s="2750">
        <f t="shared" si="102"/>
        <v>16637</v>
      </c>
      <c r="N294" s="2765">
        <f>4+1363-29</f>
        <v>1338</v>
      </c>
      <c r="O294" s="2753">
        <f>4+1698-32</f>
        <v>1670</v>
      </c>
      <c r="P294" s="2756">
        <f>4+1434-41</f>
        <v>1397</v>
      </c>
      <c r="Q294" s="2753">
        <f>4+1527-57</f>
        <v>1474</v>
      </c>
      <c r="R294" s="2766">
        <f>4+1637-56</f>
        <v>1585</v>
      </c>
      <c r="S294" s="2755">
        <f>5+5150-9</f>
        <v>5146</v>
      </c>
      <c r="T294" s="2756"/>
      <c r="U294" s="2755">
        <f>3+240-1</f>
        <v>242</v>
      </c>
      <c r="V294" s="2789"/>
      <c r="W294" s="2790">
        <f t="shared" si="99"/>
        <v>29489</v>
      </c>
      <c r="X294" s="2797" t="s">
        <v>911</v>
      </c>
      <c r="Y294" s="2763">
        <f t="shared" si="103"/>
        <v>0.87572264221940088</v>
      </c>
      <c r="AA294" s="249"/>
      <c r="AB294" s="249"/>
      <c r="AC294" s="249"/>
    </row>
    <row r="295" spans="1:29">
      <c r="A295" s="2748" t="s">
        <v>1676</v>
      </c>
      <c r="B295" s="2752">
        <v>6</v>
      </c>
      <c r="C295" s="2753">
        <v>71</v>
      </c>
      <c r="D295" s="3171">
        <v>680</v>
      </c>
      <c r="E295" s="3172"/>
      <c r="F295" s="2754">
        <v>856</v>
      </c>
      <c r="G295" s="2755">
        <v>9940</v>
      </c>
      <c r="H295" s="2756"/>
      <c r="I295" s="2755">
        <v>4773</v>
      </c>
      <c r="J295" s="2756"/>
      <c r="K295" s="2755">
        <v>260</v>
      </c>
      <c r="L295" s="1564"/>
      <c r="M295" s="2750">
        <f t="shared" si="102"/>
        <v>16586</v>
      </c>
      <c r="N295" s="2765">
        <f>4+1298-29</f>
        <v>1273</v>
      </c>
      <c r="O295" s="2753">
        <f>4+1620-31</f>
        <v>1593</v>
      </c>
      <c r="P295" s="2756">
        <f>4+1359-41</f>
        <v>1322</v>
      </c>
      <c r="Q295" s="2753">
        <f>4+1522-57</f>
        <v>1469</v>
      </c>
      <c r="R295" s="2766">
        <f>4+1627-56</f>
        <v>1575</v>
      </c>
      <c r="S295" s="2755">
        <f>5+5307-9</f>
        <v>5303</v>
      </c>
      <c r="T295" s="2756"/>
      <c r="U295" s="2755">
        <f>3+259-1</f>
        <v>261</v>
      </c>
      <c r="V295" s="2789"/>
      <c r="W295" s="2790">
        <f t="shared" si="99"/>
        <v>29382</v>
      </c>
      <c r="X295" s="2797" t="s">
        <v>911</v>
      </c>
      <c r="Y295" s="2763">
        <f t="shared" si="103"/>
        <v>0.85470085470085166</v>
      </c>
    </row>
    <row r="296" spans="1:29" s="1280" customFormat="1">
      <c r="A296" s="2748" t="s">
        <v>1677</v>
      </c>
      <c r="B296" s="2752">
        <v>5</v>
      </c>
      <c r="C296" s="2753">
        <v>71</v>
      </c>
      <c r="D296" s="3171">
        <v>679</v>
      </c>
      <c r="E296" s="3172"/>
      <c r="F296" s="2754">
        <v>855</v>
      </c>
      <c r="G296" s="2755">
        <v>9934</v>
      </c>
      <c r="H296" s="2756"/>
      <c r="I296" s="2755">
        <v>4772</v>
      </c>
      <c r="J296" s="2756"/>
      <c r="K296" s="2755">
        <v>260</v>
      </c>
      <c r="L296" s="1564"/>
      <c r="M296" s="2750">
        <f t="shared" si="102"/>
        <v>16576</v>
      </c>
      <c r="N296" s="2765">
        <f>4+1297-29</f>
        <v>1272</v>
      </c>
      <c r="O296" s="2753">
        <f>4+1619-31</f>
        <v>1592</v>
      </c>
      <c r="P296" s="2756">
        <f>4+1358-41</f>
        <v>1321</v>
      </c>
      <c r="Q296" s="2753">
        <f>4+1521-57</f>
        <v>1468</v>
      </c>
      <c r="R296" s="2766">
        <f>4+1627-56</f>
        <v>1575</v>
      </c>
      <c r="S296" s="2755">
        <f>5+5442-9</f>
        <v>5438</v>
      </c>
      <c r="T296" s="2756"/>
      <c r="U296" s="2755">
        <f>3+259</f>
        <v>262</v>
      </c>
      <c r="V296" s="2789"/>
      <c r="W296" s="2790">
        <f t="shared" si="99"/>
        <v>29504</v>
      </c>
      <c r="X296" s="2763">
        <f>(M296/M310-1)*100</f>
        <v>-1.2569250014892508</v>
      </c>
      <c r="Y296" s="2763">
        <f t="shared" si="103"/>
        <v>0.28211141701506293</v>
      </c>
      <c r="AA296" s="249"/>
      <c r="AB296" s="249"/>
      <c r="AC296" s="249"/>
    </row>
    <row r="297" spans="1:29">
      <c r="A297" s="2748" t="s">
        <v>1678</v>
      </c>
      <c r="B297" s="2752">
        <v>7</v>
      </c>
      <c r="C297" s="2753">
        <v>73</v>
      </c>
      <c r="D297" s="3171">
        <v>676</v>
      </c>
      <c r="E297" s="3172"/>
      <c r="F297" s="2754">
        <v>848</v>
      </c>
      <c r="G297" s="2755">
        <v>9968</v>
      </c>
      <c r="H297" s="2756"/>
      <c r="I297" s="2755">
        <v>4771</v>
      </c>
      <c r="J297" s="2756"/>
      <c r="K297" s="2755">
        <v>261</v>
      </c>
      <c r="L297" s="1564"/>
      <c r="M297" s="2750">
        <f t="shared" si="102"/>
        <v>16604</v>
      </c>
      <c r="N297" s="2765">
        <f>4+1305-30</f>
        <v>1279</v>
      </c>
      <c r="O297" s="2753">
        <f>4+1624-31</f>
        <v>1597</v>
      </c>
      <c r="P297" s="2756">
        <f>4+1360-41</f>
        <v>1323</v>
      </c>
      <c r="Q297" s="2753">
        <f>4+1520-57</f>
        <v>1467</v>
      </c>
      <c r="R297" s="2766">
        <f>4+1627-57</f>
        <v>1574</v>
      </c>
      <c r="S297" s="2755">
        <f>5+5443-9</f>
        <v>5439</v>
      </c>
      <c r="T297" s="2756"/>
      <c r="U297" s="2755">
        <f>3+249</f>
        <v>252</v>
      </c>
      <c r="V297" s="2789"/>
      <c r="W297" s="2790">
        <f t="shared" si="99"/>
        <v>29535</v>
      </c>
      <c r="X297" s="2763">
        <f>(M297/M311-1)*100</f>
        <v>-0.82427428025325655</v>
      </c>
      <c r="Y297" s="2763">
        <f t="shared" si="103"/>
        <v>0.53783572182319883</v>
      </c>
    </row>
    <row r="298" spans="1:29">
      <c r="A298" s="2748" t="s">
        <v>1679</v>
      </c>
      <c r="B298" s="2752">
        <v>7</v>
      </c>
      <c r="C298" s="2753">
        <v>70</v>
      </c>
      <c r="D298" s="3171">
        <v>675</v>
      </c>
      <c r="E298" s="3172"/>
      <c r="F298" s="2754">
        <v>844</v>
      </c>
      <c r="G298" s="2755">
        <v>9974</v>
      </c>
      <c r="H298" s="2756"/>
      <c r="I298" s="2755">
        <v>4774</v>
      </c>
      <c r="J298" s="2756"/>
      <c r="K298" s="2755">
        <v>261</v>
      </c>
      <c r="L298" s="1564"/>
      <c r="M298" s="2750">
        <f t="shared" si="102"/>
        <v>16605</v>
      </c>
      <c r="N298" s="2765">
        <f>4+1304-29</f>
        <v>1279</v>
      </c>
      <c r="O298" s="2753">
        <f>4+1622-31</f>
        <v>1595</v>
      </c>
      <c r="P298" s="2756">
        <f>4+1357-41</f>
        <v>1320</v>
      </c>
      <c r="Q298" s="2753">
        <f>4+1520-57</f>
        <v>1467</v>
      </c>
      <c r="R298" s="2766">
        <f>4+1627-55</f>
        <v>1576</v>
      </c>
      <c r="S298" s="2755">
        <f>5+5440-9</f>
        <v>5436</v>
      </c>
      <c r="T298" s="2756"/>
      <c r="U298" s="2755">
        <f>3+250</f>
        <v>253</v>
      </c>
      <c r="V298" s="2789"/>
      <c r="W298" s="2790">
        <f t="shared" si="99"/>
        <v>29531</v>
      </c>
      <c r="X298" s="2798">
        <f>(M298/M312-1)*100</f>
        <v>-0.66997667045523013</v>
      </c>
      <c r="Y298" s="2763">
        <f t="shared" si="103"/>
        <v>0.55844996084040144</v>
      </c>
    </row>
    <row r="299" spans="1:29">
      <c r="A299" s="2748" t="s">
        <v>1680</v>
      </c>
      <c r="B299" s="2752">
        <v>7</v>
      </c>
      <c r="C299" s="2753">
        <v>69</v>
      </c>
      <c r="D299" s="3171">
        <v>676</v>
      </c>
      <c r="E299" s="3172"/>
      <c r="F299" s="2754">
        <v>846</v>
      </c>
      <c r="G299" s="2755">
        <v>9958</v>
      </c>
      <c r="H299" s="2756"/>
      <c r="I299" s="2755">
        <v>4769</v>
      </c>
      <c r="J299" s="2756"/>
      <c r="K299" s="2755">
        <v>260</v>
      </c>
      <c r="L299" s="1564"/>
      <c r="M299" s="2750">
        <f t="shared" si="102"/>
        <v>16585</v>
      </c>
      <c r="N299" s="2765">
        <f>3+1308-29</f>
        <v>1282</v>
      </c>
      <c r="O299" s="2753">
        <f>4+1618-31</f>
        <v>1591</v>
      </c>
      <c r="P299" s="2756">
        <f>3+1374-41</f>
        <v>1336</v>
      </c>
      <c r="Q299" s="2753">
        <f>3+1520-57</f>
        <v>1466</v>
      </c>
      <c r="R299" s="2766">
        <f>4+1627-54</f>
        <v>1577</v>
      </c>
      <c r="S299" s="2755">
        <f>5+5437-9</f>
        <v>5433</v>
      </c>
      <c r="T299" s="2756"/>
      <c r="U299" s="2755">
        <f>3+250</f>
        <v>253</v>
      </c>
      <c r="V299" s="2789"/>
      <c r="W299" s="2790">
        <f t="shared" si="99"/>
        <v>29523</v>
      </c>
      <c r="X299" s="2798">
        <f>(M299/M313-1)*100</f>
        <v>-0.49796016318695013</v>
      </c>
      <c r="Y299" s="2763">
        <f t="shared" si="103"/>
        <v>0.58943781942077944</v>
      </c>
    </row>
    <row r="300" spans="1:29">
      <c r="A300" s="2748" t="s">
        <v>1681</v>
      </c>
      <c r="B300" s="2752">
        <v>7</v>
      </c>
      <c r="C300" s="2753">
        <v>70</v>
      </c>
      <c r="D300" s="3171">
        <v>672</v>
      </c>
      <c r="E300" s="3172"/>
      <c r="F300" s="2754">
        <v>842</v>
      </c>
      <c r="G300" s="2755">
        <v>9942</v>
      </c>
      <c r="H300" s="2756"/>
      <c r="I300" s="2755">
        <v>4766</v>
      </c>
      <c r="J300" s="2756"/>
      <c r="K300" s="2755">
        <v>261</v>
      </c>
      <c r="L300" s="1564"/>
      <c r="M300" s="2750">
        <f t="shared" si="102"/>
        <v>16560</v>
      </c>
      <c r="N300" s="2765">
        <f>4+1304-29</f>
        <v>1279</v>
      </c>
      <c r="O300" s="2753">
        <f>4+1624-29</f>
        <v>1599</v>
      </c>
      <c r="P300" s="2756">
        <f>4+1392-39</f>
        <v>1357</v>
      </c>
      <c r="Q300" s="2753">
        <f>4+1519-56</f>
        <v>1467</v>
      </c>
      <c r="R300" s="2766">
        <f>4+1618-52</f>
        <v>1570</v>
      </c>
      <c r="S300" s="2755">
        <f>5+5420-7</f>
        <v>5418</v>
      </c>
      <c r="T300" s="2756"/>
      <c r="U300" s="2755">
        <f>3+250</f>
        <v>253</v>
      </c>
      <c r="V300" s="2789"/>
      <c r="W300" s="2790">
        <f t="shared" si="99"/>
        <v>29503</v>
      </c>
      <c r="X300" s="2798">
        <f>(M300/M314-1)*100</f>
        <v>-0.54651372289952205</v>
      </c>
      <c r="Y300" s="2763">
        <f t="shared" si="103"/>
        <v>0.59669939989088761</v>
      </c>
    </row>
    <row r="301" spans="1:29" s="1280" customFormat="1">
      <c r="A301" s="2748" t="s">
        <v>1682</v>
      </c>
      <c r="B301" s="2752">
        <v>7</v>
      </c>
      <c r="C301" s="2753">
        <v>69</v>
      </c>
      <c r="D301" s="3171">
        <v>672</v>
      </c>
      <c r="E301" s="3172"/>
      <c r="F301" s="2754">
        <v>977</v>
      </c>
      <c r="G301" s="2755">
        <v>9969</v>
      </c>
      <c r="H301" s="2756"/>
      <c r="I301" s="2755">
        <v>4841</v>
      </c>
      <c r="J301" s="2756"/>
      <c r="K301" s="2755">
        <v>275</v>
      </c>
      <c r="L301" s="1564"/>
      <c r="M301" s="2750">
        <f t="shared" si="102"/>
        <v>16810</v>
      </c>
      <c r="N301" s="2765">
        <f>4+1332-29</f>
        <v>1307</v>
      </c>
      <c r="O301" s="2753">
        <f>4+1666-29</f>
        <v>1641</v>
      </c>
      <c r="P301" s="2756">
        <f>4+1404-39</f>
        <v>1369</v>
      </c>
      <c r="Q301" s="2753">
        <f>4+1515-56</f>
        <v>1463</v>
      </c>
      <c r="R301" s="2766">
        <f>4+1614-53</f>
        <v>1565</v>
      </c>
      <c r="S301" s="2755">
        <f>5+5417-7</f>
        <v>5415</v>
      </c>
      <c r="T301" s="2756"/>
      <c r="U301" s="2755">
        <f>3+250</f>
        <v>253</v>
      </c>
      <c r="V301" s="2789"/>
      <c r="W301" s="2790">
        <f t="shared" si="99"/>
        <v>29823</v>
      </c>
      <c r="X301" s="2798">
        <f>(M301/M314-1)*100</f>
        <v>0.95489760374751764</v>
      </c>
      <c r="Y301" s="2763">
        <f>(W301/W314-1)*100</f>
        <v>1.6878068739770935</v>
      </c>
    </row>
    <row r="302" spans="1:29">
      <c r="A302" s="2748" t="s">
        <v>1683</v>
      </c>
      <c r="B302" s="2752">
        <v>7</v>
      </c>
      <c r="C302" s="2753">
        <v>69</v>
      </c>
      <c r="D302" s="3171">
        <v>674</v>
      </c>
      <c r="E302" s="3172"/>
      <c r="F302" s="2754">
        <v>823</v>
      </c>
      <c r="G302" s="2755">
        <v>10082</v>
      </c>
      <c r="H302" s="2756"/>
      <c r="I302" s="2755">
        <v>4861</v>
      </c>
      <c r="J302" s="2756"/>
      <c r="K302" s="2755">
        <v>277</v>
      </c>
      <c r="L302" s="1564"/>
      <c r="M302" s="2750">
        <f t="shared" si="102"/>
        <v>16793</v>
      </c>
      <c r="N302" s="2765">
        <v>1310</v>
      </c>
      <c r="O302" s="2753">
        <v>1641</v>
      </c>
      <c r="P302" s="2756">
        <v>1369</v>
      </c>
      <c r="Q302" s="2753">
        <v>1461</v>
      </c>
      <c r="R302" s="2766">
        <v>1564</v>
      </c>
      <c r="S302" s="2755">
        <v>5412</v>
      </c>
      <c r="T302" s="2756"/>
      <c r="U302" s="2755">
        <f>3+248</f>
        <v>251</v>
      </c>
      <c r="V302" s="2789"/>
      <c r="W302" s="2790">
        <f t="shared" si="99"/>
        <v>29801</v>
      </c>
      <c r="X302" s="2798">
        <f>(M302/M315-1)*100</f>
        <v>1.1687451051268116</v>
      </c>
      <c r="Y302" s="2763">
        <f>(W302/W315-1)*100</f>
        <v>1.7689444387528619</v>
      </c>
      <c r="AA302" s="1280"/>
      <c r="AB302" s="1280"/>
      <c r="AC302" s="1280"/>
    </row>
    <row r="303" spans="1:29" ht="18" customHeight="1">
      <c r="A303" s="2748" t="s">
        <v>1684</v>
      </c>
      <c r="B303" s="2752">
        <v>7</v>
      </c>
      <c r="C303" s="2753">
        <v>69</v>
      </c>
      <c r="D303" s="3171">
        <v>674</v>
      </c>
      <c r="E303" s="3172"/>
      <c r="F303" s="2754">
        <v>822</v>
      </c>
      <c r="G303" s="2755">
        <v>10071</v>
      </c>
      <c r="H303" s="2756"/>
      <c r="I303" s="2755">
        <v>4863</v>
      </c>
      <c r="J303" s="2756"/>
      <c r="K303" s="2755">
        <v>277</v>
      </c>
      <c r="L303" s="1564"/>
      <c r="M303" s="2750">
        <f t="shared" si="102"/>
        <v>16783</v>
      </c>
      <c r="N303" s="2765">
        <v>1313</v>
      </c>
      <c r="O303" s="2753">
        <v>1645</v>
      </c>
      <c r="P303" s="2756">
        <v>1368</v>
      </c>
      <c r="Q303" s="2753">
        <v>1461</v>
      </c>
      <c r="R303" s="2766">
        <v>1559</v>
      </c>
      <c r="S303" s="2755">
        <v>5411</v>
      </c>
      <c r="T303" s="2756"/>
      <c r="U303" s="2755">
        <f>3+248</f>
        <v>251</v>
      </c>
      <c r="V303" s="2789"/>
      <c r="W303" s="2790">
        <f t="shared" si="99"/>
        <v>29791</v>
      </c>
      <c r="X303" s="2798">
        <f>(M303/M316-1)*100</f>
        <v>1.1877487037260437</v>
      </c>
      <c r="Y303" s="2763">
        <f>(W303/W316-1)*100</f>
        <v>1.745218579234975</v>
      </c>
    </row>
    <row r="304" spans="1:29" ht="18" customHeight="1">
      <c r="A304" s="2748" t="s">
        <v>1685</v>
      </c>
      <c r="B304" s="2767">
        <v>7</v>
      </c>
      <c r="C304" s="2768">
        <v>69</v>
      </c>
      <c r="D304" s="3163">
        <v>674</v>
      </c>
      <c r="E304" s="3164"/>
      <c r="F304" s="2769">
        <v>818</v>
      </c>
      <c r="G304" s="2770">
        <v>10071</v>
      </c>
      <c r="H304" s="2771"/>
      <c r="I304" s="2770">
        <v>4857</v>
      </c>
      <c r="J304" s="2771"/>
      <c r="K304" s="2770">
        <v>277</v>
      </c>
      <c r="L304" s="1564"/>
      <c r="M304" s="2772">
        <f t="shared" si="102"/>
        <v>16773</v>
      </c>
      <c r="N304" s="2773">
        <f>4+1338-29</f>
        <v>1313</v>
      </c>
      <c r="O304" s="2768">
        <f>4+1673-29</f>
        <v>1648</v>
      </c>
      <c r="P304" s="2771">
        <f>4+1407-37</f>
        <v>1374</v>
      </c>
      <c r="Q304" s="2768">
        <f>4+1513-56</f>
        <v>1461</v>
      </c>
      <c r="R304" s="2774">
        <f>4+1609-52</f>
        <v>1561</v>
      </c>
      <c r="S304" s="2770">
        <f>5+5413-6</f>
        <v>5412</v>
      </c>
      <c r="T304" s="2771"/>
      <c r="U304" s="2770">
        <f>3+248</f>
        <v>251</v>
      </c>
      <c r="V304" s="2791"/>
      <c r="W304" s="2734">
        <f t="shared" si="99"/>
        <v>29793</v>
      </c>
      <c r="X304" s="2799">
        <f>(M304/M318-1)*100</f>
        <v>0.79322156120424925</v>
      </c>
      <c r="Y304" s="2775">
        <f>(W304/W318-1)*100</f>
        <v>1.329841507380447</v>
      </c>
    </row>
    <row r="305" spans="1:29">
      <c r="A305" s="3165" t="s">
        <v>1333</v>
      </c>
      <c r="B305" s="3173" t="s">
        <v>1686</v>
      </c>
      <c r="C305" s="3175" t="s">
        <v>1687</v>
      </c>
      <c r="D305" s="3152" t="s">
        <v>1688</v>
      </c>
      <c r="E305" s="3153"/>
      <c r="F305" s="3167" t="s">
        <v>1689</v>
      </c>
      <c r="G305" s="2800" t="s">
        <v>1690</v>
      </c>
      <c r="H305" s="2801"/>
      <c r="I305" s="2800" t="s">
        <v>1691</v>
      </c>
      <c r="J305" s="2801"/>
      <c r="K305" s="2800" t="s">
        <v>1692</v>
      </c>
      <c r="L305" s="2802"/>
      <c r="M305" s="3169" t="s">
        <v>1693</v>
      </c>
      <c r="N305" s="3169"/>
      <c r="O305" s="3169"/>
      <c r="P305" s="3169"/>
      <c r="Q305" s="3170"/>
      <c r="R305" s="3152" t="s">
        <v>1694</v>
      </c>
      <c r="S305" s="3153"/>
      <c r="T305" s="3154"/>
      <c r="U305" s="3153"/>
      <c r="V305" s="2803"/>
      <c r="W305" s="3155" t="s">
        <v>161</v>
      </c>
      <c r="X305" s="3156"/>
      <c r="Y305" s="3158" t="s">
        <v>1381</v>
      </c>
    </row>
    <row r="306" spans="1:29">
      <c r="A306" s="3166"/>
      <c r="B306" s="3174"/>
      <c r="C306" s="3176"/>
      <c r="D306" s="3160" t="s">
        <v>1695</v>
      </c>
      <c r="E306" s="2942"/>
      <c r="F306" s="3168"/>
      <c r="G306" s="2741" t="s">
        <v>1696</v>
      </c>
      <c r="H306" s="2732"/>
      <c r="I306" s="2732" t="s">
        <v>1696</v>
      </c>
      <c r="J306" s="2732"/>
      <c r="K306" s="2741" t="s">
        <v>1697</v>
      </c>
      <c r="L306" s="1992"/>
      <c r="M306" s="2732" t="s">
        <v>1698</v>
      </c>
      <c r="N306" s="2804" t="s">
        <v>1699</v>
      </c>
      <c r="O306" s="2732" t="s">
        <v>1700</v>
      </c>
      <c r="P306" s="2804" t="s">
        <v>1701</v>
      </c>
      <c r="Q306" s="2745" t="s">
        <v>1702</v>
      </c>
      <c r="R306" s="3161" t="s">
        <v>1696</v>
      </c>
      <c r="S306" s="3161"/>
      <c r="T306" s="3161"/>
      <c r="U306" s="3162"/>
      <c r="V306" s="2805"/>
      <c r="W306" s="3157"/>
      <c r="X306" s="3136"/>
      <c r="Y306" s="3159"/>
    </row>
    <row r="307" spans="1:29">
      <c r="A307" s="2795" t="s">
        <v>1703</v>
      </c>
      <c r="B307" s="2806">
        <v>5</v>
      </c>
      <c r="C307" s="2807">
        <v>106</v>
      </c>
      <c r="D307" s="3142">
        <v>793</v>
      </c>
      <c r="E307" s="3141"/>
      <c r="F307" s="2808">
        <v>773</v>
      </c>
      <c r="G307" s="2808">
        <v>10347</v>
      </c>
      <c r="H307" s="2809"/>
      <c r="I307" s="2808">
        <v>4719</v>
      </c>
      <c r="J307" s="2809"/>
      <c r="K307" s="2808">
        <f>197+1</f>
        <v>198</v>
      </c>
      <c r="L307" s="2810"/>
      <c r="M307" s="2811">
        <v>1394</v>
      </c>
      <c r="N307" s="2807">
        <v>1499</v>
      </c>
      <c r="O307" s="2809">
        <v>1410</v>
      </c>
      <c r="P307" s="2807">
        <v>1406</v>
      </c>
      <c r="Q307" s="2807">
        <v>1611</v>
      </c>
      <c r="R307" s="3142">
        <v>4980</v>
      </c>
      <c r="S307" s="3143"/>
      <c r="T307" s="3144"/>
      <c r="U307" s="3145"/>
      <c r="V307" s="2809"/>
      <c r="W307" s="3146">
        <f>SUM(B307:U307)</f>
        <v>29241</v>
      </c>
      <c r="X307" s="3147"/>
      <c r="Y307" s="2763">
        <f t="shared" ref="Y307:Y318" si="104">(W307/W321-1)*100</f>
        <v>1.2044439829716591</v>
      </c>
    </row>
    <row r="308" spans="1:29">
      <c r="A308" s="2748" t="s">
        <v>1675</v>
      </c>
      <c r="B308" s="2812">
        <v>5</v>
      </c>
      <c r="C308" s="2813">
        <v>106</v>
      </c>
      <c r="D308" s="3128">
        <v>788</v>
      </c>
      <c r="E308" s="3126"/>
      <c r="F308" s="2814">
        <v>765</v>
      </c>
      <c r="G308" s="2814">
        <v>10045</v>
      </c>
      <c r="H308" s="2810"/>
      <c r="I308" s="2814">
        <v>4721</v>
      </c>
      <c r="J308" s="2810"/>
      <c r="K308" s="2814">
        <f>197+1</f>
        <v>198</v>
      </c>
      <c r="L308" s="2810"/>
      <c r="M308" s="2815">
        <v>1371</v>
      </c>
      <c r="N308" s="2813">
        <v>1659</v>
      </c>
      <c r="O308" s="2810">
        <v>1415</v>
      </c>
      <c r="P308" s="2813">
        <v>1560</v>
      </c>
      <c r="Q308" s="2813">
        <v>1609</v>
      </c>
      <c r="R308" s="3128">
        <v>4991</v>
      </c>
      <c r="S308" s="3149"/>
      <c r="T308" s="3126"/>
      <c r="U308" s="3129"/>
      <c r="V308" s="2810"/>
      <c r="W308" s="3150">
        <f>SUM(B308:U308)</f>
        <v>29233</v>
      </c>
      <c r="X308" s="3151"/>
      <c r="Y308" s="2763">
        <f t="shared" si="104"/>
        <v>-0.25590282516718688</v>
      </c>
    </row>
    <row r="309" spans="1:29" s="1280" customFormat="1">
      <c r="A309" s="2445" t="s">
        <v>1704</v>
      </c>
      <c r="B309" s="2816">
        <v>5</v>
      </c>
      <c r="C309" s="2817">
        <v>104</v>
      </c>
      <c r="D309" s="3134">
        <v>782</v>
      </c>
      <c r="E309" s="3134"/>
      <c r="F309" s="2817">
        <v>747</v>
      </c>
      <c r="G309" s="2817">
        <v>9999</v>
      </c>
      <c r="H309" s="2817"/>
      <c r="I309" s="2817">
        <v>4735</v>
      </c>
      <c r="J309" s="2817"/>
      <c r="K309" s="2818">
        <v>197</v>
      </c>
      <c r="L309" s="2810"/>
      <c r="M309" s="2819">
        <v>1360</v>
      </c>
      <c r="N309" s="2817">
        <v>1648</v>
      </c>
      <c r="O309" s="2816">
        <v>1432</v>
      </c>
      <c r="P309" s="2817">
        <v>1531</v>
      </c>
      <c r="Q309" s="2817">
        <v>1602</v>
      </c>
      <c r="R309" s="3135">
        <v>4991</v>
      </c>
      <c r="S309" s="3136"/>
      <c r="T309" s="3137"/>
      <c r="U309" s="3133"/>
      <c r="V309" s="2816"/>
      <c r="W309" s="3138">
        <f>SUM(B309:U309)</f>
        <v>29133</v>
      </c>
      <c r="X309" s="3139"/>
      <c r="Y309" s="2775">
        <f t="shared" si="104"/>
        <v>-1.6740355732559276</v>
      </c>
      <c r="AA309" s="557"/>
      <c r="AB309" s="557"/>
      <c r="AC309" s="557"/>
    </row>
    <row r="310" spans="1:29" s="1280" customFormat="1">
      <c r="A310" s="2795" t="s">
        <v>1705</v>
      </c>
      <c r="B310" s="2752">
        <v>5</v>
      </c>
      <c r="C310" s="2753">
        <v>77</v>
      </c>
      <c r="D310" s="3171">
        <v>799</v>
      </c>
      <c r="E310" s="3172"/>
      <c r="F310" s="2754">
        <v>980</v>
      </c>
      <c r="G310" s="2755">
        <v>9918</v>
      </c>
      <c r="H310" s="2756"/>
      <c r="I310" s="2755">
        <v>4737</v>
      </c>
      <c r="J310" s="2756"/>
      <c r="K310" s="2757">
        <v>271</v>
      </c>
      <c r="L310" s="1564"/>
      <c r="M310" s="2750">
        <f t="shared" ref="M310:M318" si="105">SUM(B310:K310)</f>
        <v>16787</v>
      </c>
      <c r="N310" s="2765">
        <f>4+1362-43</f>
        <v>1323</v>
      </c>
      <c r="O310" s="2753">
        <f>4+1690-40</f>
        <v>1654</v>
      </c>
      <c r="P310" s="2756">
        <f>4+1401-58</f>
        <v>1347</v>
      </c>
      <c r="Q310" s="2753">
        <f>4+1528-75</f>
        <v>1457</v>
      </c>
      <c r="R310" s="2766">
        <f>4+1605-79</f>
        <v>1530</v>
      </c>
      <c r="S310" s="2755">
        <f>5+5113-13</f>
        <v>5105</v>
      </c>
      <c r="T310" s="2756"/>
      <c r="U310" s="2755">
        <f>3+217-2</f>
        <v>218</v>
      </c>
      <c r="V310" s="2789"/>
      <c r="W310" s="2790">
        <f t="shared" ref="W310:W318" si="106">M310+N310+O310+P310+Q310+R310+S310+U310</f>
        <v>29421</v>
      </c>
      <c r="X310" s="2796" t="s">
        <v>911</v>
      </c>
      <c r="Y310" s="2762">
        <f t="shared" si="104"/>
        <v>-0.60808756460930535</v>
      </c>
      <c r="AA310" s="557"/>
      <c r="AB310" s="557"/>
      <c r="AC310" s="557"/>
    </row>
    <row r="311" spans="1:29">
      <c r="A311" s="2820" t="s">
        <v>1706</v>
      </c>
      <c r="B311" s="2752">
        <v>5</v>
      </c>
      <c r="C311" s="2753">
        <v>74</v>
      </c>
      <c r="D311" s="3171">
        <v>785</v>
      </c>
      <c r="E311" s="3172"/>
      <c r="F311" s="2754">
        <v>968</v>
      </c>
      <c r="G311" s="2755">
        <v>9898</v>
      </c>
      <c r="H311" s="2756"/>
      <c r="I311" s="2755">
        <v>4737</v>
      </c>
      <c r="J311" s="2756"/>
      <c r="K311" s="2755">
        <v>275</v>
      </c>
      <c r="L311" s="1564"/>
      <c r="M311" s="2750">
        <f t="shared" si="105"/>
        <v>16742</v>
      </c>
      <c r="N311" s="2765">
        <f>4+1362-42</f>
        <v>1324</v>
      </c>
      <c r="O311" s="2753">
        <f>4+1687-39</f>
        <v>1652</v>
      </c>
      <c r="P311" s="2756">
        <f>4+1398-56</f>
        <v>1346</v>
      </c>
      <c r="Q311" s="2753">
        <f>4+1525-73</f>
        <v>1456</v>
      </c>
      <c r="R311" s="2766">
        <f>4+1605-76</f>
        <v>1533</v>
      </c>
      <c r="S311" s="2755">
        <f>5+5108-12</f>
        <v>5101</v>
      </c>
      <c r="T311" s="2756"/>
      <c r="U311" s="2755">
        <f>3+222-2</f>
        <v>223</v>
      </c>
      <c r="V311" s="2789"/>
      <c r="W311" s="2790">
        <f t="shared" si="106"/>
        <v>29377</v>
      </c>
      <c r="X311" s="2797" t="s">
        <v>911</v>
      </c>
      <c r="Y311" s="2763">
        <f t="shared" si="104"/>
        <v>-0.62580339625194492</v>
      </c>
      <c r="AA311" s="2497">
        <v>30138</v>
      </c>
      <c r="AB311" s="250"/>
      <c r="AC311" s="250"/>
    </row>
    <row r="312" spans="1:29">
      <c r="A312" s="2820" t="s">
        <v>1707</v>
      </c>
      <c r="B312" s="2752">
        <v>5</v>
      </c>
      <c r="C312" s="2753">
        <v>74</v>
      </c>
      <c r="D312" s="3171">
        <v>782</v>
      </c>
      <c r="E312" s="3172"/>
      <c r="F312" s="2754">
        <v>964</v>
      </c>
      <c r="G312" s="2755">
        <v>9885</v>
      </c>
      <c r="H312" s="2756"/>
      <c r="I312" s="2755">
        <v>4734</v>
      </c>
      <c r="J312" s="2756"/>
      <c r="K312" s="2755">
        <v>273</v>
      </c>
      <c r="L312" s="1564"/>
      <c r="M312" s="2750">
        <f t="shared" si="105"/>
        <v>16717</v>
      </c>
      <c r="N312" s="2765">
        <f>4+1362-40</f>
        <v>1326</v>
      </c>
      <c r="O312" s="2753">
        <f>4+1690-39</f>
        <v>1655</v>
      </c>
      <c r="P312" s="2756">
        <f>4+1403-52</f>
        <v>1355</v>
      </c>
      <c r="Q312" s="2753">
        <f>4+1525-73</f>
        <v>1456</v>
      </c>
      <c r="R312" s="2766">
        <f>4+1601-74</f>
        <v>1531</v>
      </c>
      <c r="S312" s="2755">
        <f>5+5110-12</f>
        <v>5103</v>
      </c>
      <c r="T312" s="2756"/>
      <c r="U312" s="2755">
        <f>3+223-2</f>
        <v>224</v>
      </c>
      <c r="V312" s="2789"/>
      <c r="W312" s="2790">
        <f t="shared" si="106"/>
        <v>29367</v>
      </c>
      <c r="X312" s="2797" t="s">
        <v>911</v>
      </c>
      <c r="Y312" s="2763">
        <f t="shared" si="104"/>
        <v>-0.6024708072431828</v>
      </c>
      <c r="AA312" s="2493">
        <v>30123</v>
      </c>
      <c r="AB312" s="307"/>
      <c r="AC312" s="307"/>
    </row>
    <row r="313" spans="1:29">
      <c r="A313" s="2820" t="s">
        <v>1708</v>
      </c>
      <c r="B313" s="2752">
        <v>5</v>
      </c>
      <c r="C313" s="2753">
        <v>74</v>
      </c>
      <c r="D313" s="3171">
        <v>745</v>
      </c>
      <c r="E313" s="3172"/>
      <c r="F313" s="2754">
        <v>958</v>
      </c>
      <c r="G313" s="2755">
        <v>9877</v>
      </c>
      <c r="H313" s="2756"/>
      <c r="I313" s="2755">
        <v>4728</v>
      </c>
      <c r="J313" s="2756"/>
      <c r="K313" s="2755">
        <v>281</v>
      </c>
      <c r="L313" s="1564"/>
      <c r="M313" s="2750">
        <f t="shared" si="105"/>
        <v>16668</v>
      </c>
      <c r="N313" s="2765">
        <f>4+1368-40</f>
        <v>1332</v>
      </c>
      <c r="O313" s="2753">
        <f>4+1699-40</f>
        <v>1663</v>
      </c>
      <c r="P313" s="2756">
        <f>4+1405-55</f>
        <v>1354</v>
      </c>
      <c r="Q313" s="2753">
        <f>4+1535-72</f>
        <v>1467</v>
      </c>
      <c r="R313" s="2766">
        <f>4+1606-70</f>
        <v>1540</v>
      </c>
      <c r="S313" s="2755">
        <f>5+5111-13</f>
        <v>5103</v>
      </c>
      <c r="T313" s="2756"/>
      <c r="U313" s="2755">
        <f>3+222-2</f>
        <v>223</v>
      </c>
      <c r="V313" s="2789"/>
      <c r="W313" s="2790">
        <f t="shared" si="106"/>
        <v>29350</v>
      </c>
      <c r="X313" s="2797" t="s">
        <v>911</v>
      </c>
      <c r="Y313" s="2763">
        <f t="shared" si="104"/>
        <v>-0.56240683019379567</v>
      </c>
      <c r="AA313" s="2493">
        <v>30101</v>
      </c>
      <c r="AB313" s="307"/>
      <c r="AC313" s="307"/>
    </row>
    <row r="314" spans="1:29">
      <c r="A314" s="2820" t="s">
        <v>1709</v>
      </c>
      <c r="B314" s="2752">
        <v>7</v>
      </c>
      <c r="C314" s="2753">
        <v>74</v>
      </c>
      <c r="D314" s="3171">
        <v>749</v>
      </c>
      <c r="E314" s="3172"/>
      <c r="F314" s="2754">
        <v>944</v>
      </c>
      <c r="G314" s="2755">
        <v>9877</v>
      </c>
      <c r="H314" s="2756"/>
      <c r="I314" s="2755">
        <v>4719</v>
      </c>
      <c r="J314" s="2756"/>
      <c r="K314" s="2755">
        <v>281</v>
      </c>
      <c r="L314" s="1564"/>
      <c r="M314" s="2750">
        <f t="shared" si="105"/>
        <v>16651</v>
      </c>
      <c r="N314" s="2765">
        <f>4+1367-39</f>
        <v>1332</v>
      </c>
      <c r="O314" s="2753">
        <f>4+1698-39</f>
        <v>1663</v>
      </c>
      <c r="P314" s="2756">
        <f>4+1406-55</f>
        <v>1355</v>
      </c>
      <c r="Q314" s="2753">
        <f>4+1530-71</f>
        <v>1463</v>
      </c>
      <c r="R314" s="2766">
        <f>4+1606-67</f>
        <v>1543</v>
      </c>
      <c r="S314" s="2755">
        <f>5+5107-13</f>
        <v>5099</v>
      </c>
      <c r="T314" s="2756"/>
      <c r="U314" s="2755">
        <f>3+221-2</f>
        <v>222</v>
      </c>
      <c r="V314" s="2789"/>
      <c r="W314" s="2790">
        <f t="shared" si="106"/>
        <v>29328</v>
      </c>
      <c r="X314" s="2797" t="s">
        <v>911</v>
      </c>
      <c r="Y314" s="2763">
        <f t="shared" si="104"/>
        <v>-5.4525627044710312E-2</v>
      </c>
      <c r="AA314" s="2493">
        <v>30314</v>
      </c>
      <c r="AB314" s="307"/>
      <c r="AC314" s="307"/>
    </row>
    <row r="315" spans="1:29">
      <c r="A315" s="2820" t="s">
        <v>1710</v>
      </c>
      <c r="B315" s="2752">
        <v>7</v>
      </c>
      <c r="C315" s="2753">
        <v>73</v>
      </c>
      <c r="D315" s="3171">
        <v>745</v>
      </c>
      <c r="E315" s="3172"/>
      <c r="F315" s="2754">
        <v>930</v>
      </c>
      <c r="G315" s="2755">
        <v>9847</v>
      </c>
      <c r="H315" s="2756"/>
      <c r="I315" s="2755">
        <v>4712</v>
      </c>
      <c r="J315" s="2756"/>
      <c r="K315" s="2755">
        <v>285</v>
      </c>
      <c r="L315" s="1564"/>
      <c r="M315" s="2750">
        <f t="shared" si="105"/>
        <v>16599</v>
      </c>
      <c r="N315" s="2765">
        <f>4+1364-38</f>
        <v>1330</v>
      </c>
      <c r="O315" s="2753">
        <f>4+1699-39</f>
        <v>1664</v>
      </c>
      <c r="P315" s="2756">
        <f>4+1415-55</f>
        <v>1364</v>
      </c>
      <c r="Q315" s="2753">
        <f>4+1531-71</f>
        <v>1464</v>
      </c>
      <c r="R315" s="2766">
        <f>4+1606-65</f>
        <v>1545</v>
      </c>
      <c r="S315" s="2755">
        <f>5+5103-13</f>
        <v>5095</v>
      </c>
      <c r="T315" s="2756"/>
      <c r="U315" s="2755">
        <f>3+221-2</f>
        <v>222</v>
      </c>
      <c r="V315" s="2789"/>
      <c r="W315" s="2790">
        <f t="shared" si="106"/>
        <v>29283</v>
      </c>
      <c r="X315" s="2797" t="s">
        <v>911</v>
      </c>
      <c r="Y315" s="2763">
        <f t="shared" si="104"/>
        <v>-4.0962621607787408E-2</v>
      </c>
      <c r="AA315" s="2493">
        <v>30297</v>
      </c>
      <c r="AB315" s="307"/>
      <c r="AC315" s="307"/>
    </row>
    <row r="316" spans="1:29">
      <c r="A316" s="2820" t="s">
        <v>1711</v>
      </c>
      <c r="B316" s="2752">
        <v>7</v>
      </c>
      <c r="C316" s="2753">
        <v>73</v>
      </c>
      <c r="D316" s="3171">
        <v>743</v>
      </c>
      <c r="E316" s="3172"/>
      <c r="F316" s="2754">
        <v>921</v>
      </c>
      <c r="G316" s="2755">
        <v>9847</v>
      </c>
      <c r="H316" s="2756"/>
      <c r="I316" s="2755">
        <v>4711</v>
      </c>
      <c r="J316" s="2756"/>
      <c r="K316" s="2755">
        <v>284</v>
      </c>
      <c r="L316" s="1564"/>
      <c r="M316" s="2750">
        <f t="shared" si="105"/>
        <v>16586</v>
      </c>
      <c r="N316" s="2765">
        <f>4+1364-37</f>
        <v>1331</v>
      </c>
      <c r="O316" s="2753">
        <f>4+1697-36</f>
        <v>1665</v>
      </c>
      <c r="P316" s="2756">
        <f>4+1415-54</f>
        <v>1365</v>
      </c>
      <c r="Q316" s="2753">
        <f>4+1529-69</f>
        <v>1464</v>
      </c>
      <c r="R316" s="2766">
        <f>4+1602-65</f>
        <v>1541</v>
      </c>
      <c r="S316" s="2755">
        <f>5+5103-13</f>
        <v>5095</v>
      </c>
      <c r="T316" s="2756"/>
      <c r="U316" s="2755">
        <f>3+231-1</f>
        <v>233</v>
      </c>
      <c r="V316" s="2789"/>
      <c r="W316" s="2790">
        <f t="shared" si="106"/>
        <v>29280</v>
      </c>
      <c r="X316" s="2797" t="s">
        <v>911</v>
      </c>
      <c r="Y316" s="2763">
        <f t="shared" si="104"/>
        <v>3.416467372736598E-2</v>
      </c>
      <c r="AA316" s="2493">
        <v>30430</v>
      </c>
      <c r="AB316" s="307"/>
      <c r="AC316" s="307"/>
    </row>
    <row r="317" spans="1:29" s="557" customFormat="1" ht="18" customHeight="1">
      <c r="A317" s="2820" t="s">
        <v>1712</v>
      </c>
      <c r="B317" s="2752">
        <v>7</v>
      </c>
      <c r="C317" s="2753">
        <v>73</v>
      </c>
      <c r="D317" s="3171">
        <v>744</v>
      </c>
      <c r="E317" s="3172"/>
      <c r="F317" s="2754">
        <v>884</v>
      </c>
      <c r="G317" s="2755">
        <v>9915</v>
      </c>
      <c r="H317" s="2756"/>
      <c r="I317" s="2755">
        <v>4777</v>
      </c>
      <c r="J317" s="2756"/>
      <c r="K317" s="2755">
        <v>284</v>
      </c>
      <c r="L317" s="1564"/>
      <c r="M317" s="2750">
        <f t="shared" si="105"/>
        <v>16684</v>
      </c>
      <c r="N317" s="2765">
        <f>4+1366-29</f>
        <v>1341</v>
      </c>
      <c r="O317" s="2753">
        <f>4+1699-31</f>
        <v>1672</v>
      </c>
      <c r="P317" s="2756">
        <f>4+1409-43</f>
        <v>1370</v>
      </c>
      <c r="Q317" s="2753">
        <f>4+1528-60</f>
        <v>1472</v>
      </c>
      <c r="R317" s="2766">
        <f>4+1605-58</f>
        <v>1551</v>
      </c>
      <c r="S317" s="2755">
        <f>5+5102-9</f>
        <v>5098</v>
      </c>
      <c r="T317" s="2756"/>
      <c r="U317" s="2755">
        <f>3+231-1</f>
        <v>233</v>
      </c>
      <c r="V317" s="2789"/>
      <c r="W317" s="2790">
        <f t="shared" si="106"/>
        <v>29421</v>
      </c>
      <c r="X317" s="2797" t="s">
        <v>911</v>
      </c>
      <c r="Y317" s="2763">
        <f t="shared" si="104"/>
        <v>0.60181227560267558</v>
      </c>
      <c r="AA317" s="2493">
        <v>30413</v>
      </c>
      <c r="AB317" s="307"/>
      <c r="AC317" s="307"/>
    </row>
    <row r="318" spans="1:29" s="557" customFormat="1" ht="18" customHeight="1">
      <c r="A318" s="2820" t="s">
        <v>1713</v>
      </c>
      <c r="B318" s="2767">
        <v>7</v>
      </c>
      <c r="C318" s="2768">
        <v>73</v>
      </c>
      <c r="D318" s="3163">
        <v>693</v>
      </c>
      <c r="E318" s="3164"/>
      <c r="F318" s="2769">
        <v>880</v>
      </c>
      <c r="G318" s="2770">
        <v>9931</v>
      </c>
      <c r="H318" s="2771"/>
      <c r="I318" s="2770">
        <v>4773</v>
      </c>
      <c r="J318" s="2771"/>
      <c r="K318" s="2770">
        <v>284</v>
      </c>
      <c r="L318" s="1564"/>
      <c r="M318" s="2772">
        <f t="shared" si="105"/>
        <v>16641</v>
      </c>
      <c r="N318" s="2773">
        <f>4+1366-29</f>
        <v>1341</v>
      </c>
      <c r="O318" s="2768">
        <f>4+1699-31</f>
        <v>1672</v>
      </c>
      <c r="P318" s="2771">
        <f>4+1434-42</f>
        <v>1396</v>
      </c>
      <c r="Q318" s="2768">
        <f>4+1527-58</f>
        <v>1473</v>
      </c>
      <c r="R318" s="2774">
        <f>4+1604-58</f>
        <v>1550</v>
      </c>
      <c r="S318" s="2770">
        <f>5+5100-9</f>
        <v>5096</v>
      </c>
      <c r="T318" s="2771"/>
      <c r="U318" s="2770">
        <f>3+231-1</f>
        <v>233</v>
      </c>
      <c r="V318" s="2791"/>
      <c r="W318" s="2734">
        <f t="shared" si="106"/>
        <v>29402</v>
      </c>
      <c r="X318" s="2821" t="s">
        <v>911</v>
      </c>
      <c r="Y318" s="2775">
        <f t="shared" si="104"/>
        <v>0.52996888569767364</v>
      </c>
      <c r="AA318" s="2493">
        <v>30398</v>
      </c>
      <c r="AB318" s="307"/>
      <c r="AC318" s="307"/>
    </row>
    <row r="319" spans="1:29" s="250" customFormat="1" ht="13.5">
      <c r="A319" s="3165" t="s">
        <v>1333</v>
      </c>
      <c r="B319" s="3155" t="s">
        <v>1687</v>
      </c>
      <c r="C319" s="3156"/>
      <c r="D319" s="3152" t="s">
        <v>1688</v>
      </c>
      <c r="E319" s="3153"/>
      <c r="F319" s="3167" t="s">
        <v>1689</v>
      </c>
      <c r="G319" s="2800" t="s">
        <v>1690</v>
      </c>
      <c r="H319" s="2801"/>
      <c r="I319" s="2800" t="s">
        <v>1691</v>
      </c>
      <c r="J319" s="2801"/>
      <c r="K319" s="2800" t="s">
        <v>1692</v>
      </c>
      <c r="L319" s="2802"/>
      <c r="M319" s="3169" t="s">
        <v>1693</v>
      </c>
      <c r="N319" s="3169"/>
      <c r="O319" s="3169"/>
      <c r="P319" s="3169"/>
      <c r="Q319" s="3170"/>
      <c r="R319" s="3152" t="s">
        <v>1694</v>
      </c>
      <c r="S319" s="3153"/>
      <c r="T319" s="3154"/>
      <c r="U319" s="3153"/>
      <c r="V319" s="2803"/>
      <c r="W319" s="3155" t="s">
        <v>161</v>
      </c>
      <c r="X319" s="3156"/>
      <c r="Y319" s="3158" t="s">
        <v>1381</v>
      </c>
      <c r="Z319" s="2822" t="s">
        <v>1714</v>
      </c>
      <c r="AA319" s="2493">
        <v>30254</v>
      </c>
      <c r="AB319" s="307"/>
      <c r="AC319" s="307"/>
    </row>
    <row r="320" spans="1:29" s="307" customFormat="1">
      <c r="A320" s="3166"/>
      <c r="B320" s="3157"/>
      <c r="C320" s="3136"/>
      <c r="D320" s="3160" t="s">
        <v>1695</v>
      </c>
      <c r="E320" s="2942"/>
      <c r="F320" s="3168"/>
      <c r="G320" s="2741" t="s">
        <v>1696</v>
      </c>
      <c r="H320" s="2732"/>
      <c r="I320" s="2732" t="s">
        <v>1696</v>
      </c>
      <c r="J320" s="2732"/>
      <c r="K320" s="2741" t="s">
        <v>1697</v>
      </c>
      <c r="L320" s="1992"/>
      <c r="M320" s="2732" t="s">
        <v>1698</v>
      </c>
      <c r="N320" s="2804" t="s">
        <v>1699</v>
      </c>
      <c r="O320" s="2732" t="s">
        <v>1700</v>
      </c>
      <c r="P320" s="2804" t="s">
        <v>1701</v>
      </c>
      <c r="Q320" s="2745" t="s">
        <v>1702</v>
      </c>
      <c r="R320" s="3161" t="s">
        <v>1696</v>
      </c>
      <c r="S320" s="3161"/>
      <c r="T320" s="3161"/>
      <c r="U320" s="3162"/>
      <c r="V320" s="2805"/>
      <c r="W320" s="3157"/>
      <c r="X320" s="3136"/>
      <c r="Y320" s="3159"/>
      <c r="Z320" s="2044" t="s">
        <v>1715</v>
      </c>
      <c r="AA320" s="2493">
        <v>30248</v>
      </c>
    </row>
    <row r="321" spans="1:29" s="307" customFormat="1">
      <c r="A321" s="2795" t="s">
        <v>1716</v>
      </c>
      <c r="B321" s="3140">
        <f>51+32+8</f>
        <v>91</v>
      </c>
      <c r="C321" s="3141"/>
      <c r="D321" s="3142">
        <v>772</v>
      </c>
      <c r="E321" s="3141"/>
      <c r="F321" s="2808">
        <v>786</v>
      </c>
      <c r="G321" s="2808">
        <v>10455</v>
      </c>
      <c r="H321" s="2809"/>
      <c r="I321" s="2808">
        <v>4667</v>
      </c>
      <c r="J321" s="2809"/>
      <c r="K321" s="2808">
        <v>124</v>
      </c>
      <c r="L321" s="2810"/>
      <c r="M321" s="2811">
        <v>1675</v>
      </c>
      <c r="N321" s="2807">
        <v>1445</v>
      </c>
      <c r="O321" s="2809">
        <v>1450</v>
      </c>
      <c r="P321" s="2807">
        <v>959</v>
      </c>
      <c r="Q321" s="2807">
        <v>1543</v>
      </c>
      <c r="R321" s="3142">
        <v>4926</v>
      </c>
      <c r="S321" s="3143"/>
      <c r="T321" s="3144"/>
      <c r="U321" s="3145"/>
      <c r="V321" s="2809"/>
      <c r="W321" s="3146">
        <f t="shared" ref="W321:W332" si="107">SUM(B321:U321)</f>
        <v>28893</v>
      </c>
      <c r="X321" s="3147"/>
      <c r="Y321" s="2763">
        <f t="shared" ref="Y321:Y332" si="108">(W321/AA311-1)*100</f>
        <v>-4.1309974119052351</v>
      </c>
      <c r="Z321" s="2044" t="s">
        <v>1717</v>
      </c>
      <c r="AA321" s="2493">
        <v>30232</v>
      </c>
    </row>
    <row r="322" spans="1:29" s="307" customFormat="1">
      <c r="A322" s="2748" t="s">
        <v>1718</v>
      </c>
      <c r="B322" s="3148">
        <v>97</v>
      </c>
      <c r="C322" s="3126"/>
      <c r="D322" s="3128">
        <v>873</v>
      </c>
      <c r="E322" s="3126"/>
      <c r="F322" s="2814">
        <v>792</v>
      </c>
      <c r="G322" s="2814">
        <v>10509</v>
      </c>
      <c r="H322" s="2810"/>
      <c r="I322" s="2814">
        <v>4774</v>
      </c>
      <c r="J322" s="2810"/>
      <c r="K322" s="2814">
        <v>157</v>
      </c>
      <c r="L322" s="2810"/>
      <c r="M322" s="2815">
        <v>1494</v>
      </c>
      <c r="N322" s="2813">
        <v>1444</v>
      </c>
      <c r="O322" s="2810">
        <v>1326</v>
      </c>
      <c r="P322" s="2813">
        <v>1219</v>
      </c>
      <c r="Q322" s="2813">
        <v>1617</v>
      </c>
      <c r="R322" s="3128">
        <v>5006</v>
      </c>
      <c r="S322" s="3149"/>
      <c r="T322" s="3126"/>
      <c r="U322" s="3129"/>
      <c r="V322" s="2810"/>
      <c r="W322" s="3150">
        <f t="shared" si="107"/>
        <v>29308</v>
      </c>
      <c r="X322" s="3151"/>
      <c r="Y322" s="2763">
        <f t="shared" si="108"/>
        <v>-2.7055738140291496</v>
      </c>
      <c r="Z322" s="2044" t="s">
        <v>1719</v>
      </c>
      <c r="AA322" s="2497">
        <v>30227</v>
      </c>
      <c r="AB322" s="250"/>
      <c r="AC322" s="250"/>
    </row>
    <row r="323" spans="1:29" s="307" customFormat="1">
      <c r="A323" s="2748" t="s">
        <v>1704</v>
      </c>
      <c r="B323" s="3126">
        <v>109</v>
      </c>
      <c r="C323" s="3127"/>
      <c r="D323" s="3127">
        <v>841</v>
      </c>
      <c r="E323" s="3127"/>
      <c r="F323" s="2813">
        <v>777</v>
      </c>
      <c r="G323" s="2813">
        <v>10453</v>
      </c>
      <c r="H323" s="2813"/>
      <c r="I323" s="2813">
        <v>4757</v>
      </c>
      <c r="J323" s="2813"/>
      <c r="K323" s="2814">
        <v>188</v>
      </c>
      <c r="L323" s="2810"/>
      <c r="M323" s="2815">
        <v>1619</v>
      </c>
      <c r="N323" s="2813">
        <v>1503</v>
      </c>
      <c r="O323" s="2810">
        <v>1396</v>
      </c>
      <c r="P323" s="2813">
        <v>1323</v>
      </c>
      <c r="Q323" s="2813">
        <v>1646</v>
      </c>
      <c r="R323" s="3128">
        <v>5017</v>
      </c>
      <c r="S323" s="3129"/>
      <c r="T323" s="3130"/>
      <c r="U323" s="3126"/>
      <c r="V323" s="2810"/>
      <c r="W323" s="3131">
        <f t="shared" si="107"/>
        <v>29629</v>
      </c>
      <c r="X323" s="3132"/>
      <c r="Y323" s="2763">
        <f t="shared" si="108"/>
        <v>-1.5680542174678624</v>
      </c>
      <c r="Z323" s="2044" t="s">
        <v>1720</v>
      </c>
      <c r="AA323" s="249"/>
      <c r="AB323" s="249"/>
      <c r="AC323" s="249"/>
    </row>
    <row r="324" spans="1:29" s="307" customFormat="1">
      <c r="A324" s="2748" t="s">
        <v>1721</v>
      </c>
      <c r="B324" s="3126">
        <v>109</v>
      </c>
      <c r="C324" s="3127"/>
      <c r="D324" s="3127">
        <v>847</v>
      </c>
      <c r="E324" s="3127"/>
      <c r="F324" s="2813">
        <v>779</v>
      </c>
      <c r="G324" s="2813">
        <v>10456</v>
      </c>
      <c r="H324" s="2813"/>
      <c r="I324" s="2813">
        <v>4736</v>
      </c>
      <c r="J324" s="2813"/>
      <c r="K324" s="2814">
        <v>189</v>
      </c>
      <c r="L324" s="2810"/>
      <c r="M324" s="2815">
        <v>1617</v>
      </c>
      <c r="N324" s="2813">
        <v>1501</v>
      </c>
      <c r="O324" s="2810">
        <v>1389</v>
      </c>
      <c r="P324" s="2813">
        <v>1320</v>
      </c>
      <c r="Q324" s="2813">
        <v>1653</v>
      </c>
      <c r="R324" s="3128">
        <v>5005</v>
      </c>
      <c r="S324" s="3129"/>
      <c r="T324" s="3130"/>
      <c r="U324" s="3126"/>
      <c r="V324" s="2810"/>
      <c r="W324" s="3131">
        <f t="shared" si="107"/>
        <v>29601</v>
      </c>
      <c r="X324" s="3132"/>
      <c r="Y324" s="2763">
        <f t="shared" si="108"/>
        <v>-2.3520485584218487</v>
      </c>
      <c r="Z324" s="2044" t="s">
        <v>1722</v>
      </c>
      <c r="AA324" s="249"/>
      <c r="AB324" s="249"/>
      <c r="AC324" s="249"/>
    </row>
    <row r="325" spans="1:29" s="307" customFormat="1">
      <c r="A325" s="2748" t="s">
        <v>1723</v>
      </c>
      <c r="B325" s="3126">
        <v>109</v>
      </c>
      <c r="C325" s="3127"/>
      <c r="D325" s="3127">
        <v>844</v>
      </c>
      <c r="E325" s="3127"/>
      <c r="F325" s="2813">
        <v>787</v>
      </c>
      <c r="G325" s="2813">
        <v>10424</v>
      </c>
      <c r="H325" s="2813"/>
      <c r="I325" s="2813">
        <v>4737</v>
      </c>
      <c r="J325" s="2813"/>
      <c r="K325" s="2814">
        <v>192</v>
      </c>
      <c r="L325" s="2810"/>
      <c r="M325" s="2815">
        <v>1616</v>
      </c>
      <c r="N325" s="2813">
        <v>1489</v>
      </c>
      <c r="O325" s="2810">
        <v>1384</v>
      </c>
      <c r="P325" s="2813">
        <v>1383</v>
      </c>
      <c r="Q325" s="2813">
        <v>1613</v>
      </c>
      <c r="R325" s="3128">
        <v>4984</v>
      </c>
      <c r="S325" s="3129"/>
      <c r="T325" s="3130"/>
      <c r="U325" s="3126"/>
      <c r="V325" s="2810"/>
      <c r="W325" s="3131">
        <f t="shared" si="107"/>
        <v>29562</v>
      </c>
      <c r="X325" s="3132"/>
      <c r="Y325" s="2763">
        <f t="shared" si="108"/>
        <v>-2.4259827705713444</v>
      </c>
      <c r="Z325" s="2044" t="s">
        <v>1724</v>
      </c>
      <c r="AA325" s="249"/>
      <c r="AB325" s="249"/>
      <c r="AC325" s="249"/>
    </row>
    <row r="326" spans="1:29" s="307" customFormat="1">
      <c r="A326" s="2748" t="s">
        <v>1725</v>
      </c>
      <c r="B326" s="3126">
        <v>105</v>
      </c>
      <c r="C326" s="3127"/>
      <c r="D326" s="3127">
        <v>844</v>
      </c>
      <c r="E326" s="3127"/>
      <c r="F326" s="2813">
        <v>786</v>
      </c>
      <c r="G326" s="2813">
        <v>10408</v>
      </c>
      <c r="H326" s="2813"/>
      <c r="I326" s="2813">
        <v>4734</v>
      </c>
      <c r="J326" s="2813"/>
      <c r="K326" s="2814">
        <v>192</v>
      </c>
      <c r="L326" s="2810"/>
      <c r="M326" s="2815">
        <v>1617</v>
      </c>
      <c r="N326" s="2813">
        <v>1486</v>
      </c>
      <c r="O326" s="2810">
        <v>1383</v>
      </c>
      <c r="P326" s="2813">
        <v>1385</v>
      </c>
      <c r="Q326" s="2813">
        <v>1611</v>
      </c>
      <c r="R326" s="3128">
        <v>4994</v>
      </c>
      <c r="S326" s="3129"/>
      <c r="T326" s="3130"/>
      <c r="U326" s="3126"/>
      <c r="V326" s="2810"/>
      <c r="W326" s="3131">
        <f t="shared" si="107"/>
        <v>29545</v>
      </c>
      <c r="X326" s="3132"/>
      <c r="Y326" s="2763">
        <f t="shared" si="108"/>
        <v>-2.9083141636542909</v>
      </c>
      <c r="Z326" s="2044" t="s">
        <v>1726</v>
      </c>
      <c r="AA326" s="249"/>
      <c r="AB326" s="249"/>
      <c r="AC326" s="249"/>
    </row>
    <row r="327" spans="1:29" s="307" customFormat="1">
      <c r="A327" s="2748" t="s">
        <v>1727</v>
      </c>
      <c r="B327" s="3126">
        <v>105</v>
      </c>
      <c r="C327" s="3127"/>
      <c r="D327" s="3127">
        <v>835</v>
      </c>
      <c r="E327" s="3127"/>
      <c r="F327" s="2813">
        <v>777</v>
      </c>
      <c r="G327" s="2813">
        <v>10390</v>
      </c>
      <c r="H327" s="2813"/>
      <c r="I327" s="2813">
        <v>4728</v>
      </c>
      <c r="J327" s="2813"/>
      <c r="K327" s="2814">
        <v>192</v>
      </c>
      <c r="L327" s="2810"/>
      <c r="M327" s="2815">
        <v>1637</v>
      </c>
      <c r="N327" s="2813">
        <v>1483</v>
      </c>
      <c r="O327" s="2810">
        <v>1380</v>
      </c>
      <c r="P327" s="2813">
        <v>1392</v>
      </c>
      <c r="Q327" s="2813">
        <v>1609</v>
      </c>
      <c r="R327" s="3128">
        <v>4988</v>
      </c>
      <c r="S327" s="3129"/>
      <c r="T327" s="3130"/>
      <c r="U327" s="3126"/>
      <c r="V327" s="2810"/>
      <c r="W327" s="3131">
        <f t="shared" si="107"/>
        <v>29516</v>
      </c>
      <c r="X327" s="3132"/>
      <c r="Y327" s="2763">
        <f t="shared" si="108"/>
        <v>-2.9493966395949145</v>
      </c>
      <c r="Z327" s="2044" t="s">
        <v>1728</v>
      </c>
      <c r="AA327" s="249"/>
      <c r="AB327" s="249"/>
      <c r="AC327" s="249"/>
    </row>
    <row r="328" spans="1:29" s="307" customFormat="1">
      <c r="A328" s="2748" t="s">
        <v>1729</v>
      </c>
      <c r="B328" s="3126">
        <v>105</v>
      </c>
      <c r="C328" s="3127"/>
      <c r="D328" s="3127">
        <v>836</v>
      </c>
      <c r="E328" s="3127"/>
      <c r="F328" s="2813">
        <v>779</v>
      </c>
      <c r="G328" s="2813">
        <v>10374</v>
      </c>
      <c r="H328" s="2813"/>
      <c r="I328" s="2813">
        <v>4730</v>
      </c>
      <c r="J328" s="2813"/>
      <c r="K328" s="2814">
        <v>195</v>
      </c>
      <c r="L328" s="2810"/>
      <c r="M328" s="2815">
        <v>1415</v>
      </c>
      <c r="N328" s="2813">
        <v>1496</v>
      </c>
      <c r="O328" s="2810">
        <v>1413</v>
      </c>
      <c r="P328" s="2813">
        <v>1404</v>
      </c>
      <c r="Q328" s="2813">
        <v>1617</v>
      </c>
      <c r="R328" s="3128">
        <v>4980</v>
      </c>
      <c r="S328" s="3129"/>
      <c r="T328" s="3130"/>
      <c r="U328" s="3126"/>
      <c r="V328" s="2810"/>
      <c r="W328" s="3131">
        <f t="shared" si="107"/>
        <v>29344</v>
      </c>
      <c r="X328" s="3132"/>
      <c r="Y328" s="2763">
        <f t="shared" si="108"/>
        <v>-3.4673333771958692</v>
      </c>
      <c r="Z328" s="2044" t="s">
        <v>1730</v>
      </c>
      <c r="AA328" s="249"/>
      <c r="AB328" s="249"/>
      <c r="AC328" s="249"/>
    </row>
    <row r="329" spans="1:29" s="307" customFormat="1">
      <c r="A329" s="2748" t="s">
        <v>1731</v>
      </c>
      <c r="B329" s="3126">
        <v>105</v>
      </c>
      <c r="C329" s="3127"/>
      <c r="D329" s="3127">
        <v>834</v>
      </c>
      <c r="E329" s="3127"/>
      <c r="F329" s="2813">
        <v>768</v>
      </c>
      <c r="G329" s="2813">
        <v>10360</v>
      </c>
      <c r="H329" s="2813"/>
      <c r="I329" s="2813">
        <v>4724</v>
      </c>
      <c r="J329" s="2813"/>
      <c r="K329" s="2814">
        <v>196</v>
      </c>
      <c r="L329" s="2810"/>
      <c r="M329" s="2815">
        <v>1411</v>
      </c>
      <c r="N329" s="2813">
        <v>1495</v>
      </c>
      <c r="O329" s="2810">
        <v>1405</v>
      </c>
      <c r="P329" s="2813">
        <v>1400</v>
      </c>
      <c r="Q329" s="2813">
        <v>1618</v>
      </c>
      <c r="R329" s="3128">
        <v>4979</v>
      </c>
      <c r="S329" s="3129"/>
      <c r="T329" s="3130"/>
      <c r="U329" s="3126"/>
      <c r="V329" s="2810"/>
      <c r="W329" s="3131">
        <f t="shared" si="107"/>
        <v>29295</v>
      </c>
      <c r="X329" s="3132"/>
      <c r="Y329" s="2763">
        <f t="shared" si="108"/>
        <v>-3.1698287829708516</v>
      </c>
      <c r="Z329" s="2044" t="s">
        <v>1732</v>
      </c>
      <c r="AA329" s="249"/>
      <c r="AB329" s="249"/>
      <c r="AC329" s="249"/>
    </row>
    <row r="330" spans="1:29" s="250" customFormat="1">
      <c r="A330" s="2748" t="s">
        <v>1733</v>
      </c>
      <c r="B330" s="3126">
        <v>105</v>
      </c>
      <c r="C330" s="3127"/>
      <c r="D330" s="3127">
        <v>833</v>
      </c>
      <c r="E330" s="3127"/>
      <c r="F330" s="2813">
        <v>767</v>
      </c>
      <c r="G330" s="2813">
        <v>10352</v>
      </c>
      <c r="H330" s="2813"/>
      <c r="I330" s="2813">
        <v>4719</v>
      </c>
      <c r="J330" s="2813"/>
      <c r="K330" s="2814">
        <v>196</v>
      </c>
      <c r="L330" s="2810"/>
      <c r="M330" s="2815">
        <v>1410</v>
      </c>
      <c r="N330" s="2813">
        <v>1495</v>
      </c>
      <c r="O330" s="2810">
        <v>1406</v>
      </c>
      <c r="P330" s="2813">
        <v>1396</v>
      </c>
      <c r="Q330" s="2813">
        <v>1614</v>
      </c>
      <c r="R330" s="3128">
        <v>4977</v>
      </c>
      <c r="S330" s="3129"/>
      <c r="T330" s="3130"/>
      <c r="U330" s="3126"/>
      <c r="V330" s="2810"/>
      <c r="W330" s="3131">
        <f t="shared" si="107"/>
        <v>29270</v>
      </c>
      <c r="X330" s="3132"/>
      <c r="Y330" s="2763">
        <f t="shared" si="108"/>
        <v>-3.233271621264211</v>
      </c>
      <c r="Z330" s="2822" t="s">
        <v>1734</v>
      </c>
      <c r="AA330" s="249"/>
      <c r="AB330" s="249"/>
      <c r="AC330" s="249"/>
    </row>
    <row r="331" spans="1:29">
      <c r="A331" s="2748" t="s">
        <v>1735</v>
      </c>
      <c r="B331" s="3126">
        <v>105</v>
      </c>
      <c r="C331" s="3127"/>
      <c r="D331" s="3127">
        <v>833</v>
      </c>
      <c r="E331" s="3127"/>
      <c r="F331" s="2813">
        <v>767</v>
      </c>
      <c r="G331" s="2813">
        <v>10340</v>
      </c>
      <c r="H331" s="2813"/>
      <c r="I331" s="2813">
        <v>4718</v>
      </c>
      <c r="J331" s="2813"/>
      <c r="K331" s="2814">
        <v>196</v>
      </c>
      <c r="L331" s="2810"/>
      <c r="M331" s="2815">
        <v>1406</v>
      </c>
      <c r="N331" s="2813">
        <v>1493</v>
      </c>
      <c r="O331" s="2810">
        <v>1406</v>
      </c>
      <c r="P331" s="2813">
        <v>1396</v>
      </c>
      <c r="Q331" s="2813">
        <v>1614</v>
      </c>
      <c r="R331" s="3128">
        <v>4971</v>
      </c>
      <c r="S331" s="3129"/>
      <c r="T331" s="3130"/>
      <c r="U331" s="3126"/>
      <c r="V331" s="2810"/>
      <c r="W331" s="3131">
        <f t="shared" si="107"/>
        <v>29245</v>
      </c>
      <c r="X331" s="3132"/>
      <c r="Y331" s="2763">
        <f t="shared" si="108"/>
        <v>-3.2647525800476362</v>
      </c>
    </row>
    <row r="332" spans="1:29">
      <c r="A332" s="2445" t="s">
        <v>1736</v>
      </c>
      <c r="B332" s="3133">
        <v>105</v>
      </c>
      <c r="C332" s="3134"/>
      <c r="D332" s="3134">
        <v>824</v>
      </c>
      <c r="E332" s="3134"/>
      <c r="F332" s="2817">
        <v>768</v>
      </c>
      <c r="G332" s="2817">
        <v>10337</v>
      </c>
      <c r="H332" s="2817"/>
      <c r="I332" s="2817">
        <v>4719</v>
      </c>
      <c r="J332" s="2817"/>
      <c r="K332" s="2818">
        <v>196</v>
      </c>
      <c r="L332" s="2810"/>
      <c r="M332" s="2819">
        <v>1404</v>
      </c>
      <c r="N332" s="2817">
        <v>1500</v>
      </c>
      <c r="O332" s="2816">
        <v>1407</v>
      </c>
      <c r="P332" s="2817">
        <v>1406</v>
      </c>
      <c r="Q332" s="2817">
        <v>1611</v>
      </c>
      <c r="R332" s="3135">
        <v>4970</v>
      </c>
      <c r="S332" s="3136"/>
      <c r="T332" s="3137"/>
      <c r="U332" s="3133"/>
      <c r="V332" s="2816"/>
      <c r="W332" s="3138">
        <f t="shared" si="107"/>
        <v>29247</v>
      </c>
      <c r="X332" s="3139"/>
      <c r="Y332" s="2775">
        <f t="shared" si="108"/>
        <v>-3.2421345154993841</v>
      </c>
    </row>
  </sheetData>
  <mergeCells count="274">
    <mergeCell ref="X4:Y4"/>
    <mergeCell ref="D5:E5"/>
    <mergeCell ref="D6:E6"/>
    <mergeCell ref="A37:G37"/>
    <mergeCell ref="A38:G38"/>
    <mergeCell ref="A39:G39"/>
    <mergeCell ref="A40:G40"/>
    <mergeCell ref="A41:G41"/>
    <mergeCell ref="M42:N42"/>
    <mergeCell ref="A4:A5"/>
    <mergeCell ref="N4:U4"/>
    <mergeCell ref="W4:W5"/>
    <mergeCell ref="D153:E153"/>
    <mergeCell ref="D154:E154"/>
    <mergeCell ref="D155:E155"/>
    <mergeCell ref="D156:E156"/>
    <mergeCell ref="D157:E157"/>
    <mergeCell ref="D158:E158"/>
    <mergeCell ref="N44:U44"/>
    <mergeCell ref="X44:Y44"/>
    <mergeCell ref="D149:E149"/>
    <mergeCell ref="D150:E150"/>
    <mergeCell ref="D151:E151"/>
    <mergeCell ref="D152:E152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99:E299"/>
    <mergeCell ref="D300:E300"/>
    <mergeCell ref="D301:E301"/>
    <mergeCell ref="D302:E302"/>
    <mergeCell ref="D303:E303"/>
    <mergeCell ref="D304:E304"/>
    <mergeCell ref="D293:E293"/>
    <mergeCell ref="D294:E294"/>
    <mergeCell ref="D295:E295"/>
    <mergeCell ref="D296:E296"/>
    <mergeCell ref="D297:E297"/>
    <mergeCell ref="D298:E298"/>
    <mergeCell ref="R305:S305"/>
    <mergeCell ref="T305:U305"/>
    <mergeCell ref="W305:X306"/>
    <mergeCell ref="Y305:Y306"/>
    <mergeCell ref="D306:E306"/>
    <mergeCell ref="R306:S306"/>
    <mergeCell ref="T306:U306"/>
    <mergeCell ref="A305:A306"/>
    <mergeCell ref="B305:B306"/>
    <mergeCell ref="C305:C306"/>
    <mergeCell ref="D305:E305"/>
    <mergeCell ref="F305:F306"/>
    <mergeCell ref="M305:Q305"/>
    <mergeCell ref="W309:X309"/>
    <mergeCell ref="D310:E310"/>
    <mergeCell ref="D311:E311"/>
    <mergeCell ref="D307:E307"/>
    <mergeCell ref="R307:S307"/>
    <mergeCell ref="T307:U307"/>
    <mergeCell ref="W307:X307"/>
    <mergeCell ref="D308:E308"/>
    <mergeCell ref="R308:S308"/>
    <mergeCell ref="T308:U308"/>
    <mergeCell ref="W308:X308"/>
    <mergeCell ref="D312:E312"/>
    <mergeCell ref="D313:E313"/>
    <mergeCell ref="D314:E314"/>
    <mergeCell ref="D315:E315"/>
    <mergeCell ref="D316:E316"/>
    <mergeCell ref="D317:E317"/>
    <mergeCell ref="D309:E309"/>
    <mergeCell ref="R309:S309"/>
    <mergeCell ref="T309:U309"/>
    <mergeCell ref="R319:S319"/>
    <mergeCell ref="T319:U319"/>
    <mergeCell ref="W319:X320"/>
    <mergeCell ref="Y319:Y320"/>
    <mergeCell ref="D320:E320"/>
    <mergeCell ref="R320:S320"/>
    <mergeCell ref="T320:U320"/>
    <mergeCell ref="D318:E318"/>
    <mergeCell ref="A319:A320"/>
    <mergeCell ref="B319:C320"/>
    <mergeCell ref="D319:E319"/>
    <mergeCell ref="F319:F320"/>
    <mergeCell ref="M319:Q319"/>
    <mergeCell ref="B321:C321"/>
    <mergeCell ref="D321:E321"/>
    <mergeCell ref="R321:S321"/>
    <mergeCell ref="T321:U321"/>
    <mergeCell ref="W321:X321"/>
    <mergeCell ref="B322:C322"/>
    <mergeCell ref="D322:E322"/>
    <mergeCell ref="R322:S322"/>
    <mergeCell ref="T322:U322"/>
    <mergeCell ref="W322:X322"/>
    <mergeCell ref="B323:C323"/>
    <mergeCell ref="D323:E323"/>
    <mergeCell ref="R323:S323"/>
    <mergeCell ref="T323:U323"/>
    <mergeCell ref="W323:X323"/>
    <mergeCell ref="B324:C324"/>
    <mergeCell ref="D324:E324"/>
    <mergeCell ref="R324:S324"/>
    <mergeCell ref="T324:U324"/>
    <mergeCell ref="W324:X324"/>
    <mergeCell ref="B325:C325"/>
    <mergeCell ref="D325:E325"/>
    <mergeCell ref="R325:S325"/>
    <mergeCell ref="T325:U325"/>
    <mergeCell ref="W325:X325"/>
    <mergeCell ref="B326:C326"/>
    <mergeCell ref="D326:E326"/>
    <mergeCell ref="R326:S326"/>
    <mergeCell ref="T326:U326"/>
    <mergeCell ref="W326:X326"/>
    <mergeCell ref="B327:C327"/>
    <mergeCell ref="D327:E327"/>
    <mergeCell ref="R327:S327"/>
    <mergeCell ref="T327:U327"/>
    <mergeCell ref="W327:X327"/>
    <mergeCell ref="B328:C328"/>
    <mergeCell ref="D328:E328"/>
    <mergeCell ref="R328:S328"/>
    <mergeCell ref="T328:U328"/>
    <mergeCell ref="W328:X328"/>
    <mergeCell ref="B329:C329"/>
    <mergeCell ref="D329:E329"/>
    <mergeCell ref="R329:S329"/>
    <mergeCell ref="T329:U329"/>
    <mergeCell ref="W329:X329"/>
    <mergeCell ref="B330:C330"/>
    <mergeCell ref="D330:E330"/>
    <mergeCell ref="R330:S330"/>
    <mergeCell ref="T330:U330"/>
    <mergeCell ref="W330:X330"/>
    <mergeCell ref="B331:C331"/>
    <mergeCell ref="D331:E331"/>
    <mergeCell ref="R331:S331"/>
    <mergeCell ref="T331:U331"/>
    <mergeCell ref="W331:X331"/>
    <mergeCell ref="B332:C332"/>
    <mergeCell ref="D332:E332"/>
    <mergeCell ref="R332:S332"/>
    <mergeCell ref="T332:U332"/>
    <mergeCell ref="W332:X332"/>
  </mergeCells>
  <phoneticPr fontId="3" type="noConversion"/>
  <printOptions horizontalCentered="1"/>
  <pageMargins left="1.0629921259842521" right="1.0629921259842521" top="1.1811023622047245" bottom="0.78740157480314965" header="0" footer="0"/>
  <pageSetup paperSize="9" scale="82" firstPageNumber="80" orientation="portrait" useFirstPageNumber="1" r:id="rId1"/>
  <headerFooter differentOddEven="1" scaleWithDoc="0" alignWithMargins="0"/>
  <rowBreaks count="1" manualBreakCount="1">
    <brk id="41" max="26" man="1"/>
  </rowBreaks>
  <colBreaks count="1" manualBreakCount="1">
    <brk id="12" max="36" man="1"/>
  </colBreaks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"/>
  <sheetViews>
    <sheetView view="pageBreakPreview" zoomScale="70" zoomScaleNormal="100" zoomScaleSheetLayoutView="70" workbookViewId="0"/>
  </sheetViews>
  <sheetFormatPr defaultColWidth="10" defaultRowHeight="16.5"/>
  <cols>
    <col min="1" max="16384" width="10" style="2824"/>
  </cols>
  <sheetData>
    <row r="4" spans="2:2" ht="33.75">
      <c r="B4" s="2823" t="s">
        <v>3</v>
      </c>
    </row>
  </sheetData>
  <phoneticPr fontId="3" type="noConversion"/>
  <printOptions horizontalCentered="1"/>
  <pageMargins left="1.0629921259842521" right="1.0629921259842521" top="1.3779527559055118" bottom="1.5748031496062993" header="0.51181102362204722" footer="1.4173228346456694"/>
  <pageSetup paperSize="9" scale="90" firstPageNumber="38" orientation="portrait" useFirstPageNumber="1" r:id="rId1"/>
  <headerFooter differentOddEven="1"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view="pageBreakPreview" topLeftCell="A13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5" width="6.875" style="49" customWidth="1"/>
    <col min="16" max="16384" width="9" style="49"/>
  </cols>
  <sheetData>
    <row r="1" spans="1:15" ht="38.25" customHeight="1"/>
    <row r="2" spans="1:15" ht="38.25" customHeight="1">
      <c r="A2" s="110" t="s">
        <v>42</v>
      </c>
    </row>
    <row r="3" spans="1:15" ht="18" customHeight="1">
      <c r="A3" s="52" t="s">
        <v>43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37</v>
      </c>
      <c r="O4" s="53"/>
    </row>
    <row r="5" spans="1:15" ht="20.100000000000001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20.100000000000001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20.100000000000001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20.100000000000001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20.100000000000001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20.100000000000001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20.100000000000001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20.100000000000001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20.100000000000001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20.100000000000001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20.100000000000001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20.100000000000001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6" ht="20.100000000000001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6" ht="20.100000000000001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6" ht="18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6" ht="15.95" customHeight="1">
      <c r="A20" s="77" t="s">
        <v>9</v>
      </c>
      <c r="B20" s="78">
        <v>2021.12</v>
      </c>
      <c r="C20" s="78">
        <v>2022.01</v>
      </c>
      <c r="D20" s="78">
        <v>2022.02</v>
      </c>
      <c r="E20" s="78">
        <v>2022.03</v>
      </c>
      <c r="F20" s="78">
        <v>2022.04</v>
      </c>
      <c r="G20" s="111">
        <v>2022.05</v>
      </c>
      <c r="H20" s="78">
        <v>2022.06</v>
      </c>
      <c r="I20" s="78">
        <v>2022.07</v>
      </c>
      <c r="J20" s="78">
        <v>2022.08</v>
      </c>
      <c r="K20" s="78">
        <v>2022.09</v>
      </c>
      <c r="L20" s="112" t="s">
        <v>44</v>
      </c>
      <c r="M20" s="79">
        <v>2022.11</v>
      </c>
      <c r="N20" s="113">
        <v>2022.12</v>
      </c>
      <c r="O20" s="58"/>
      <c r="P20" s="224"/>
    </row>
    <row r="21" spans="1:16" ht="15.95" customHeight="1">
      <c r="A21" s="82" t="s">
        <v>38</v>
      </c>
      <c r="B21" s="83">
        <v>53373.608999999997</v>
      </c>
      <c r="C21" s="83">
        <v>54792.300999999999</v>
      </c>
      <c r="D21" s="83">
        <v>48487.502</v>
      </c>
      <c r="E21" s="83">
        <v>49659.152999999998</v>
      </c>
      <c r="F21" s="83">
        <v>44858.87</v>
      </c>
      <c r="G21" s="83">
        <v>46180.83</v>
      </c>
      <c r="H21" s="83">
        <v>47586.860999999997</v>
      </c>
      <c r="I21" s="83">
        <v>55027.406000000003</v>
      </c>
      <c r="J21" s="83">
        <v>53963.962</v>
      </c>
      <c r="K21" s="83">
        <v>46308.31</v>
      </c>
      <c r="L21" s="84">
        <v>45741.034</v>
      </c>
      <c r="M21" s="84">
        <v>46217.807000000001</v>
      </c>
      <c r="N21" s="114">
        <v>55567.963000000003</v>
      </c>
      <c r="O21" s="115"/>
      <c r="P21" s="224"/>
    </row>
    <row r="22" spans="1:16" ht="15.95" customHeight="1">
      <c r="A22" s="86" t="s">
        <v>31</v>
      </c>
      <c r="B22" s="32">
        <v>3.4369999999999998</v>
      </c>
      <c r="C22" s="32">
        <v>3.0790000000000002</v>
      </c>
      <c r="D22" s="32">
        <v>7.8129999999999997</v>
      </c>
      <c r="E22" s="32">
        <v>5.226</v>
      </c>
      <c r="F22" s="32">
        <v>2.7989999999999999</v>
      </c>
      <c r="G22" s="32">
        <v>4.2350000000000003</v>
      </c>
      <c r="H22" s="32">
        <v>3.9279999999999999</v>
      </c>
      <c r="I22" s="32">
        <v>1.63</v>
      </c>
      <c r="J22" s="32">
        <v>4.1859999999999999</v>
      </c>
      <c r="K22" s="32">
        <v>1.978</v>
      </c>
      <c r="L22" s="87">
        <v>-0.88</v>
      </c>
      <c r="M22" s="87">
        <v>-1.4239999999999999</v>
      </c>
      <c r="N22" s="116">
        <v>4.1109999999999998</v>
      </c>
      <c r="O22" s="2825"/>
      <c r="P22" s="224"/>
    </row>
    <row r="23" spans="1:16" ht="15.95" customHeight="1">
      <c r="A23" s="90" t="s">
        <v>25</v>
      </c>
      <c r="B23" s="34">
        <v>16531.642</v>
      </c>
      <c r="C23" s="34">
        <v>16103.26</v>
      </c>
      <c r="D23" s="34">
        <v>13989.89</v>
      </c>
      <c r="E23" s="34">
        <v>13866.525</v>
      </c>
      <c r="F23" s="34">
        <v>13385.162</v>
      </c>
      <c r="G23" s="34">
        <v>14609.832</v>
      </c>
      <c r="H23" s="34">
        <v>14725.941000000001</v>
      </c>
      <c r="I23" s="34">
        <v>15354.808999999999</v>
      </c>
      <c r="J23" s="34">
        <v>16308.977999999999</v>
      </c>
      <c r="K23" s="34">
        <v>14093.576999999999</v>
      </c>
      <c r="L23" s="91">
        <v>14381.733</v>
      </c>
      <c r="M23" s="91">
        <v>14005.635</v>
      </c>
      <c r="N23" s="117">
        <v>15228.671</v>
      </c>
      <c r="O23" s="2825"/>
      <c r="P23" s="224"/>
    </row>
    <row r="24" spans="1:16" ht="15.95" customHeight="1">
      <c r="A24" s="93" t="s">
        <v>31</v>
      </c>
      <c r="B24" s="37">
        <v>9.7729999999999997</v>
      </c>
      <c r="C24" s="37">
        <v>14.677</v>
      </c>
      <c r="D24" s="37">
        <v>9.8819999999999997</v>
      </c>
      <c r="E24" s="37">
        <v>0.48399999999999999</v>
      </c>
      <c r="F24" s="37">
        <v>6.65</v>
      </c>
      <c r="G24" s="37">
        <v>14.494</v>
      </c>
      <c r="H24" s="37">
        <v>30.155000000000001</v>
      </c>
      <c r="I24" s="37">
        <v>24.802</v>
      </c>
      <c r="J24" s="37">
        <v>27.616</v>
      </c>
      <c r="K24" s="37">
        <v>15.782999999999999</v>
      </c>
      <c r="L24" s="94">
        <v>6.8310000000000004</v>
      </c>
      <c r="M24" s="94">
        <v>3.2309999999999999</v>
      </c>
      <c r="N24" s="118">
        <v>-7.8819999999999997</v>
      </c>
      <c r="O24" s="2825"/>
      <c r="P24" s="224"/>
    </row>
    <row r="25" spans="1:16" ht="15.95" customHeight="1">
      <c r="A25" s="96" t="s">
        <v>26</v>
      </c>
      <c r="B25" s="40">
        <v>18201.25</v>
      </c>
      <c r="C25" s="40">
        <v>18363.066999999999</v>
      </c>
      <c r="D25" s="40">
        <v>15915.427</v>
      </c>
      <c r="E25" s="40">
        <v>14007</v>
      </c>
      <c r="F25" s="40">
        <v>13289.175999999999</v>
      </c>
      <c r="G25" s="40">
        <v>13550.710999999999</v>
      </c>
      <c r="H25" s="40">
        <v>15549.347</v>
      </c>
      <c r="I25" s="40">
        <v>19672.031999999999</v>
      </c>
      <c r="J25" s="40">
        <v>18929.547999999999</v>
      </c>
      <c r="K25" s="40">
        <v>15561.079</v>
      </c>
      <c r="L25" s="97">
        <v>14493.825000000001</v>
      </c>
      <c r="M25" s="97">
        <v>14992.241</v>
      </c>
      <c r="N25" s="119">
        <v>18907.697</v>
      </c>
      <c r="O25" s="2825"/>
      <c r="P25" s="224"/>
    </row>
    <row r="26" spans="1:16" ht="15.95" customHeight="1">
      <c r="A26" s="93" t="s">
        <v>31</v>
      </c>
      <c r="B26" s="37">
        <v>15.093999999999999</v>
      </c>
      <c r="C26" s="37">
        <v>3.1640000000000001</v>
      </c>
      <c r="D26" s="37">
        <v>10.066000000000001</v>
      </c>
      <c r="E26" s="37">
        <v>6.0030000000000001</v>
      </c>
      <c r="F26" s="37">
        <v>3.3239999999999998</v>
      </c>
      <c r="G26" s="37">
        <v>-6.6189999999999998</v>
      </c>
      <c r="H26" s="37">
        <v>-6.7720000000000002</v>
      </c>
      <c r="I26" s="37">
        <v>-8.02</v>
      </c>
      <c r="J26" s="37">
        <v>-9.2530000000000001</v>
      </c>
      <c r="K26" s="37">
        <v>-4.9850000000000003</v>
      </c>
      <c r="L26" s="94">
        <v>-5.87</v>
      </c>
      <c r="M26" s="94">
        <v>-7.556</v>
      </c>
      <c r="N26" s="118">
        <v>3.8809999999999998</v>
      </c>
      <c r="O26" s="2825"/>
      <c r="P26" s="224"/>
    </row>
    <row r="27" spans="1:16" ht="15.95" customHeight="1">
      <c r="A27" s="96" t="s">
        <v>27</v>
      </c>
      <c r="B27" s="40">
        <v>14396.418</v>
      </c>
      <c r="C27" s="40">
        <v>15252.03</v>
      </c>
      <c r="D27" s="40">
        <v>13618.877</v>
      </c>
      <c r="E27" s="40">
        <v>16658.325000000001</v>
      </c>
      <c r="F27" s="40">
        <v>12795.393</v>
      </c>
      <c r="G27" s="40">
        <v>12150.319</v>
      </c>
      <c r="H27" s="40">
        <v>12510.147999999999</v>
      </c>
      <c r="I27" s="40">
        <v>14812.130999999999</v>
      </c>
      <c r="J27" s="40">
        <v>13227.235000000001</v>
      </c>
      <c r="K27" s="40">
        <v>11410.437</v>
      </c>
      <c r="L27" s="97">
        <v>11543.441999999999</v>
      </c>
      <c r="M27" s="97">
        <v>12721.563</v>
      </c>
      <c r="N27" s="119">
        <v>16873.896000000001</v>
      </c>
      <c r="O27" s="2825"/>
      <c r="P27" s="224"/>
    </row>
    <row r="28" spans="1:16" ht="15.95" customHeight="1">
      <c r="A28" s="93" t="s">
        <v>31</v>
      </c>
      <c r="B28" s="37">
        <v>-13.452999999999999</v>
      </c>
      <c r="C28" s="37">
        <v>-12.037000000000001</v>
      </c>
      <c r="D28" s="37">
        <v>-1.0980000000000001</v>
      </c>
      <c r="E28" s="37">
        <v>6.27</v>
      </c>
      <c r="F28" s="37">
        <v>-4.8780000000000001</v>
      </c>
      <c r="G28" s="37">
        <v>-0.34300000000000003</v>
      </c>
      <c r="H28" s="37">
        <v>-6.1589999999999998</v>
      </c>
      <c r="I28" s="37">
        <v>-5.3159999999999998</v>
      </c>
      <c r="J28" s="37">
        <v>-4.085</v>
      </c>
      <c r="K28" s="37">
        <v>-9.4239999999999995</v>
      </c>
      <c r="L28" s="94">
        <v>-11.237</v>
      </c>
      <c r="M28" s="94">
        <v>-3.5190000000000001</v>
      </c>
      <c r="N28" s="118">
        <v>17.209</v>
      </c>
      <c r="O28" s="2825"/>
      <c r="P28" s="224"/>
    </row>
    <row r="29" spans="1:16" ht="15.95" customHeight="1">
      <c r="A29" s="96" t="s">
        <v>28</v>
      </c>
      <c r="B29" s="40">
        <v>3506.248</v>
      </c>
      <c r="C29" s="40">
        <v>4017.1579999999999</v>
      </c>
      <c r="D29" s="40">
        <v>4183.29</v>
      </c>
      <c r="E29" s="40">
        <v>4371.6149999999998</v>
      </c>
      <c r="F29" s="40">
        <v>4760.9709999999995</v>
      </c>
      <c r="G29" s="40">
        <v>5279.8890000000001</v>
      </c>
      <c r="H29" s="40">
        <v>4202.7759999999998</v>
      </c>
      <c r="I29" s="40">
        <v>4591.0590000000002</v>
      </c>
      <c r="J29" s="40">
        <v>4838.0039999999999</v>
      </c>
      <c r="K29" s="40">
        <v>4619.8639999999996</v>
      </c>
      <c r="L29" s="97">
        <v>4613.6059999999998</v>
      </c>
      <c r="M29" s="97">
        <v>3848.6060000000002</v>
      </c>
      <c r="N29" s="119">
        <v>3847.723</v>
      </c>
      <c r="O29" s="2825"/>
      <c r="P29" s="224"/>
    </row>
    <row r="30" spans="1:16" ht="15.95" customHeight="1">
      <c r="A30" s="93" t="s">
        <v>31</v>
      </c>
      <c r="B30" s="37">
        <v>10.741</v>
      </c>
      <c r="C30" s="37">
        <v>33.113999999999997</v>
      </c>
      <c r="D30" s="37">
        <v>28.728999999999999</v>
      </c>
      <c r="E30" s="37">
        <v>17.8</v>
      </c>
      <c r="F30" s="37">
        <v>17.890999999999998</v>
      </c>
      <c r="G30" s="37">
        <v>25.864999999999998</v>
      </c>
      <c r="H30" s="37">
        <v>13.319000000000001</v>
      </c>
      <c r="I30" s="37">
        <v>20.085999999999999</v>
      </c>
      <c r="J30" s="37">
        <v>32.997</v>
      </c>
      <c r="K30" s="37">
        <v>31.850999999999999</v>
      </c>
      <c r="L30" s="94">
        <v>31.463999999999999</v>
      </c>
      <c r="M30" s="94">
        <v>20.466000000000001</v>
      </c>
      <c r="N30" s="118">
        <v>9.7390000000000008</v>
      </c>
      <c r="O30" s="2825"/>
      <c r="P30" s="224"/>
    </row>
    <row r="31" spans="1:16" ht="15.95" customHeight="1">
      <c r="A31" s="96" t="s">
        <v>29</v>
      </c>
      <c r="B31" s="40">
        <v>154.38300000000001</v>
      </c>
      <c r="C31" s="40">
        <v>477.71499999999997</v>
      </c>
      <c r="D31" s="40">
        <v>198.875</v>
      </c>
      <c r="E31" s="40">
        <v>170.05199999999999</v>
      </c>
      <c r="F31" s="40">
        <v>126.256</v>
      </c>
      <c r="G31" s="40">
        <v>101.74299999999999</v>
      </c>
      <c r="H31" s="40">
        <v>121.848</v>
      </c>
      <c r="I31" s="40">
        <v>118.289</v>
      </c>
      <c r="J31" s="40">
        <v>110.633</v>
      </c>
      <c r="K31" s="40">
        <v>110.99299999999999</v>
      </c>
      <c r="L31" s="97">
        <v>125.97499999999999</v>
      </c>
      <c r="M31" s="97">
        <v>134.95500000000001</v>
      </c>
      <c r="N31" s="119">
        <v>168.28800000000001</v>
      </c>
      <c r="O31" s="2825"/>
      <c r="P31" s="224"/>
    </row>
    <row r="32" spans="1:16" ht="15.95" customHeight="1">
      <c r="A32" s="120" t="s">
        <v>31</v>
      </c>
      <c r="B32" s="121">
        <v>-51.118000000000002</v>
      </c>
      <c r="C32" s="121">
        <v>58.83</v>
      </c>
      <c r="D32" s="121">
        <v>34.069000000000003</v>
      </c>
      <c r="E32" s="121">
        <v>36.279000000000003</v>
      </c>
      <c r="F32" s="121">
        <v>-9.5939999999999994</v>
      </c>
      <c r="G32" s="121">
        <v>-27.193000000000001</v>
      </c>
      <c r="H32" s="121">
        <v>-29.803000000000001</v>
      </c>
      <c r="I32" s="121">
        <v>-65.067999999999998</v>
      </c>
      <c r="J32" s="121">
        <v>3.6429999999999998</v>
      </c>
      <c r="K32" s="121">
        <v>-56.637</v>
      </c>
      <c r="L32" s="122">
        <v>-49.21</v>
      </c>
      <c r="M32" s="122">
        <v>-39.716999999999999</v>
      </c>
      <c r="N32" s="123">
        <v>9.0069999999999997</v>
      </c>
      <c r="O32" s="2825"/>
      <c r="P32" s="224"/>
    </row>
    <row r="33" spans="1:16" ht="15.95" customHeight="1">
      <c r="A33" s="90" t="s">
        <v>30</v>
      </c>
      <c r="B33" s="34">
        <v>338.12</v>
      </c>
      <c r="C33" s="34">
        <v>330.40699999999998</v>
      </c>
      <c r="D33" s="34">
        <v>323.69600000000003</v>
      </c>
      <c r="E33" s="34">
        <v>343.74599999999998</v>
      </c>
      <c r="F33" s="34">
        <v>266.48700000000002</v>
      </c>
      <c r="G33" s="34">
        <v>293.67599999999999</v>
      </c>
      <c r="H33" s="34">
        <v>276.411</v>
      </c>
      <c r="I33" s="34">
        <v>286.80500000000001</v>
      </c>
      <c r="J33" s="34">
        <v>328.96</v>
      </c>
      <c r="K33" s="34">
        <v>316.06799999999998</v>
      </c>
      <c r="L33" s="91">
        <v>323.89100000000002</v>
      </c>
      <c r="M33" s="91">
        <v>312.24799999999999</v>
      </c>
      <c r="N33" s="117">
        <v>312.92599999999999</v>
      </c>
      <c r="O33" s="2825"/>
      <c r="P33" s="224"/>
    </row>
    <row r="34" spans="1:16" ht="15.95" customHeight="1">
      <c r="A34" s="93" t="s">
        <v>11</v>
      </c>
      <c r="B34" s="37">
        <v>11.689</v>
      </c>
      <c r="C34" s="37">
        <v>2.0720000000000001</v>
      </c>
      <c r="D34" s="37">
        <v>5.1289999999999996</v>
      </c>
      <c r="E34" s="37">
        <v>11.377000000000001</v>
      </c>
      <c r="F34" s="37">
        <v>-16.579000000000001</v>
      </c>
      <c r="G34" s="37">
        <v>-3.15</v>
      </c>
      <c r="H34" s="37">
        <v>-6.4320000000000004</v>
      </c>
      <c r="I34" s="37">
        <v>-16.542999999999999</v>
      </c>
      <c r="J34" s="37">
        <v>3.3860000000000001</v>
      </c>
      <c r="K34" s="37">
        <v>14.144</v>
      </c>
      <c r="L34" s="94">
        <v>10.907999999999999</v>
      </c>
      <c r="M34" s="94">
        <v>22.111000000000001</v>
      </c>
      <c r="N34" s="118">
        <v>-7.4509999999999996</v>
      </c>
      <c r="O34" s="2825"/>
      <c r="P34" s="224"/>
    </row>
    <row r="35" spans="1:16" ht="15.95" customHeight="1">
      <c r="A35" s="90" t="s">
        <v>17</v>
      </c>
      <c r="B35" s="72">
        <v>245.54900000000001</v>
      </c>
      <c r="C35" s="72">
        <v>248.66399999999999</v>
      </c>
      <c r="D35" s="72">
        <v>257.44600000000003</v>
      </c>
      <c r="E35" s="72">
        <v>241.89</v>
      </c>
      <c r="F35" s="72">
        <v>235.42500000000001</v>
      </c>
      <c r="G35" s="72">
        <v>194.661</v>
      </c>
      <c r="H35" s="72">
        <v>200.38900000000001</v>
      </c>
      <c r="I35" s="72">
        <v>192.28200000000001</v>
      </c>
      <c r="J35" s="72">
        <v>220.60400000000001</v>
      </c>
      <c r="K35" s="72">
        <v>196.292</v>
      </c>
      <c r="L35" s="124">
        <v>258.56200000000001</v>
      </c>
      <c r="M35" s="124">
        <v>202.56</v>
      </c>
      <c r="N35" s="117">
        <v>228.76300000000001</v>
      </c>
      <c r="O35" s="2825"/>
      <c r="P35" s="224"/>
    </row>
    <row r="36" spans="1:16" ht="15.95" customHeight="1">
      <c r="A36" s="102" t="s">
        <v>11</v>
      </c>
      <c r="B36" s="74">
        <v>-20.045000000000002</v>
      </c>
      <c r="C36" s="74">
        <v>-25.074999999999999</v>
      </c>
      <c r="D36" s="74">
        <v>-15.888</v>
      </c>
      <c r="E36" s="74">
        <v>-32.689</v>
      </c>
      <c r="F36" s="74">
        <v>-14.765000000000001</v>
      </c>
      <c r="G36" s="74">
        <v>-4.165</v>
      </c>
      <c r="H36" s="74">
        <v>-29.951000000000001</v>
      </c>
      <c r="I36" s="74">
        <v>-37</v>
      </c>
      <c r="J36" s="74">
        <v>-27.27</v>
      </c>
      <c r="K36" s="74">
        <v>-13.12</v>
      </c>
      <c r="L36" s="125">
        <v>10.935</v>
      </c>
      <c r="M36" s="125">
        <v>-15.792</v>
      </c>
      <c r="N36" s="126">
        <v>-6.8360000000000003</v>
      </c>
      <c r="O36" s="2825"/>
      <c r="P36" s="224"/>
    </row>
    <row r="37" spans="1:16" ht="18" customHeight="1">
      <c r="A37" s="106" t="s">
        <v>45</v>
      </c>
      <c r="K37" s="127"/>
      <c r="L37" s="128"/>
      <c r="M37" s="128"/>
      <c r="O37" s="224"/>
      <c r="P37" s="224"/>
    </row>
    <row r="38" spans="1:16" ht="18" customHeight="1">
      <c r="A38" s="76" t="s">
        <v>33</v>
      </c>
      <c r="K38" s="127"/>
      <c r="L38" s="128"/>
      <c r="M38" s="128"/>
      <c r="O38" s="224"/>
      <c r="P38" s="224"/>
    </row>
    <row r="39" spans="1:16" ht="18" customHeight="1">
      <c r="A39" s="106" t="s">
        <v>46</v>
      </c>
    </row>
    <row r="40" spans="1:16">
      <c r="A40" s="108" t="s">
        <v>47</v>
      </c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6" orientation="portrait" useFirstPageNumber="1" r:id="rId1"/>
  <headerFooter differentOddEven="1"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view="pageBreakPreview" topLeftCell="A16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6384" width="9" style="49"/>
  </cols>
  <sheetData>
    <row r="1" spans="1:14" ht="38.25" customHeight="1"/>
    <row r="2" spans="1:14" ht="38.25" customHeight="1">
      <c r="A2" s="110" t="s">
        <v>48</v>
      </c>
    </row>
    <row r="3" spans="1:14" ht="18" customHeight="1">
      <c r="A3" s="52" t="s">
        <v>49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37</v>
      </c>
    </row>
    <row r="5" spans="1:14" ht="21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4" ht="21.7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21.7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ht="21.7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4" ht="21.7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ht="21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21.7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21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ht="21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ht="21.7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ht="21.7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21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5" ht="21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5" ht="21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5" ht="21.7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5" ht="23.45" customHeight="1">
      <c r="A20" s="77" t="s">
        <v>9</v>
      </c>
      <c r="B20" s="78">
        <v>2021.12</v>
      </c>
      <c r="C20" s="78">
        <v>2022.01</v>
      </c>
      <c r="D20" s="78">
        <v>2022.02</v>
      </c>
      <c r="E20" s="78">
        <v>2022.03</v>
      </c>
      <c r="F20" s="78">
        <v>2022.04</v>
      </c>
      <c r="G20" s="78">
        <v>2022.05</v>
      </c>
      <c r="H20" s="78">
        <v>2022.06</v>
      </c>
      <c r="I20" s="78">
        <v>2022.07</v>
      </c>
      <c r="J20" s="78">
        <v>2022.08</v>
      </c>
      <c r="K20" s="78">
        <v>2022.09</v>
      </c>
      <c r="L20" s="78">
        <v>2022.1</v>
      </c>
      <c r="M20" s="78">
        <v>2022.11</v>
      </c>
      <c r="N20" s="129">
        <v>2022.12</v>
      </c>
    </row>
    <row r="21" spans="1:15" ht="23.45" customHeight="1">
      <c r="A21" s="82" t="s">
        <v>50</v>
      </c>
      <c r="B21" s="83">
        <v>47250.618999999999</v>
      </c>
      <c r="C21" s="83">
        <v>49802.218999999997</v>
      </c>
      <c r="D21" s="83">
        <v>47541.470999999998</v>
      </c>
      <c r="E21" s="83">
        <v>45836.805999999997</v>
      </c>
      <c r="F21" s="83">
        <v>43758.28</v>
      </c>
      <c r="G21" s="83">
        <v>42204.993999999999</v>
      </c>
      <c r="H21" s="83">
        <v>43015.061000000002</v>
      </c>
      <c r="I21" s="83">
        <v>48533.125999999997</v>
      </c>
      <c r="J21" s="83">
        <v>50162.065999999999</v>
      </c>
      <c r="K21" s="83">
        <v>45316.794999999998</v>
      </c>
      <c r="L21" s="83">
        <v>42342.925000000003</v>
      </c>
      <c r="M21" s="83">
        <v>42491.088000000003</v>
      </c>
      <c r="N21" s="130">
        <v>46927.909</v>
      </c>
    </row>
    <row r="22" spans="1:15" ht="23.45" customHeight="1">
      <c r="A22" s="86" t="s">
        <v>31</v>
      </c>
      <c r="B22" s="32">
        <v>4.9382000000000001</v>
      </c>
      <c r="C22" s="32">
        <v>2.1467000000000001</v>
      </c>
      <c r="D22" s="32">
        <v>5.2083000000000004</v>
      </c>
      <c r="E22" s="32">
        <v>6.4131999999999998</v>
      </c>
      <c r="F22" s="32">
        <v>4.4358000000000004</v>
      </c>
      <c r="G22" s="32">
        <v>3.3365</v>
      </c>
      <c r="H22" s="32">
        <v>2.3391000000000002</v>
      </c>
      <c r="I22" s="32">
        <v>5.5715000000000003</v>
      </c>
      <c r="J22" s="32">
        <v>2.5181</v>
      </c>
      <c r="K22" s="32">
        <v>1.1109</v>
      </c>
      <c r="L22" s="32">
        <v>1.2062999999999999</v>
      </c>
      <c r="M22" s="32">
        <v>-0.79039999999999999</v>
      </c>
      <c r="N22" s="131">
        <v>-0.68300000000000005</v>
      </c>
      <c r="O22" s="132"/>
    </row>
    <row r="23" spans="1:15" ht="23.45" customHeight="1">
      <c r="A23" s="90" t="s">
        <v>51</v>
      </c>
      <c r="B23" s="34">
        <v>25509.178</v>
      </c>
      <c r="C23" s="34">
        <v>26069.752</v>
      </c>
      <c r="D23" s="34">
        <v>23735.956999999999</v>
      </c>
      <c r="E23" s="34">
        <v>25171.141</v>
      </c>
      <c r="F23" s="34">
        <v>24455.29</v>
      </c>
      <c r="G23" s="34">
        <v>24585.742999999999</v>
      </c>
      <c r="H23" s="34">
        <v>24160.799999999999</v>
      </c>
      <c r="I23" s="34">
        <v>26117.510999999999</v>
      </c>
      <c r="J23" s="34">
        <v>25223.463</v>
      </c>
      <c r="K23" s="34">
        <v>23795.732</v>
      </c>
      <c r="L23" s="34">
        <v>24134.111000000001</v>
      </c>
      <c r="M23" s="34">
        <v>23466.792000000001</v>
      </c>
      <c r="N23" s="35">
        <v>25119.213</v>
      </c>
      <c r="O23" s="132"/>
    </row>
    <row r="24" spans="1:15" ht="23.45" customHeight="1">
      <c r="A24" s="93" t="s">
        <v>31</v>
      </c>
      <c r="B24" s="37">
        <v>3.92</v>
      </c>
      <c r="C24" s="37">
        <v>4.2760999999999996</v>
      </c>
      <c r="D24" s="37">
        <v>4.2689000000000004</v>
      </c>
      <c r="E24" s="37">
        <v>4.3733000000000004</v>
      </c>
      <c r="F24" s="37">
        <v>2.8652000000000002</v>
      </c>
      <c r="G24" s="37">
        <v>2.4851000000000001</v>
      </c>
      <c r="H24" s="37">
        <v>0.57320000000000004</v>
      </c>
      <c r="I24" s="37">
        <v>2.5573999999999999</v>
      </c>
      <c r="J24" s="37">
        <v>3.0474999999999999</v>
      </c>
      <c r="K24" s="37">
        <v>-2.2475999999999998</v>
      </c>
      <c r="L24" s="37">
        <v>0.73319999999999996</v>
      </c>
      <c r="M24" s="37">
        <v>-1.8580000000000001</v>
      </c>
      <c r="N24" s="38">
        <v>-1.5286999999999999</v>
      </c>
      <c r="O24" s="132"/>
    </row>
    <row r="25" spans="1:15" ht="23.45" customHeight="1">
      <c r="A25" s="96" t="s">
        <v>52</v>
      </c>
      <c r="B25" s="40">
        <v>11070.976000000001</v>
      </c>
      <c r="C25" s="40">
        <v>11518.842000000001</v>
      </c>
      <c r="D25" s="40">
        <v>11732.995999999999</v>
      </c>
      <c r="E25" s="40">
        <v>10164.688</v>
      </c>
      <c r="F25" s="40">
        <v>9389.482</v>
      </c>
      <c r="G25" s="40">
        <v>9001.6669999999995</v>
      </c>
      <c r="H25" s="40">
        <v>9977.9740000000002</v>
      </c>
      <c r="I25" s="40">
        <v>11827.253000000001</v>
      </c>
      <c r="J25" s="40">
        <v>12767.781000000001</v>
      </c>
      <c r="K25" s="40">
        <v>11060.663</v>
      </c>
      <c r="L25" s="40">
        <v>9429.99</v>
      </c>
      <c r="M25" s="40">
        <v>9263.0930000000008</v>
      </c>
      <c r="N25" s="41">
        <v>11058.464</v>
      </c>
      <c r="O25" s="132"/>
    </row>
    <row r="26" spans="1:15" ht="23.45" customHeight="1">
      <c r="A26" s="93" t="s">
        <v>11</v>
      </c>
      <c r="B26" s="37">
        <v>11.8368</v>
      </c>
      <c r="C26" s="37">
        <v>0.8911</v>
      </c>
      <c r="D26" s="37">
        <v>9.3643999999999998</v>
      </c>
      <c r="E26" s="37">
        <v>11.835100000000001</v>
      </c>
      <c r="F26" s="37">
        <v>8.5967000000000002</v>
      </c>
      <c r="G26" s="37">
        <v>8.3560999999999996</v>
      </c>
      <c r="H26" s="37">
        <v>7.8864000000000001</v>
      </c>
      <c r="I26" s="37">
        <v>10.728</v>
      </c>
      <c r="J26" s="37">
        <v>6.7775999999999996</v>
      </c>
      <c r="K26" s="37">
        <v>7.7846000000000002</v>
      </c>
      <c r="L26" s="37">
        <v>3.8319999999999999</v>
      </c>
      <c r="M26" s="37">
        <v>2.2393999999999998</v>
      </c>
      <c r="N26" s="38">
        <v>-0.113</v>
      </c>
      <c r="O26" s="132"/>
    </row>
    <row r="27" spans="1:15" ht="23.45" customHeight="1">
      <c r="A27" s="96" t="s">
        <v>53</v>
      </c>
      <c r="B27" s="40">
        <v>6419.3090000000002</v>
      </c>
      <c r="C27" s="40">
        <v>7092.8149999999996</v>
      </c>
      <c r="D27" s="40">
        <v>7060.5290000000005</v>
      </c>
      <c r="E27" s="40">
        <v>6223.1570000000002</v>
      </c>
      <c r="F27" s="40">
        <v>6285.8860000000004</v>
      </c>
      <c r="G27" s="40">
        <v>5779.665</v>
      </c>
      <c r="H27" s="40">
        <v>5993.4979999999996</v>
      </c>
      <c r="I27" s="40">
        <v>7548.9120000000003</v>
      </c>
      <c r="J27" s="40">
        <v>8961.5969999999998</v>
      </c>
      <c r="K27" s="40">
        <v>7393.6289999999999</v>
      </c>
      <c r="L27" s="40">
        <v>6045.0309999999999</v>
      </c>
      <c r="M27" s="40">
        <v>6107.6450000000004</v>
      </c>
      <c r="N27" s="41">
        <v>6503.7690000000002</v>
      </c>
      <c r="O27" s="132"/>
    </row>
    <row r="28" spans="1:15" ht="23.45" customHeight="1">
      <c r="A28" s="93" t="s">
        <v>11</v>
      </c>
      <c r="B28" s="37">
        <v>0.47949999999999998</v>
      </c>
      <c r="C28" s="37">
        <v>-0.98370000000000002</v>
      </c>
      <c r="D28" s="37">
        <v>2.2978000000000001</v>
      </c>
      <c r="E28" s="37">
        <v>4.9394999999999998</v>
      </c>
      <c r="F28" s="37">
        <v>3.2745000000000002</v>
      </c>
      <c r="G28" s="37">
        <v>0.3029</v>
      </c>
      <c r="H28" s="37">
        <v>-0.37180000000000002</v>
      </c>
      <c r="I28" s="37">
        <v>8.3824000000000005</v>
      </c>
      <c r="J28" s="37">
        <v>-3.3168000000000002</v>
      </c>
      <c r="K28" s="37">
        <v>3.5667</v>
      </c>
      <c r="L28" s="37">
        <v>-0.70989999999999998</v>
      </c>
      <c r="M28" s="37">
        <v>-1.0753999999999999</v>
      </c>
      <c r="N28" s="38">
        <v>1.3157000000000001</v>
      </c>
      <c r="O28" s="132"/>
    </row>
    <row r="29" spans="1:15" ht="23.45" customHeight="1">
      <c r="A29" s="96" t="s">
        <v>54</v>
      </c>
      <c r="B29" s="40">
        <v>4251.1549999999997</v>
      </c>
      <c r="C29" s="40">
        <v>5120.8090000000002</v>
      </c>
      <c r="D29" s="40">
        <v>5011.9889999999996</v>
      </c>
      <c r="E29" s="40">
        <v>4277.82</v>
      </c>
      <c r="F29" s="40">
        <v>3627.6219999999998</v>
      </c>
      <c r="G29" s="40">
        <v>2837.9189999999999</v>
      </c>
      <c r="H29" s="40">
        <v>2882.7890000000002</v>
      </c>
      <c r="I29" s="40">
        <v>3039.45</v>
      </c>
      <c r="J29" s="40">
        <v>3209.2249999999999</v>
      </c>
      <c r="K29" s="40">
        <v>3066.7719999999999</v>
      </c>
      <c r="L29" s="40">
        <v>2733.7930000000001</v>
      </c>
      <c r="M29" s="40">
        <v>3653.558</v>
      </c>
      <c r="N29" s="41">
        <v>4246.4639999999999</v>
      </c>
      <c r="O29" s="132"/>
    </row>
    <row r="30" spans="1:15" ht="23.45" customHeight="1">
      <c r="A30" s="133" t="s">
        <v>11</v>
      </c>
      <c r="B30" s="134">
        <v>1.4051</v>
      </c>
      <c r="C30" s="134">
        <v>-1.0371999999999999</v>
      </c>
      <c r="D30" s="134">
        <v>4.5580999999999996</v>
      </c>
      <c r="E30" s="134">
        <v>8.6105999999999998</v>
      </c>
      <c r="F30" s="134">
        <v>6.9214000000000002</v>
      </c>
      <c r="G30" s="134">
        <v>1.9732000000000001</v>
      </c>
      <c r="H30" s="134">
        <v>5.0457999999999998</v>
      </c>
      <c r="I30" s="134">
        <v>6.3064999999999998</v>
      </c>
      <c r="J30" s="134">
        <v>-0.52170000000000005</v>
      </c>
      <c r="K30" s="134">
        <v>-0.27389999999999998</v>
      </c>
      <c r="L30" s="134">
        <v>0.89429999999999998</v>
      </c>
      <c r="M30" s="134">
        <v>-0.83479999999999999</v>
      </c>
      <c r="N30" s="135">
        <v>-0.1104</v>
      </c>
      <c r="O30" s="132"/>
    </row>
    <row r="31" spans="1:15" ht="18" customHeight="1">
      <c r="A31" s="106" t="s">
        <v>55</v>
      </c>
      <c r="N31" s="136"/>
    </row>
    <row r="32" spans="1:15">
      <c r="A32" s="106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7" orientation="portrait" useFirstPageNumber="1" r:id="rId1"/>
  <headerFooter differentOddEven="1"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view="pageBreakPreview" topLeftCell="A19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5" width="5.875" style="49" customWidth="1"/>
    <col min="16" max="16384" width="9" style="49"/>
  </cols>
  <sheetData>
    <row r="1" spans="1:15" ht="38.25" customHeight="1"/>
    <row r="2" spans="1:15" ht="38.25" customHeight="1">
      <c r="A2" s="50" t="s">
        <v>56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18" customHeight="1">
      <c r="A3" s="52" t="s">
        <v>57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37</v>
      </c>
      <c r="O4" s="53"/>
    </row>
    <row r="5" spans="1:15" ht="21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21.7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21.7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21.7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21.7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21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21.7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21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21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21.7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21.7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21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ht="21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ht="21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 ht="21.7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ht="23.45" customHeight="1">
      <c r="A20" s="77" t="s">
        <v>9</v>
      </c>
      <c r="B20" s="78">
        <v>2021.12</v>
      </c>
      <c r="C20" s="78">
        <v>2022.01</v>
      </c>
      <c r="D20" s="78">
        <v>2022.02</v>
      </c>
      <c r="E20" s="78">
        <v>2022.03</v>
      </c>
      <c r="F20" s="78">
        <v>2022.04</v>
      </c>
      <c r="G20" s="111">
        <v>2022.05</v>
      </c>
      <c r="H20" s="78">
        <v>2022.06</v>
      </c>
      <c r="I20" s="78">
        <v>2022.07</v>
      </c>
      <c r="J20" s="78">
        <v>2022.08</v>
      </c>
      <c r="K20" s="78">
        <v>2022.09</v>
      </c>
      <c r="L20" s="137">
        <v>2022.1</v>
      </c>
      <c r="M20" s="78">
        <v>2022.11</v>
      </c>
      <c r="N20" s="129">
        <v>2022.12</v>
      </c>
      <c r="O20" s="58"/>
    </row>
    <row r="21" spans="1:15" ht="23.45" customHeight="1">
      <c r="A21" s="82" t="s">
        <v>50</v>
      </c>
      <c r="B21" s="83">
        <v>47250.618999999999</v>
      </c>
      <c r="C21" s="83">
        <v>49802.218999999997</v>
      </c>
      <c r="D21" s="83">
        <v>47541.470999999998</v>
      </c>
      <c r="E21" s="83">
        <v>45836.805999999997</v>
      </c>
      <c r="F21" s="83">
        <v>43758.28</v>
      </c>
      <c r="G21" s="83">
        <v>42204.993999999999</v>
      </c>
      <c r="H21" s="83">
        <v>43015.061000000002</v>
      </c>
      <c r="I21" s="83">
        <v>48533.125999999997</v>
      </c>
      <c r="J21" s="83">
        <v>50162.065999999999</v>
      </c>
      <c r="K21" s="83">
        <v>45316.794999999998</v>
      </c>
      <c r="L21" s="83">
        <v>42342.925000000003</v>
      </c>
      <c r="M21" s="83">
        <v>42491.088000000003</v>
      </c>
      <c r="N21" s="130">
        <v>46927.909</v>
      </c>
      <c r="O21" s="115"/>
    </row>
    <row r="22" spans="1:15" ht="23.45" customHeight="1">
      <c r="A22" s="86" t="s">
        <v>31</v>
      </c>
      <c r="B22" s="32">
        <v>4.9379999999999997</v>
      </c>
      <c r="C22" s="32">
        <v>2.1469999999999998</v>
      </c>
      <c r="D22" s="32">
        <v>5.2080000000000002</v>
      </c>
      <c r="E22" s="32">
        <v>6.4130000000000003</v>
      </c>
      <c r="F22" s="32">
        <v>4.4359999999999999</v>
      </c>
      <c r="G22" s="32">
        <v>3.3370000000000002</v>
      </c>
      <c r="H22" s="32">
        <v>2.339</v>
      </c>
      <c r="I22" s="32">
        <v>5.5720000000000001</v>
      </c>
      <c r="J22" s="32">
        <v>2.5179999999999998</v>
      </c>
      <c r="K22" s="32">
        <v>1.111</v>
      </c>
      <c r="L22" s="32">
        <v>1.206</v>
      </c>
      <c r="M22" s="32">
        <v>-0.79</v>
      </c>
      <c r="N22" s="131">
        <v>-0.68300000000000005</v>
      </c>
      <c r="O22" s="132"/>
    </row>
    <row r="23" spans="1:15" ht="23.45" customHeight="1">
      <c r="A23" s="90" t="s">
        <v>58</v>
      </c>
      <c r="B23" s="34">
        <v>23068.737000000001</v>
      </c>
      <c r="C23" s="34">
        <v>23566.593000000001</v>
      </c>
      <c r="D23" s="34">
        <v>21340.352999999999</v>
      </c>
      <c r="E23" s="34">
        <v>22983.927</v>
      </c>
      <c r="F23" s="34">
        <v>22143.995999999999</v>
      </c>
      <c r="G23" s="34">
        <v>22146.809000000001</v>
      </c>
      <c r="H23" s="34">
        <v>21717.278999999999</v>
      </c>
      <c r="I23" s="34">
        <v>23611.107</v>
      </c>
      <c r="J23" s="34">
        <v>22668.605</v>
      </c>
      <c r="K23" s="34">
        <v>21350.988000000001</v>
      </c>
      <c r="L23" s="34">
        <v>21706.846000000001</v>
      </c>
      <c r="M23" s="34">
        <v>21069.57</v>
      </c>
      <c r="N23" s="35">
        <v>22586.5</v>
      </c>
      <c r="O23" s="132"/>
    </row>
    <row r="24" spans="1:15" ht="23.45" customHeight="1">
      <c r="A24" s="93" t="s">
        <v>31</v>
      </c>
      <c r="B24" s="37">
        <v>4.6379999999999999</v>
      </c>
      <c r="C24" s="37">
        <v>4.6840000000000002</v>
      </c>
      <c r="D24" s="37">
        <v>4.2039999999999997</v>
      </c>
      <c r="E24" s="37">
        <v>5.383</v>
      </c>
      <c r="F24" s="37">
        <v>3.258</v>
      </c>
      <c r="G24" s="37">
        <v>2.54</v>
      </c>
      <c r="H24" s="37">
        <v>0.67800000000000005</v>
      </c>
      <c r="I24" s="37">
        <v>2.956</v>
      </c>
      <c r="J24" s="37">
        <v>3.2189999999999999</v>
      </c>
      <c r="K24" s="37">
        <v>-2.6619999999999999</v>
      </c>
      <c r="L24" s="37">
        <v>0.76600000000000001</v>
      </c>
      <c r="M24" s="37">
        <v>-2.0259999999999998</v>
      </c>
      <c r="N24" s="138">
        <v>-2.09</v>
      </c>
      <c r="O24" s="132"/>
    </row>
    <row r="25" spans="1:15" ht="23.45" customHeight="1">
      <c r="A25" s="96" t="s">
        <v>59</v>
      </c>
      <c r="B25" s="40">
        <v>13799.959000000001</v>
      </c>
      <c r="C25" s="40">
        <v>14629.331</v>
      </c>
      <c r="D25" s="40">
        <v>14854.224</v>
      </c>
      <c r="E25" s="40">
        <v>12751.919</v>
      </c>
      <c r="F25" s="40">
        <v>11893.99</v>
      </c>
      <c r="G25" s="40">
        <v>11216.679</v>
      </c>
      <c r="H25" s="40">
        <v>11998.553</v>
      </c>
      <c r="I25" s="40">
        <v>13733.082</v>
      </c>
      <c r="J25" s="40">
        <v>14682.019</v>
      </c>
      <c r="K25" s="40">
        <v>12992.044</v>
      </c>
      <c r="L25" s="40">
        <v>11477.216</v>
      </c>
      <c r="M25" s="40">
        <v>11602.314</v>
      </c>
      <c r="N25" s="41">
        <v>13717.066000000001</v>
      </c>
      <c r="O25" s="132"/>
    </row>
    <row r="26" spans="1:15" ht="23.45" customHeight="1">
      <c r="A26" s="93" t="s">
        <v>11</v>
      </c>
      <c r="B26" s="37">
        <v>8.2430000000000003</v>
      </c>
      <c r="C26" s="37">
        <v>-4.2000000000000003E-2</v>
      </c>
      <c r="D26" s="37">
        <v>8.0419999999999998</v>
      </c>
      <c r="E26" s="37">
        <v>8.3759999999999994</v>
      </c>
      <c r="F26" s="37">
        <v>7.04</v>
      </c>
      <c r="G26" s="37">
        <v>6.5620000000000003</v>
      </c>
      <c r="H26" s="37">
        <v>6.2110000000000003</v>
      </c>
      <c r="I26" s="37">
        <v>8.5449999999999999</v>
      </c>
      <c r="J26" s="37">
        <v>5.7359999999999998</v>
      </c>
      <c r="K26" s="37">
        <v>6.726</v>
      </c>
      <c r="L26" s="37">
        <v>3.3940000000000001</v>
      </c>
      <c r="M26" s="37">
        <v>1.02</v>
      </c>
      <c r="N26" s="138">
        <v>-0.60099999999999998</v>
      </c>
      <c r="O26" s="132"/>
    </row>
    <row r="27" spans="1:15" ht="23.45" customHeight="1">
      <c r="A27" s="96" t="s">
        <v>60</v>
      </c>
      <c r="B27" s="40">
        <v>6218.1120000000001</v>
      </c>
      <c r="C27" s="40">
        <v>6859.6710000000003</v>
      </c>
      <c r="D27" s="40">
        <v>6832.5119999999997</v>
      </c>
      <c r="E27" s="40">
        <v>6026.9089999999997</v>
      </c>
      <c r="F27" s="40">
        <v>6097.4759999999997</v>
      </c>
      <c r="G27" s="40">
        <v>5606.7250000000004</v>
      </c>
      <c r="H27" s="40">
        <v>5810.4250000000002</v>
      </c>
      <c r="I27" s="40">
        <v>7335.0450000000001</v>
      </c>
      <c r="J27" s="40">
        <v>8720.5349999999999</v>
      </c>
      <c r="K27" s="40">
        <v>7184.4470000000001</v>
      </c>
      <c r="L27" s="40">
        <v>5863.9939999999997</v>
      </c>
      <c r="M27" s="40">
        <v>5922.5410000000002</v>
      </c>
      <c r="N27" s="41">
        <v>6297.1750000000002</v>
      </c>
      <c r="O27" s="132"/>
    </row>
    <row r="28" spans="1:15" ht="23.45" customHeight="1">
      <c r="A28" s="93" t="s">
        <v>11</v>
      </c>
      <c r="B28" s="37">
        <v>0.39300000000000002</v>
      </c>
      <c r="C28" s="37">
        <v>-1.1539999999999999</v>
      </c>
      <c r="D28" s="37">
        <v>2.1859999999999999</v>
      </c>
      <c r="E28" s="37">
        <v>4.7649999999999997</v>
      </c>
      <c r="F28" s="37">
        <v>3.1789999999999998</v>
      </c>
      <c r="G28" s="37">
        <v>0.20699999999999999</v>
      </c>
      <c r="H28" s="37">
        <v>-0.49</v>
      </c>
      <c r="I28" s="37">
        <v>8.4359999999999999</v>
      </c>
      <c r="J28" s="37">
        <v>-3.347</v>
      </c>
      <c r="K28" s="37">
        <v>3.6219999999999999</v>
      </c>
      <c r="L28" s="37">
        <v>-0.745</v>
      </c>
      <c r="M28" s="37">
        <v>-1.1160000000000001</v>
      </c>
      <c r="N28" s="138">
        <v>1.272</v>
      </c>
      <c r="O28" s="132"/>
    </row>
    <row r="29" spans="1:15" ht="23.45" customHeight="1">
      <c r="A29" s="139" t="s">
        <v>54</v>
      </c>
      <c r="B29" s="140">
        <v>4163.8119999999999</v>
      </c>
      <c r="C29" s="140">
        <v>4746.6239999999998</v>
      </c>
      <c r="D29" s="140">
        <v>4514.3819999999996</v>
      </c>
      <c r="E29" s="140">
        <v>4074.0509999999999</v>
      </c>
      <c r="F29" s="140">
        <v>3622.8180000000002</v>
      </c>
      <c r="G29" s="140">
        <v>3234.7809999999999</v>
      </c>
      <c r="H29" s="140">
        <v>3488.8029999999999</v>
      </c>
      <c r="I29" s="140">
        <v>3853.8919999999998</v>
      </c>
      <c r="J29" s="140">
        <v>4090.9079999999999</v>
      </c>
      <c r="K29" s="140">
        <v>3789.3159999999998</v>
      </c>
      <c r="L29" s="140">
        <v>3294.8690000000001</v>
      </c>
      <c r="M29" s="140">
        <v>3896.663</v>
      </c>
      <c r="N29" s="141">
        <v>4327.1689999999999</v>
      </c>
      <c r="O29" s="132"/>
    </row>
    <row r="30" spans="1:15" ht="23.45" customHeight="1">
      <c r="A30" s="133" t="s">
        <v>11</v>
      </c>
      <c r="B30" s="134">
        <v>3.117</v>
      </c>
      <c r="C30" s="134">
        <v>1.6819999999999999</v>
      </c>
      <c r="D30" s="134">
        <v>5.6340000000000003</v>
      </c>
      <c r="E30" s="134">
        <v>8.7810000000000006</v>
      </c>
      <c r="F30" s="134">
        <v>5.5270000000000001</v>
      </c>
      <c r="G30" s="134">
        <v>3.5830000000000002</v>
      </c>
      <c r="H30" s="134">
        <v>4.9329999999999998</v>
      </c>
      <c r="I30" s="134">
        <v>6.3970000000000002</v>
      </c>
      <c r="J30" s="134">
        <v>0.755</v>
      </c>
      <c r="K30" s="134">
        <v>0.315</v>
      </c>
      <c r="L30" s="134">
        <v>0.215</v>
      </c>
      <c r="M30" s="134">
        <v>1.216</v>
      </c>
      <c r="N30" s="135">
        <v>3.923</v>
      </c>
      <c r="O30" s="132"/>
    </row>
    <row r="31" spans="1:15" ht="21.75" customHeight="1">
      <c r="A31" s="106" t="s">
        <v>61</v>
      </c>
    </row>
    <row r="32" spans="1:15">
      <c r="A32" s="106"/>
    </row>
    <row r="33" spans="2:14"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8" orientation="portrait" useFirstPageNumber="1" r:id="rId1"/>
  <headerFooter differentOddEven="1"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view="pageBreakPreview" topLeftCell="A16" zoomScaleNormal="100" zoomScaleSheetLayoutView="100" workbookViewId="0"/>
  </sheetViews>
  <sheetFormatPr defaultColWidth="9" defaultRowHeight="16.5"/>
  <cols>
    <col min="1" max="1" width="8.625" style="49" customWidth="1"/>
    <col min="2" max="14" width="6.125" style="49" customWidth="1"/>
    <col min="15" max="16" width="9" style="49"/>
    <col min="17" max="18" width="9" style="142"/>
    <col min="19" max="19" width="9.375" style="142" bestFit="1" customWidth="1"/>
    <col min="20" max="21" width="9.125" style="142" bestFit="1" customWidth="1"/>
    <col min="22" max="22" width="9" style="142"/>
    <col min="23" max="23" width="11.75" style="142" bestFit="1" customWidth="1"/>
    <col min="24" max="30" width="9.125" style="142" bestFit="1" customWidth="1"/>
    <col min="31" max="16384" width="9" style="142"/>
  </cols>
  <sheetData>
    <row r="1" spans="1:25" ht="38.25" customHeight="1"/>
    <row r="2" spans="1:25" ht="38.25" customHeight="1">
      <c r="A2" s="50" t="s">
        <v>62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5" ht="18" customHeight="1">
      <c r="A3" s="52" t="s">
        <v>63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5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64</v>
      </c>
    </row>
    <row r="5" spans="1:25" ht="26.2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25" ht="26.2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25" ht="26.2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25" ht="26.2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25" ht="26.2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25" ht="26.2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25" ht="26.2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5" ht="26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25" ht="26.2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25" ht="26.2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25" ht="26.2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25" ht="26.2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 spans="1:25" ht="26.2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 spans="1:25" ht="26.2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P18" s="142"/>
    </row>
    <row r="19" spans="1:25" ht="26.2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P19" s="142"/>
    </row>
    <row r="20" spans="1:25" ht="26.25" customHeight="1">
      <c r="A20" s="55" t="s">
        <v>9</v>
      </c>
      <c r="B20" s="144">
        <v>2021.12</v>
      </c>
      <c r="C20" s="144">
        <v>2022.01</v>
      </c>
      <c r="D20" s="144">
        <v>2022.02</v>
      </c>
      <c r="E20" s="144">
        <v>2022.03</v>
      </c>
      <c r="F20" s="144">
        <v>2022.04</v>
      </c>
      <c r="G20" s="144">
        <v>2022.05</v>
      </c>
      <c r="H20" s="144">
        <v>2022.06</v>
      </c>
      <c r="I20" s="144">
        <v>2022.07</v>
      </c>
      <c r="J20" s="144">
        <v>2022.08</v>
      </c>
      <c r="K20" s="144">
        <v>2022.09</v>
      </c>
      <c r="L20" s="144">
        <v>2022.1</v>
      </c>
      <c r="M20" s="144">
        <v>2022.11</v>
      </c>
      <c r="N20" s="145">
        <v>2022.12</v>
      </c>
      <c r="P20" s="142"/>
    </row>
    <row r="21" spans="1:25" ht="26.25" customHeight="1">
      <c r="A21" s="146" t="s">
        <v>71</v>
      </c>
      <c r="B21" s="147">
        <v>134158</v>
      </c>
      <c r="C21" s="147">
        <v>134020</v>
      </c>
      <c r="D21" s="147">
        <v>133069</v>
      </c>
      <c r="E21" s="147">
        <v>133561</v>
      </c>
      <c r="F21" s="147">
        <v>133680</v>
      </c>
      <c r="G21" s="147">
        <v>133917</v>
      </c>
      <c r="H21" s="147">
        <v>134092</v>
      </c>
      <c r="I21" s="147">
        <v>134239</v>
      </c>
      <c r="J21" s="147">
        <v>134417</v>
      </c>
      <c r="K21" s="147">
        <v>134719</v>
      </c>
      <c r="L21" s="147">
        <v>134768</v>
      </c>
      <c r="M21" s="147">
        <v>136268</v>
      </c>
      <c r="N21" s="148">
        <v>137938</v>
      </c>
      <c r="P21" s="142"/>
    </row>
    <row r="22" spans="1:25" ht="26.25" customHeight="1">
      <c r="A22" s="66" t="s">
        <v>74</v>
      </c>
      <c r="B22" s="149">
        <v>103554</v>
      </c>
      <c r="C22" s="149">
        <v>107631</v>
      </c>
      <c r="D22" s="149">
        <v>100103</v>
      </c>
      <c r="E22" s="149">
        <v>89033</v>
      </c>
      <c r="F22" s="149">
        <v>84457</v>
      </c>
      <c r="G22" s="149">
        <v>84474</v>
      </c>
      <c r="H22" s="149">
        <v>94364</v>
      </c>
      <c r="I22" s="149">
        <v>99716</v>
      </c>
      <c r="J22" s="149">
        <v>100691</v>
      </c>
      <c r="K22" s="149">
        <v>91923</v>
      </c>
      <c r="L22" s="149">
        <v>86098</v>
      </c>
      <c r="M22" s="149">
        <v>92682</v>
      </c>
      <c r="N22" s="150">
        <v>105628</v>
      </c>
      <c r="P22" s="142"/>
    </row>
    <row r="23" spans="1:25" ht="26.25" customHeight="1">
      <c r="A23" s="159" t="s">
        <v>76</v>
      </c>
      <c r="B23" s="160">
        <v>90708</v>
      </c>
      <c r="C23" s="160">
        <v>89397</v>
      </c>
      <c r="D23" s="160">
        <v>87351</v>
      </c>
      <c r="E23" s="160">
        <v>78233</v>
      </c>
      <c r="F23" s="160">
        <v>71879</v>
      </c>
      <c r="G23" s="160">
        <v>73134</v>
      </c>
      <c r="H23" s="160">
        <v>84739</v>
      </c>
      <c r="I23" s="160">
        <v>92990</v>
      </c>
      <c r="J23" s="160">
        <v>89263</v>
      </c>
      <c r="K23" s="160">
        <v>82122</v>
      </c>
      <c r="L23" s="160">
        <v>72544</v>
      </c>
      <c r="M23" s="160">
        <v>82117</v>
      </c>
      <c r="N23" s="161">
        <v>94509</v>
      </c>
      <c r="P23" s="142"/>
    </row>
    <row r="24" spans="1:25" ht="26.25" customHeight="1">
      <c r="A24" s="159" t="s">
        <v>77</v>
      </c>
      <c r="B24" s="160">
        <v>71738.721774193546</v>
      </c>
      <c r="C24" s="160">
        <v>73645.565860215051</v>
      </c>
      <c r="D24" s="160">
        <v>72154.020833333328</v>
      </c>
      <c r="E24" s="160">
        <v>66746.173387096773</v>
      </c>
      <c r="F24" s="160">
        <v>62303.985584305556</v>
      </c>
      <c r="G24" s="160">
        <v>62071.008475672046</v>
      </c>
      <c r="H24" s="160">
        <v>66092.862043194458</v>
      </c>
      <c r="I24" s="160">
        <v>73961.567575403227</v>
      </c>
      <c r="J24" s="160">
        <v>72532.206534543016</v>
      </c>
      <c r="K24" s="160">
        <v>64317.097170416659</v>
      </c>
      <c r="L24" s="162">
        <v>61479.884669086015</v>
      </c>
      <c r="M24" s="162">
        <v>64191.398167083331</v>
      </c>
      <c r="N24" s="163">
        <v>74688.122206528235</v>
      </c>
      <c r="P24" s="142"/>
    </row>
    <row r="25" spans="1:25" ht="26.25" customHeight="1">
      <c r="A25" s="159" t="s">
        <v>78</v>
      </c>
      <c r="B25" s="160">
        <v>12846</v>
      </c>
      <c r="C25" s="160">
        <v>18234</v>
      </c>
      <c r="D25" s="160">
        <v>12752</v>
      </c>
      <c r="E25" s="160">
        <v>10800</v>
      </c>
      <c r="F25" s="160">
        <v>12578</v>
      </c>
      <c r="G25" s="160">
        <v>11340</v>
      </c>
      <c r="H25" s="160">
        <v>9625</v>
      </c>
      <c r="I25" s="160">
        <v>6726</v>
      </c>
      <c r="J25" s="160">
        <v>11428</v>
      </c>
      <c r="K25" s="160">
        <v>9801</v>
      </c>
      <c r="L25" s="160">
        <v>13554</v>
      </c>
      <c r="M25" s="160">
        <v>10565</v>
      </c>
      <c r="N25" s="161">
        <v>11119</v>
      </c>
      <c r="P25" s="142"/>
    </row>
    <row r="26" spans="1:25" ht="26.25" customHeight="1">
      <c r="A26" s="67" t="s">
        <v>79</v>
      </c>
      <c r="B26" s="164">
        <v>14.161926180711735</v>
      </c>
      <c r="C26" s="164">
        <v>20.39665760595993</v>
      </c>
      <c r="D26" s="164">
        <v>14.59857357099518</v>
      </c>
      <c r="E26" s="164">
        <v>13.80491608400547</v>
      </c>
      <c r="F26" s="164">
        <v>17.498852237788505</v>
      </c>
      <c r="G26" s="164">
        <v>15.505783903519566</v>
      </c>
      <c r="H26" s="164">
        <v>11.358406400830786</v>
      </c>
      <c r="I26" s="164">
        <v>7.2330358103021828</v>
      </c>
      <c r="J26" s="164">
        <v>12.802616985761178</v>
      </c>
      <c r="K26" s="164">
        <v>11.934682545481113</v>
      </c>
      <c r="L26" s="164">
        <v>18.683833259814733</v>
      </c>
      <c r="M26" s="164">
        <v>12.865789057077098</v>
      </c>
      <c r="N26" s="165">
        <v>11.765017088319631</v>
      </c>
      <c r="P26" s="142"/>
    </row>
    <row r="27" spans="1:25" ht="26.25" customHeight="1">
      <c r="A27" s="166" t="s">
        <v>80</v>
      </c>
      <c r="B27" s="167">
        <v>53.528460090455724</v>
      </c>
      <c r="C27" s="167">
        <v>55.34370359699826</v>
      </c>
      <c r="D27" s="167">
        <v>54.023290305188411</v>
      </c>
      <c r="E27" s="167">
        <v>49.92982784135711</v>
      </c>
      <c r="F27" s="167">
        <v>46.524359510549004</v>
      </c>
      <c r="G27" s="167">
        <v>46.300904274470795</v>
      </c>
      <c r="H27" s="167">
        <v>49.236038277111902</v>
      </c>
      <c r="I27" s="167">
        <v>55.0756727319215</v>
      </c>
      <c r="J27" s="167">
        <v>53.849378859698476</v>
      </c>
      <c r="K27" s="167">
        <v>47.724282042264846</v>
      </c>
      <c r="L27" s="168">
        <v>45.195544476285839</v>
      </c>
      <c r="M27" s="168">
        <v>47.10668629738857</v>
      </c>
      <c r="N27" s="169">
        <v>54.114925397740222</v>
      </c>
      <c r="P27" s="142"/>
    </row>
    <row r="28" spans="1:25" ht="18" customHeight="1">
      <c r="A28" s="106" t="s">
        <v>81</v>
      </c>
    </row>
    <row r="29" spans="1:25">
      <c r="A29" s="106"/>
    </row>
  </sheetData>
  <phoneticPr fontId="3" type="noConversion"/>
  <printOptions horizontalCentered="1"/>
  <pageMargins left="0.78740157480314965" right="0.78740157480314965" top="1.1811023622047245" bottom="0.78740157480314965" header="0" footer="0"/>
  <pageSetup paperSize="9" scale="85" firstPageNumber="9" orientation="portrait" useFirstPageNumber="1" r:id="rId1"/>
  <headerFooter differentOddEven="1"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59</vt:i4>
      </vt:variant>
      <vt:variant>
        <vt:lpstr>이름이 지정된 범위</vt:lpstr>
      </vt:variant>
      <vt:variant>
        <vt:i4>50</vt:i4>
      </vt:variant>
    </vt:vector>
  </HeadingPairs>
  <TitlesOfParts>
    <vt:vector size="109" baseType="lpstr">
      <vt:lpstr>Ⅰ.통계도표(1P)</vt:lpstr>
      <vt:lpstr>공란 2페이지</vt:lpstr>
      <vt:lpstr>1-1 발전설비추이(발전원별)_3P</vt:lpstr>
      <vt:lpstr>1-2 발전설비추이(에너지원별)</vt:lpstr>
      <vt:lpstr>1-3 발전전력량 추이(발전원별)</vt:lpstr>
      <vt:lpstr>1-4 발전전력량 추이(에너지원별)</vt:lpstr>
      <vt:lpstr>1-5 판매전력량 추이(계약종별)</vt:lpstr>
      <vt:lpstr>1-6 판매전력량 추이(용도별)</vt:lpstr>
      <vt:lpstr>1-7 전력수급추이</vt:lpstr>
      <vt:lpstr>1-8 월간실적요약</vt:lpstr>
      <vt:lpstr>Ⅱ.발전설비 용량(11p)</vt:lpstr>
      <vt:lpstr>2. 발전설비용량(발전원별) </vt:lpstr>
      <vt:lpstr>2-1. 발전설비용량(발전원별에너지원별)</vt:lpstr>
      <vt:lpstr>2-2. 발전설비용량(발전소별)</vt:lpstr>
      <vt:lpstr>3. 발전설비용량(발전회사별발전원별)</vt:lpstr>
      <vt:lpstr>3-1. 발전설비용량(한전 및 발전자회사 상세) </vt:lpstr>
      <vt:lpstr>4. 발전설비용량(에너지원별) </vt:lpstr>
      <vt:lpstr>5. 발전설비현황(행정구역별) </vt:lpstr>
      <vt:lpstr>6. 발전소 건설현황</vt:lpstr>
      <vt:lpstr>Ⅲ.발전전력량(27p)</vt:lpstr>
      <vt:lpstr>7. 발전전력량(발전원별)</vt:lpstr>
      <vt:lpstr>7-1. 발전전력량(발전원별에너지원별)</vt:lpstr>
      <vt:lpstr>7-2. 발전전력량(발전소별)</vt:lpstr>
      <vt:lpstr>8. 발전전력량(발전회사별발전원별)</vt:lpstr>
      <vt:lpstr>9. 발전전력량(에너지원별)</vt:lpstr>
      <vt:lpstr>9-1. 신재생발전설비발전량(행정구역)</vt:lpstr>
      <vt:lpstr>10. 발전전력량(행정구역)</vt:lpstr>
      <vt:lpstr>10-1. 발전전력량(행정구역_누계)</vt:lpstr>
      <vt:lpstr>11. 연료사용량(발전원(소)별에너지원별)</vt:lpstr>
      <vt:lpstr>11-1. 연료사용량(에너지원별)</vt:lpstr>
      <vt:lpstr>Ⅳ.전력구입량(47p)</vt:lpstr>
      <vt:lpstr>12.전력거래실적 종합</vt:lpstr>
      <vt:lpstr>13.전력거래실적(발전원별)  </vt:lpstr>
      <vt:lpstr>14. 전력거래실적(발전회사별)</vt:lpstr>
      <vt:lpstr>15.전력거래실적 (가격&amp;단가)</vt:lpstr>
      <vt:lpstr>16.전력거래실적(PPA)</vt:lpstr>
      <vt:lpstr>16-1.태양광 발전량 추계정보</vt:lpstr>
      <vt:lpstr>공란 페이지(58p)</vt:lpstr>
      <vt:lpstr>Ⅳ.전력판매량(59p)</vt:lpstr>
      <vt:lpstr>17.전력판매실적 종합</vt:lpstr>
      <vt:lpstr>18.계약종별 판매전력량</vt:lpstr>
      <vt:lpstr>18-1.계약종별 수용호수</vt:lpstr>
      <vt:lpstr>18-2.계약종별 판매수입</vt:lpstr>
      <vt:lpstr>19.용도별 판매전력량</vt:lpstr>
      <vt:lpstr>19-1.용도별 수용호수</vt:lpstr>
      <vt:lpstr>19-2.용도별 판매수입</vt:lpstr>
      <vt:lpstr>20.행정구역별 판매전력량</vt:lpstr>
      <vt:lpstr>20-1.행정구역별 수용호수</vt:lpstr>
      <vt:lpstr>20-2.행정구역별 판매수입</vt:lpstr>
      <vt:lpstr>20-3.행정구역별 계약종별 판매전력량</vt:lpstr>
      <vt:lpstr>21.산업분류별 판매전력량</vt:lpstr>
      <vt:lpstr>21-1.산업분류별 행정구역별 판매전력량</vt:lpstr>
      <vt:lpstr>21-2.산업분류별 행정구역별 판매전력량(누계)</vt:lpstr>
      <vt:lpstr>공란 페이지(88p)</vt:lpstr>
      <vt:lpstr>Ⅵ.기타(89p)</vt:lpstr>
      <vt:lpstr>22.전력수급실적(월별)</vt:lpstr>
      <vt:lpstr>22-1.전력수급실적(일별)</vt:lpstr>
      <vt:lpstr>23.인원(회사별)  </vt:lpstr>
      <vt:lpstr>공란 페이지(94p)</vt:lpstr>
      <vt:lpstr>'10. 발전전력량(행정구역)'!Print_Area</vt:lpstr>
      <vt:lpstr>'10-1. 발전전력량(행정구역_누계)'!Print_Area</vt:lpstr>
      <vt:lpstr>'1-1 발전설비추이(발전원별)_3P'!Print_Area</vt:lpstr>
      <vt:lpstr>'11. 연료사용량(발전원(소)별에너지원별)'!Print_Area</vt:lpstr>
      <vt:lpstr>'11-1. 연료사용량(에너지원별)'!Print_Area</vt:lpstr>
      <vt:lpstr>'1-2 발전설비추이(에너지원별)'!Print_Area</vt:lpstr>
      <vt:lpstr>'12.전력거래실적 종합'!Print_Area</vt:lpstr>
      <vt:lpstr>'1-3 발전전력량 추이(발전원별)'!Print_Area</vt:lpstr>
      <vt:lpstr>'13.전력거래실적(발전원별)  '!Print_Area</vt:lpstr>
      <vt:lpstr>'1-4 발전전력량 추이(에너지원별)'!Print_Area</vt:lpstr>
      <vt:lpstr>'14. 전력거래실적(발전회사별)'!Print_Area</vt:lpstr>
      <vt:lpstr>'1-5 판매전력량 추이(계약종별)'!Print_Area</vt:lpstr>
      <vt:lpstr>'15.전력거래실적 (가격&amp;단가)'!Print_Area</vt:lpstr>
      <vt:lpstr>'1-6 판매전력량 추이(용도별)'!Print_Area</vt:lpstr>
      <vt:lpstr>'16.전력거래실적(PPA)'!Print_Area</vt:lpstr>
      <vt:lpstr>'16-1.태양광 발전량 추계정보'!Print_Area</vt:lpstr>
      <vt:lpstr>'1-7 전력수급추이'!Print_Area</vt:lpstr>
      <vt:lpstr>'17.전력판매실적 종합'!Print_Area</vt:lpstr>
      <vt:lpstr>'1-8 월간실적요약'!Print_Area</vt:lpstr>
      <vt:lpstr>'18.계약종별 판매전력량'!Print_Area</vt:lpstr>
      <vt:lpstr>'18-1.계약종별 수용호수'!Print_Area</vt:lpstr>
      <vt:lpstr>'19.용도별 판매전력량'!Print_Area</vt:lpstr>
      <vt:lpstr>'19-1.용도별 수용호수'!Print_Area</vt:lpstr>
      <vt:lpstr>'19-2.용도별 판매수입'!Print_Area</vt:lpstr>
      <vt:lpstr>'2. 발전설비용량(발전원별) '!Print_Area</vt:lpstr>
      <vt:lpstr>'20.행정구역별 판매전력량'!Print_Area</vt:lpstr>
      <vt:lpstr>'20-1.행정구역별 수용호수'!Print_Area</vt:lpstr>
      <vt:lpstr>'20-2.행정구역별 판매수입'!Print_Area</vt:lpstr>
      <vt:lpstr>'20-3.행정구역별 계약종별 판매전력량'!Print_Area</vt:lpstr>
      <vt:lpstr>'2-1. 발전설비용량(발전원별에너지원별)'!Print_Area</vt:lpstr>
      <vt:lpstr>'21.산업분류별 판매전력량'!Print_Area</vt:lpstr>
      <vt:lpstr>'21-1.산업분류별 행정구역별 판매전력량'!Print_Area</vt:lpstr>
      <vt:lpstr>'21-2.산업분류별 행정구역별 판매전력량(누계)'!Print_Area</vt:lpstr>
      <vt:lpstr>'2-2. 발전설비용량(발전소별)'!Print_Area</vt:lpstr>
      <vt:lpstr>'22.전력수급실적(월별)'!Print_Area</vt:lpstr>
      <vt:lpstr>'22-1.전력수급실적(일별)'!Print_Area</vt:lpstr>
      <vt:lpstr>'23.인원(회사별)  '!Print_Area</vt:lpstr>
      <vt:lpstr>'3. 발전설비용량(발전회사별발전원별)'!Print_Area</vt:lpstr>
      <vt:lpstr>'3-1. 발전설비용량(한전 및 발전자회사 상세) '!Print_Area</vt:lpstr>
      <vt:lpstr>'5. 발전설비현황(행정구역별) '!Print_Area</vt:lpstr>
      <vt:lpstr>'6. 발전소 건설현황'!Print_Area</vt:lpstr>
      <vt:lpstr>'7. 발전전력량(발전원별)'!Print_Area</vt:lpstr>
      <vt:lpstr>'7-1. 발전전력량(발전원별에너지원별)'!Print_Area</vt:lpstr>
      <vt:lpstr>'7-2. 발전전력량(발전소별)'!Print_Area</vt:lpstr>
      <vt:lpstr>'8. 발전전력량(발전회사별발전원별)'!Print_Area</vt:lpstr>
      <vt:lpstr>'9. 발전전력량(에너지원별)'!Print_Area</vt:lpstr>
      <vt:lpstr>'9-1. 신재생발전설비발전량(행정구역)'!Print_Area</vt:lpstr>
      <vt:lpstr>'Ⅰ.통계도표(1P)'!Print_Area</vt:lpstr>
      <vt:lpstr>'Ⅳ.전력구입량(47p)'!Print_Area</vt:lpstr>
      <vt:lpstr>'공란 2페이지'!Print_Area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KEPCO</dc:creator>
  <cp:lastModifiedBy>KEPCO</cp:lastModifiedBy>
  <cp:lastPrinted>2023-02-06T04:36:26Z</cp:lastPrinted>
  <dcterms:created xsi:type="dcterms:W3CDTF">2023-02-06T04:02:50Z</dcterms:created>
  <dcterms:modified xsi:type="dcterms:W3CDTF">2023-02-08T05:58:21Z</dcterms:modified>
</cp:coreProperties>
</file>