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_qx6\Desktop\"/>
    </mc:Choice>
  </mc:AlternateContent>
  <xr:revisionPtr revIDLastSave="0" documentId="8_{7E54AD4F-752D-43A9-8CFC-8A3FFAFC4852}" xr6:coauthVersionLast="44" xr6:coauthVersionMax="44" xr10:uidLastSave="{00000000-0000-0000-0000-000000000000}"/>
  <bookViews>
    <workbookView xWindow="-108" yWindow="-108" windowWidth="23256" windowHeight="12576" firstSheet="1" activeTab="2" xr2:uid="{022C9AF0-FC33-4ED8-B467-A25BD893CD3C}"/>
  </bookViews>
  <sheets>
    <sheet name="goodness_of_fit" sheetId="1" r:id="rId1"/>
    <sheet name="correlation" sheetId="2" r:id="rId2"/>
    <sheet name="simple_linear" sheetId="3" r:id="rId3"/>
    <sheet name="AR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4" l="1"/>
  <c r="P3" i="4"/>
  <c r="P4" i="4"/>
  <c r="P2" i="4"/>
  <c r="P1" i="4"/>
  <c r="L5" i="4"/>
  <c r="L4" i="4"/>
  <c r="K12" i="3"/>
  <c r="B6" i="4" l="1"/>
  <c r="D6" i="4"/>
  <c r="D5" i="4"/>
  <c r="D4" i="4"/>
  <c r="H4" i="4" s="1"/>
  <c r="B5" i="4"/>
  <c r="B4" i="4"/>
  <c r="P7" i="4"/>
  <c r="Q1" i="4"/>
  <c r="D29" i="4"/>
  <c r="G12" i="4"/>
  <c r="C11" i="4"/>
  <c r="C10" i="4"/>
  <c r="C9" i="4"/>
  <c r="B25" i="3"/>
  <c r="D26" i="3"/>
  <c r="B26" i="3" s="1"/>
  <c r="B24" i="3"/>
  <c r="B23" i="3"/>
  <c r="B22" i="3"/>
  <c r="K6" i="3"/>
  <c r="G9" i="3"/>
  <c r="B21" i="3"/>
  <c r="B20" i="3"/>
  <c r="B19" i="3"/>
  <c r="B18" i="3"/>
  <c r="B17" i="3"/>
  <c r="H12" i="3"/>
  <c r="H11" i="3"/>
  <c r="K11" i="3" s="1"/>
  <c r="C8" i="3"/>
  <c r="C7" i="3"/>
  <c r="C6" i="3"/>
  <c r="H1" i="3"/>
  <c r="H2" i="3" s="1"/>
  <c r="B8" i="3" s="1"/>
  <c r="F1" i="3"/>
  <c r="F3" i="2"/>
  <c r="F2" i="2"/>
  <c r="H1" i="2"/>
  <c r="H2" i="2" s="1"/>
  <c r="F1" i="2"/>
  <c r="I5" i="1"/>
  <c r="F22" i="1"/>
  <c r="G22" i="1" s="1"/>
  <c r="H22" i="1" s="1"/>
  <c r="E11" i="1"/>
  <c r="F11" i="1" s="1"/>
  <c r="G11" i="1" s="1"/>
  <c r="H11" i="1" s="1"/>
  <c r="E12" i="1"/>
  <c r="F12" i="1" s="1"/>
  <c r="G12" i="1" s="1"/>
  <c r="H12" i="1" s="1"/>
  <c r="E13" i="1"/>
  <c r="F13" i="1" s="1"/>
  <c r="G13" i="1" s="1"/>
  <c r="H13" i="1" s="1"/>
  <c r="E14" i="1"/>
  <c r="F14" i="1" s="1"/>
  <c r="G14" i="1" s="1"/>
  <c r="H14" i="1" s="1"/>
  <c r="E15" i="1"/>
  <c r="F15" i="1" s="1"/>
  <c r="G15" i="1" s="1"/>
  <c r="H15" i="1" s="1"/>
  <c r="E16" i="1"/>
  <c r="F16" i="1" s="1"/>
  <c r="G16" i="1" s="1"/>
  <c r="H16" i="1" s="1"/>
  <c r="E17" i="1"/>
  <c r="F17" i="1" s="1"/>
  <c r="G17" i="1" s="1"/>
  <c r="H17" i="1" s="1"/>
  <c r="E18" i="1"/>
  <c r="F18" i="1" s="1"/>
  <c r="G18" i="1" s="1"/>
  <c r="H18" i="1" s="1"/>
  <c r="E19" i="1"/>
  <c r="F19" i="1" s="1"/>
  <c r="G19" i="1" s="1"/>
  <c r="H19" i="1" s="1"/>
  <c r="E20" i="1"/>
  <c r="F20" i="1" s="1"/>
  <c r="G20" i="1" s="1"/>
  <c r="H20" i="1" s="1"/>
  <c r="E21" i="1"/>
  <c r="F21" i="1" s="1"/>
  <c r="G21" i="1" s="1"/>
  <c r="H21" i="1" s="1"/>
  <c r="E22" i="1"/>
  <c r="E23" i="1"/>
  <c r="F23" i="1" s="1"/>
  <c r="G23" i="1" s="1"/>
  <c r="H23" i="1" s="1"/>
  <c r="E24" i="1"/>
  <c r="F24" i="1" s="1"/>
  <c r="G24" i="1" s="1"/>
  <c r="H24" i="1" s="1"/>
  <c r="E25" i="1"/>
  <c r="F25" i="1" s="1"/>
  <c r="G25" i="1" s="1"/>
  <c r="H25" i="1" s="1"/>
  <c r="E26" i="1"/>
  <c r="F26" i="1" s="1"/>
  <c r="G26" i="1" s="1"/>
  <c r="H26" i="1" s="1"/>
  <c r="E10" i="1"/>
  <c r="F10" i="1" s="1"/>
  <c r="G10" i="1" s="1"/>
  <c r="H10" i="1" s="1"/>
  <c r="E9" i="1"/>
  <c r="F9" i="1" s="1"/>
  <c r="G9" i="1" s="1"/>
  <c r="H9" i="1" s="1"/>
  <c r="E8" i="1"/>
  <c r="F8" i="1" s="1"/>
  <c r="G8" i="1" s="1"/>
  <c r="H8" i="1" s="1"/>
  <c r="E7" i="1"/>
  <c r="F7" i="1" s="1"/>
  <c r="G7" i="1" s="1"/>
  <c r="H7" i="1" s="1"/>
  <c r="E6" i="1"/>
  <c r="F6" i="1" s="1"/>
  <c r="G6" i="1" s="1"/>
  <c r="H6" i="1" s="1"/>
  <c r="E5" i="1"/>
  <c r="F5" i="1" s="1"/>
  <c r="G5" i="1" s="1"/>
  <c r="H5" i="1" s="1"/>
  <c r="F4" i="4" l="1"/>
  <c r="F6" i="4" s="1"/>
  <c r="H5" i="4"/>
  <c r="B11" i="4" s="1"/>
  <c r="B24" i="4" s="1"/>
  <c r="F3" i="3"/>
  <c r="F2" i="3"/>
  <c r="F5" i="2"/>
  <c r="F6" i="2" s="1"/>
  <c r="F5" i="4" l="1"/>
  <c r="B20" i="4" s="1"/>
  <c r="B21" i="4"/>
  <c r="B6" i="3"/>
  <c r="D6" i="3" s="1"/>
  <c r="B7" i="3"/>
  <c r="D7" i="3" s="1"/>
  <c r="H7" i="3" s="1"/>
  <c r="J7" i="3" s="1"/>
  <c r="B12" i="3"/>
  <c r="B9" i="4" l="1"/>
  <c r="H9" i="4" s="1"/>
  <c r="J9" i="4" s="1"/>
  <c r="B27" i="4" s="1"/>
  <c r="B15" i="4"/>
  <c r="B14" i="4" s="1"/>
  <c r="B16" i="4" s="1"/>
  <c r="H6" i="3"/>
  <c r="J6" i="3" s="1"/>
  <c r="E6" i="3"/>
  <c r="B11" i="3"/>
  <c r="C13" i="3"/>
  <c r="C11" i="3"/>
  <c r="C12" i="3"/>
  <c r="B26" i="4" l="1"/>
  <c r="B22" i="4"/>
  <c r="D9" i="4"/>
  <c r="F20" i="4"/>
  <c r="F21" i="4" s="1"/>
  <c r="B29" i="4"/>
  <c r="B28" i="4"/>
  <c r="B10" i="4"/>
  <c r="B23" i="4" s="1"/>
  <c r="F12" i="3"/>
  <c r="E12" i="3"/>
  <c r="E11" i="3"/>
  <c r="B13" i="3"/>
  <c r="H13" i="3" s="1"/>
  <c r="K13" i="3" s="1"/>
  <c r="F11" i="3"/>
  <c r="D10" i="4" l="1"/>
  <c r="H10" i="4" s="1"/>
  <c r="J10" i="4" s="1"/>
  <c r="C16" i="4" s="1"/>
  <c r="B25" i="4"/>
  <c r="F13" i="3"/>
  <c r="E13" i="3"/>
  <c r="E9" i="4" l="1"/>
  <c r="K9" i="4" s="1"/>
  <c r="C14" i="4"/>
  <c r="H14" i="4" s="1"/>
  <c r="K14" i="4" s="1"/>
  <c r="C15" i="4"/>
  <c r="F15" i="4" s="1"/>
  <c r="F16" i="4"/>
  <c r="E16" i="4"/>
  <c r="H16" i="4"/>
  <c r="K16" i="4" s="1"/>
  <c r="H15" i="4" l="1"/>
  <c r="K15" i="4" s="1"/>
  <c r="E14" i="4"/>
  <c r="E15" i="4"/>
  <c r="F14" i="4"/>
</calcChain>
</file>

<file path=xl/sharedStrings.xml><?xml version="1.0" encoding="utf-8"?>
<sst xmlns="http://schemas.openxmlformats.org/spreadsheetml/2006/main" count="151" uniqueCount="94">
  <si>
    <t>Q - E</t>
  </si>
  <si>
    <t>group</t>
  </si>
  <si>
    <t>Observed</t>
  </si>
  <si>
    <t>Expected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</si>
  <si>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</si>
  <si>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</si>
  <si>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</si>
  <si>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</si>
  <si>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</si>
  <si>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</si>
  <si>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</si>
  <si>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</si>
  <si>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</si>
  <si>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</si>
  <si>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</si>
  <si>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</si>
  <si>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</si>
  <si>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</si>
  <si>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</si>
  <si>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</si>
  <si>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</si>
  <si>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</si>
  <si>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</si>
  <si>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</si>
  <si>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</si>
  <si>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</si>
  <si>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N</t>
  </si>
  <si>
    <t>p</t>
  </si>
  <si>
    <t>(Q - E) ^2</t>
  </si>
  <si>
    <t>(Q - E) ^ 2 / E</t>
  </si>
  <si>
    <t>T</t>
  </si>
  <si>
    <t>Sum of X</t>
  </si>
  <si>
    <t>Sum of y</t>
  </si>
  <si>
    <t>SS of X</t>
  </si>
  <si>
    <t>SS of y</t>
  </si>
  <si>
    <t>Sum of x y</t>
  </si>
  <si>
    <t>n</t>
  </si>
  <si>
    <t>SSx</t>
  </si>
  <si>
    <t>SSy</t>
  </si>
  <si>
    <t>Ssxy</t>
  </si>
  <si>
    <t>mean X</t>
  </si>
  <si>
    <t>mean Y</t>
  </si>
  <si>
    <t xml:space="preserve">r </t>
  </si>
  <si>
    <t xml:space="preserve">Test Stat </t>
  </si>
  <si>
    <t>Model</t>
  </si>
  <si>
    <t>Source</t>
  </si>
  <si>
    <t>SQ</t>
  </si>
  <si>
    <t>DF</t>
  </si>
  <si>
    <t>MS</t>
  </si>
  <si>
    <t>F-ratio</t>
  </si>
  <si>
    <t>Residual</t>
  </si>
  <si>
    <t>Total</t>
  </si>
  <si>
    <t xml:space="preserve">R^2 </t>
  </si>
  <si>
    <t>S^2</t>
  </si>
  <si>
    <t>S</t>
  </si>
  <si>
    <t>r</t>
  </si>
  <si>
    <t>b0</t>
  </si>
  <si>
    <t>b1</t>
  </si>
  <si>
    <t>Y1</t>
  </si>
  <si>
    <t>Point Estimate</t>
  </si>
  <si>
    <t>SD</t>
  </si>
  <si>
    <t>x0</t>
  </si>
  <si>
    <t>interval test</t>
  </si>
  <si>
    <t>T-value</t>
  </si>
  <si>
    <t>Hypothesis Testing</t>
  </si>
  <si>
    <t>H0</t>
  </si>
  <si>
    <t>Var(x)</t>
  </si>
  <si>
    <t>Var(y)</t>
  </si>
  <si>
    <t>sum sqaure model</t>
  </si>
  <si>
    <t>sum sqaure error</t>
  </si>
  <si>
    <t>sum sqaure total</t>
  </si>
  <si>
    <t>P-value</t>
  </si>
  <si>
    <t>P-value for F-ratio</t>
  </si>
  <si>
    <t>r (sample cofficient of correlation</t>
  </si>
  <si>
    <t>R^2(sample coefficient of determ</t>
  </si>
  <si>
    <t>S^2(the variation of the model)</t>
  </si>
  <si>
    <t>y = b0 + b1*x0 (predicted Y given x)</t>
  </si>
  <si>
    <t>x = (y - bo)/b1(predicted x given y</t>
  </si>
  <si>
    <t>y0</t>
  </si>
  <si>
    <t>yi</t>
  </si>
  <si>
    <t xml:space="preserve">xi </t>
  </si>
  <si>
    <t>sum yi</t>
  </si>
  <si>
    <t>sum xi</t>
  </si>
  <si>
    <t>ss of yi</t>
  </si>
  <si>
    <t>ss of xi</t>
  </si>
  <si>
    <t>ss of xy</t>
  </si>
  <si>
    <t>ss of yi yi-1</t>
  </si>
  <si>
    <t>yt-1</t>
  </si>
  <si>
    <t>yn</t>
  </si>
  <si>
    <t>y1</t>
  </si>
  <si>
    <t>yn+1</t>
  </si>
  <si>
    <t>yn+2</t>
  </si>
  <si>
    <t>T-value(0.05)</t>
  </si>
  <si>
    <t>SSxy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</si>
</sst>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B5FD-776E-4637-88CD-C9675A863A7E}">
  <dimension ref="A4:I26"/>
  <sheetViews>
    <sheetView workbookViewId="0">
      <selection activeCell="J25" sqref="J25"/>
    </sheetView>
  </sheetViews>
  <sheetFormatPr defaultRowHeight="14.4" x14ac:dyDescent="0.3"/>
  <cols>
    <col min="1" max="1" width="14.21875" customWidth="1"/>
    <col min="8" max="8" width="11.88671875" customWidth="1"/>
  </cols>
  <sheetData>
    <row r="4" spans="1:9" x14ac:dyDescent="0.3">
      <c r="A4" s="2" t="s">
        <v>26</v>
      </c>
      <c r="B4" s="2" t="s">
        <v>27</v>
      </c>
      <c r="C4" t="s">
        <v>1</v>
      </c>
      <c r="D4" t="s">
        <v>2</v>
      </c>
      <c r="E4" t="s">
        <v>3</v>
      </c>
      <c r="F4" s="2" t="s">
        <v>0</v>
      </c>
      <c r="G4" t="s">
        <v>28</v>
      </c>
      <c r="H4" t="s">
        <v>29</v>
      </c>
      <c r="I4" t="s">
        <v>30</v>
      </c>
    </row>
    <row r="5" spans="1:9" x14ac:dyDescent="0.3">
      <c r="A5">
        <v>224</v>
      </c>
      <c r="B5" s="1">
        <v>0.25</v>
      </c>
      <c r="C5" t="s">
        <v>4</v>
      </c>
      <c r="D5">
        <v>42</v>
      </c>
      <c r="E5">
        <f t="shared" ref="E5:E10" si="0">A5*B5</f>
        <v>56</v>
      </c>
      <c r="F5">
        <f>D5-E5</f>
        <v>-14</v>
      </c>
      <c r="G5">
        <f>F5^2</f>
        <v>196</v>
      </c>
      <c r="H5">
        <f>G5/E5</f>
        <v>3.5</v>
      </c>
      <c r="I5">
        <f>SUM(H5:H8)</f>
        <v>6.2499999999999991</v>
      </c>
    </row>
    <row r="6" spans="1:9" ht="16.8" customHeight="1" x14ac:dyDescent="0.3">
      <c r="A6">
        <v>224</v>
      </c>
      <c r="B6" s="1">
        <v>0.25</v>
      </c>
      <c r="C6" t="s">
        <v>5</v>
      </c>
      <c r="D6">
        <v>64</v>
      </c>
      <c r="E6">
        <f t="shared" si="0"/>
        <v>56</v>
      </c>
      <c r="F6">
        <f t="shared" ref="F6:F26" si="1">D6-E6</f>
        <v>8</v>
      </c>
      <c r="G6">
        <f t="shared" ref="G6:G26" si="2">F6^2</f>
        <v>64</v>
      </c>
      <c r="H6">
        <f t="shared" ref="H6:H26" si="3">G6/E6</f>
        <v>1.1428571428571428</v>
      </c>
    </row>
    <row r="7" spans="1:9" x14ac:dyDescent="0.3">
      <c r="A7">
        <v>224</v>
      </c>
      <c r="B7" s="1">
        <v>0.25</v>
      </c>
      <c r="C7" t="s">
        <v>6</v>
      </c>
      <c r="D7">
        <v>53</v>
      </c>
      <c r="E7">
        <f t="shared" si="0"/>
        <v>56</v>
      </c>
      <c r="F7">
        <f t="shared" si="1"/>
        <v>-3</v>
      </c>
      <c r="G7">
        <f t="shared" si="2"/>
        <v>9</v>
      </c>
      <c r="H7">
        <f t="shared" si="3"/>
        <v>0.16071428571428573</v>
      </c>
    </row>
    <row r="8" spans="1:9" x14ac:dyDescent="0.3">
      <c r="A8">
        <v>224</v>
      </c>
      <c r="B8" s="1">
        <v>0.25</v>
      </c>
      <c r="C8" t="s">
        <v>7</v>
      </c>
      <c r="D8">
        <v>65</v>
      </c>
      <c r="E8">
        <f t="shared" si="0"/>
        <v>56</v>
      </c>
      <c r="F8">
        <f t="shared" si="1"/>
        <v>9</v>
      </c>
      <c r="G8">
        <f t="shared" si="2"/>
        <v>81</v>
      </c>
      <c r="H8">
        <f t="shared" si="3"/>
        <v>1.4464285714285714</v>
      </c>
    </row>
    <row r="9" spans="1:9" x14ac:dyDescent="0.3">
      <c r="A9">
        <v>224</v>
      </c>
      <c r="B9" s="1">
        <v>0.25</v>
      </c>
      <c r="C9" t="s">
        <v>8</v>
      </c>
      <c r="D9">
        <v>0</v>
      </c>
      <c r="E9">
        <f t="shared" si="0"/>
        <v>56</v>
      </c>
      <c r="F9">
        <f t="shared" si="1"/>
        <v>-56</v>
      </c>
      <c r="G9">
        <f t="shared" si="2"/>
        <v>3136</v>
      </c>
      <c r="H9">
        <f t="shared" si="3"/>
        <v>56</v>
      </c>
    </row>
    <row r="10" spans="1:9" x14ac:dyDescent="0.3">
      <c r="A10">
        <v>224</v>
      </c>
      <c r="B10" s="1">
        <v>0.25</v>
      </c>
      <c r="C10" t="s">
        <v>9</v>
      </c>
      <c r="D10">
        <v>0</v>
      </c>
      <c r="E10">
        <f t="shared" si="0"/>
        <v>56</v>
      </c>
      <c r="F10">
        <f t="shared" si="1"/>
        <v>-56</v>
      </c>
      <c r="G10">
        <f t="shared" si="2"/>
        <v>3136</v>
      </c>
      <c r="H10">
        <f t="shared" si="3"/>
        <v>56</v>
      </c>
    </row>
    <row r="11" spans="1:9" x14ac:dyDescent="0.3">
      <c r="A11">
        <v>224</v>
      </c>
      <c r="B11" s="1"/>
      <c r="C11" t="s">
        <v>10</v>
      </c>
      <c r="E11">
        <f t="shared" ref="E11:E26" si="4">A11*B11</f>
        <v>0</v>
      </c>
      <c r="F11">
        <f t="shared" si="1"/>
        <v>0</v>
      </c>
      <c r="G11">
        <f t="shared" si="2"/>
        <v>0</v>
      </c>
      <c r="H11" t="e">
        <f>G11/E11</f>
        <v>#DIV/0!</v>
      </c>
    </row>
    <row r="12" spans="1:9" x14ac:dyDescent="0.3">
      <c r="A12">
        <v>224</v>
      </c>
      <c r="B12" s="1"/>
      <c r="C12" t="s">
        <v>11</v>
      </c>
      <c r="E12">
        <f t="shared" si="4"/>
        <v>0</v>
      </c>
      <c r="F12">
        <f t="shared" si="1"/>
        <v>0</v>
      </c>
      <c r="G12">
        <f t="shared" si="2"/>
        <v>0</v>
      </c>
      <c r="H12" t="e">
        <f t="shared" si="3"/>
        <v>#DIV/0!</v>
      </c>
    </row>
    <row r="13" spans="1:9" x14ac:dyDescent="0.3">
      <c r="A13">
        <v>224</v>
      </c>
      <c r="B13" s="1"/>
      <c r="C13" t="s">
        <v>12</v>
      </c>
      <c r="E13">
        <f t="shared" si="4"/>
        <v>0</v>
      </c>
      <c r="F13">
        <f t="shared" si="1"/>
        <v>0</v>
      </c>
      <c r="G13">
        <f t="shared" si="2"/>
        <v>0</v>
      </c>
      <c r="H13" t="e">
        <f t="shared" si="3"/>
        <v>#DIV/0!</v>
      </c>
    </row>
    <row r="14" spans="1:9" x14ac:dyDescent="0.3">
      <c r="A14">
        <v>224</v>
      </c>
      <c r="B14" s="1"/>
      <c r="C14" t="s">
        <v>13</v>
      </c>
      <c r="E14">
        <f t="shared" si="4"/>
        <v>0</v>
      </c>
      <c r="F14">
        <f t="shared" si="1"/>
        <v>0</v>
      </c>
      <c r="G14">
        <f t="shared" si="2"/>
        <v>0</v>
      </c>
      <c r="H14" t="e">
        <f t="shared" si="3"/>
        <v>#DIV/0!</v>
      </c>
    </row>
    <row r="15" spans="1:9" x14ac:dyDescent="0.3">
      <c r="A15">
        <v>224</v>
      </c>
      <c r="B15" s="1"/>
      <c r="C15" t="s">
        <v>14</v>
      </c>
      <c r="E15">
        <f t="shared" si="4"/>
        <v>0</v>
      </c>
      <c r="F15">
        <f t="shared" si="1"/>
        <v>0</v>
      </c>
      <c r="G15">
        <f t="shared" si="2"/>
        <v>0</v>
      </c>
      <c r="H15" t="e">
        <f t="shared" si="3"/>
        <v>#DIV/0!</v>
      </c>
    </row>
    <row r="16" spans="1:9" x14ac:dyDescent="0.3">
      <c r="A16">
        <v>224</v>
      </c>
      <c r="B16" s="1"/>
      <c r="C16" t="s">
        <v>15</v>
      </c>
      <c r="E16">
        <f t="shared" si="4"/>
        <v>0</v>
      </c>
      <c r="F16">
        <f t="shared" si="1"/>
        <v>0</v>
      </c>
      <c r="G16">
        <f t="shared" si="2"/>
        <v>0</v>
      </c>
      <c r="H16" t="e">
        <f t="shared" si="3"/>
        <v>#DIV/0!</v>
      </c>
    </row>
    <row r="17" spans="1:8" x14ac:dyDescent="0.3">
      <c r="A17">
        <v>224</v>
      </c>
      <c r="B17" s="1"/>
      <c r="C17" t="s">
        <v>16</v>
      </c>
      <c r="E17">
        <f t="shared" si="4"/>
        <v>0</v>
      </c>
      <c r="F17">
        <f t="shared" si="1"/>
        <v>0</v>
      </c>
      <c r="G17">
        <f t="shared" si="2"/>
        <v>0</v>
      </c>
      <c r="H17" t="e">
        <f t="shared" si="3"/>
        <v>#DIV/0!</v>
      </c>
    </row>
    <row r="18" spans="1:8" x14ac:dyDescent="0.3">
      <c r="A18">
        <v>224</v>
      </c>
      <c r="B18" s="1"/>
      <c r="C18" t="s">
        <v>17</v>
      </c>
      <c r="E18">
        <f t="shared" si="4"/>
        <v>0</v>
      </c>
      <c r="F18">
        <f t="shared" si="1"/>
        <v>0</v>
      </c>
      <c r="G18">
        <f t="shared" si="2"/>
        <v>0</v>
      </c>
      <c r="H18" t="e">
        <f t="shared" si="3"/>
        <v>#DIV/0!</v>
      </c>
    </row>
    <row r="19" spans="1:8" x14ac:dyDescent="0.3">
      <c r="A19">
        <v>224</v>
      </c>
      <c r="B19" s="1"/>
      <c r="C19" t="s">
        <v>18</v>
      </c>
      <c r="E19">
        <f t="shared" si="4"/>
        <v>0</v>
      </c>
      <c r="F19">
        <f t="shared" si="1"/>
        <v>0</v>
      </c>
      <c r="G19">
        <f t="shared" si="2"/>
        <v>0</v>
      </c>
      <c r="H19" t="e">
        <f t="shared" si="3"/>
        <v>#DIV/0!</v>
      </c>
    </row>
    <row r="20" spans="1:8" x14ac:dyDescent="0.3">
      <c r="A20">
        <v>224</v>
      </c>
      <c r="B20" s="1"/>
      <c r="C20" t="s">
        <v>19</v>
      </c>
      <c r="E20">
        <f t="shared" si="4"/>
        <v>0</v>
      </c>
      <c r="F20">
        <f t="shared" si="1"/>
        <v>0</v>
      </c>
      <c r="G20">
        <f t="shared" si="2"/>
        <v>0</v>
      </c>
      <c r="H20" t="e">
        <f t="shared" si="3"/>
        <v>#DIV/0!</v>
      </c>
    </row>
    <row r="21" spans="1:8" x14ac:dyDescent="0.3">
      <c r="A21">
        <v>224</v>
      </c>
      <c r="B21" s="1"/>
      <c r="C21" t="s">
        <v>20</v>
      </c>
      <c r="E21">
        <f t="shared" si="4"/>
        <v>0</v>
      </c>
      <c r="F21">
        <f t="shared" si="1"/>
        <v>0</v>
      </c>
      <c r="G21">
        <f t="shared" si="2"/>
        <v>0</v>
      </c>
      <c r="H21" t="e">
        <f t="shared" si="3"/>
        <v>#DIV/0!</v>
      </c>
    </row>
    <row r="22" spans="1:8" x14ac:dyDescent="0.3">
      <c r="A22">
        <v>224</v>
      </c>
      <c r="B22" s="1"/>
      <c r="C22" t="s">
        <v>21</v>
      </c>
      <c r="E22">
        <f t="shared" si="4"/>
        <v>0</v>
      </c>
      <c r="F22">
        <f t="shared" si="1"/>
        <v>0</v>
      </c>
      <c r="G22">
        <f t="shared" si="2"/>
        <v>0</v>
      </c>
      <c r="H22" t="e">
        <f t="shared" si="3"/>
        <v>#DIV/0!</v>
      </c>
    </row>
    <row r="23" spans="1:8" x14ac:dyDescent="0.3">
      <c r="A23">
        <v>224</v>
      </c>
      <c r="B23" s="1"/>
      <c r="C23" t="s">
        <v>22</v>
      </c>
      <c r="E23">
        <f t="shared" si="4"/>
        <v>0</v>
      </c>
      <c r="F23">
        <f t="shared" si="1"/>
        <v>0</v>
      </c>
      <c r="G23">
        <f t="shared" si="2"/>
        <v>0</v>
      </c>
      <c r="H23" t="e">
        <f t="shared" si="3"/>
        <v>#DIV/0!</v>
      </c>
    </row>
    <row r="24" spans="1:8" x14ac:dyDescent="0.3">
      <c r="A24">
        <v>224</v>
      </c>
      <c r="B24" s="1"/>
      <c r="C24" t="s">
        <v>23</v>
      </c>
      <c r="E24">
        <f t="shared" si="4"/>
        <v>0</v>
      </c>
      <c r="F24">
        <f t="shared" si="1"/>
        <v>0</v>
      </c>
      <c r="G24">
        <f t="shared" si="2"/>
        <v>0</v>
      </c>
      <c r="H24" t="e">
        <f t="shared" si="3"/>
        <v>#DIV/0!</v>
      </c>
    </row>
    <row r="25" spans="1:8" x14ac:dyDescent="0.3">
      <c r="A25">
        <v>224</v>
      </c>
      <c r="B25" s="1"/>
      <c r="C25" t="s">
        <v>24</v>
      </c>
      <c r="E25">
        <f t="shared" si="4"/>
        <v>0</v>
      </c>
      <c r="F25">
        <f t="shared" si="1"/>
        <v>0</v>
      </c>
      <c r="G25">
        <f t="shared" si="2"/>
        <v>0</v>
      </c>
      <c r="H25" t="e">
        <f t="shared" si="3"/>
        <v>#DIV/0!</v>
      </c>
    </row>
    <row r="26" spans="1:8" x14ac:dyDescent="0.3">
      <c r="A26">
        <v>224</v>
      </c>
      <c r="B26" s="1"/>
      <c r="C26" t="s">
        <v>25</v>
      </c>
      <c r="E26">
        <f t="shared" si="4"/>
        <v>0</v>
      </c>
      <c r="F26">
        <f t="shared" si="1"/>
        <v>0</v>
      </c>
      <c r="G26">
        <f t="shared" si="2"/>
        <v>0</v>
      </c>
      <c r="H26" t="e">
        <f t="shared" si="3"/>
        <v>#DIV/0!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ADF3-D6AE-49DA-BE46-CA4F85515085}">
  <dimension ref="A1:H6"/>
  <sheetViews>
    <sheetView workbookViewId="0">
      <selection activeCell="E10" sqref="E10"/>
    </sheetView>
  </sheetViews>
  <sheetFormatPr defaultRowHeight="14.4" x14ac:dyDescent="0.3"/>
  <sheetData>
    <row r="1" spans="1:8" x14ac:dyDescent="0.3">
      <c r="A1" s="5" t="s">
        <v>31</v>
      </c>
      <c r="B1" s="5">
        <v>0</v>
      </c>
      <c r="C1" s="5" t="s">
        <v>32</v>
      </c>
      <c r="D1" s="5">
        <v>0</v>
      </c>
      <c r="E1" t="s">
        <v>40</v>
      </c>
      <c r="F1">
        <f>B1/D3</f>
        <v>0</v>
      </c>
      <c r="G1" t="s">
        <v>41</v>
      </c>
      <c r="H1">
        <f>D1/D3</f>
        <v>0</v>
      </c>
    </row>
    <row r="2" spans="1:8" x14ac:dyDescent="0.3">
      <c r="A2" s="5" t="s">
        <v>33</v>
      </c>
      <c r="B2" s="5">
        <v>4</v>
      </c>
      <c r="C2" s="5" t="s">
        <v>34</v>
      </c>
      <c r="D2" s="5">
        <v>4</v>
      </c>
      <c r="E2" t="s">
        <v>37</v>
      </c>
      <c r="F2">
        <f>B2-D3*(F1^2)</f>
        <v>4</v>
      </c>
      <c r="G2" t="s">
        <v>38</v>
      </c>
      <c r="H2">
        <f>D2-D3*(H1^2)</f>
        <v>4</v>
      </c>
    </row>
    <row r="3" spans="1:8" x14ac:dyDescent="0.3">
      <c r="A3" s="5" t="s">
        <v>35</v>
      </c>
      <c r="B3" s="5">
        <v>0</v>
      </c>
      <c r="C3" s="5" t="s">
        <v>36</v>
      </c>
      <c r="D3" s="5">
        <v>4</v>
      </c>
      <c r="E3" t="s">
        <v>39</v>
      </c>
      <c r="F3">
        <f>B3-D3*F1*H1</f>
        <v>0</v>
      </c>
    </row>
    <row r="5" spans="1:8" x14ac:dyDescent="0.3">
      <c r="E5" t="s">
        <v>42</v>
      </c>
      <c r="F5">
        <f>F3/((F2^0.5)*(H2^0.5))</f>
        <v>0</v>
      </c>
    </row>
    <row r="6" spans="1:8" x14ac:dyDescent="0.3">
      <c r="E6" t="s">
        <v>43</v>
      </c>
      <c r="F6">
        <f>(F5*((D3-2)^0.5))/((1-F5^2)^0.5)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765-873F-442F-8D1D-DC1253EE23D6}">
  <dimension ref="A1:K26"/>
  <sheetViews>
    <sheetView tabSelected="1" workbookViewId="0">
      <selection activeCell="I27" sqref="I27"/>
    </sheetView>
  </sheetViews>
  <sheetFormatPr defaultRowHeight="14.4" x14ac:dyDescent="0.3"/>
  <cols>
    <col min="1" max="1" width="28.21875" customWidth="1"/>
    <col min="2" max="2" width="14" customWidth="1"/>
    <col min="3" max="3" width="14.5546875" customWidth="1"/>
    <col min="5" max="5" width="14.33203125" customWidth="1"/>
    <col min="6" max="6" width="17" customWidth="1"/>
    <col min="8" max="8" width="16.109375" customWidth="1"/>
    <col min="11" max="11" width="16.21875" customWidth="1"/>
  </cols>
  <sheetData>
    <row r="1" spans="1:11" x14ac:dyDescent="0.3">
      <c r="A1" s="5" t="s">
        <v>31</v>
      </c>
      <c r="B1" s="5">
        <v>1005.4</v>
      </c>
      <c r="C1" s="5" t="s">
        <v>32</v>
      </c>
      <c r="D1" s="5">
        <v>1263.8</v>
      </c>
      <c r="E1" t="s">
        <v>40</v>
      </c>
      <c r="F1">
        <f>B1/D3</f>
        <v>83.783333333333331</v>
      </c>
      <c r="G1" t="s">
        <v>41</v>
      </c>
      <c r="H1">
        <f>D1/D3</f>
        <v>105.31666666666666</v>
      </c>
    </row>
    <row r="2" spans="1:11" x14ac:dyDescent="0.3">
      <c r="A2" s="5" t="s">
        <v>33</v>
      </c>
      <c r="B2" s="5">
        <v>86971.5</v>
      </c>
      <c r="C2" s="5" t="s">
        <v>34</v>
      </c>
      <c r="D2" s="5">
        <v>140504.44</v>
      </c>
      <c r="E2" t="s">
        <v>37</v>
      </c>
      <c r="F2">
        <f>B2-D3*(F1^2)</f>
        <v>2735.7366666666785</v>
      </c>
      <c r="G2" t="s">
        <v>38</v>
      </c>
      <c r="H2">
        <f>D2-D3*(H1^2)</f>
        <v>7405.236666666664</v>
      </c>
    </row>
    <row r="3" spans="1:11" x14ac:dyDescent="0.3">
      <c r="A3" s="5" t="s">
        <v>35</v>
      </c>
      <c r="B3" s="5">
        <v>109474.01</v>
      </c>
      <c r="C3" s="5" t="s">
        <v>36</v>
      </c>
      <c r="D3" s="5">
        <v>12</v>
      </c>
      <c r="E3" t="s">
        <v>93</v>
      </c>
      <c r="F3">
        <f>B3-D3*F1*H1</f>
        <v>3588.6333333333314</v>
      </c>
    </row>
    <row r="4" spans="1:11" ht="15" thickBot="1" x14ac:dyDescent="0.35"/>
    <row r="5" spans="1:11" ht="15.6" thickTop="1" thickBot="1" x14ac:dyDescent="0.35">
      <c r="A5" s="4" t="s">
        <v>45</v>
      </c>
      <c r="B5" s="4" t="s">
        <v>46</v>
      </c>
      <c r="C5" s="4" t="s">
        <v>47</v>
      </c>
      <c r="D5" s="4" t="s">
        <v>48</v>
      </c>
      <c r="E5" s="4" t="s">
        <v>49</v>
      </c>
      <c r="K5" t="s">
        <v>72</v>
      </c>
    </row>
    <row r="6" spans="1:11" ht="15.6" thickTop="1" thickBot="1" x14ac:dyDescent="0.35">
      <c r="A6" s="4" t="s">
        <v>44</v>
      </c>
      <c r="B6" s="4">
        <f>(F3^2)/F2</f>
        <v>4707.4301258689766</v>
      </c>
      <c r="C6" s="4">
        <f>1</f>
        <v>1</v>
      </c>
      <c r="D6" s="4">
        <f>B6/C6</f>
        <v>4707.4301258689766</v>
      </c>
      <c r="E6" s="4">
        <f>D6/D7</f>
        <v>17.449101908089688</v>
      </c>
      <c r="G6" t="s">
        <v>52</v>
      </c>
      <c r="H6">
        <f>B6/B8</f>
        <v>0.63568935575801699</v>
      </c>
      <c r="I6" t="s">
        <v>55</v>
      </c>
      <c r="J6">
        <f>H6^0.5</f>
        <v>0.79730129546992268</v>
      </c>
      <c r="K6">
        <f>_xlfn.F.DIST.RT(E6,C6,C7)</f>
        <v>1.8960941530285441E-3</v>
      </c>
    </row>
    <row r="7" spans="1:11" ht="15.6" thickTop="1" thickBot="1" x14ac:dyDescent="0.35">
      <c r="A7" s="4" t="s">
        <v>50</v>
      </c>
      <c r="B7" s="4">
        <f>B8-B6</f>
        <v>2697.8065407976874</v>
      </c>
      <c r="C7" s="4">
        <f>D3-2</f>
        <v>10</v>
      </c>
      <c r="D7" s="4">
        <f>B7/C7</f>
        <v>269.78065407976874</v>
      </c>
      <c r="E7" s="4"/>
      <c r="G7" t="s">
        <v>53</v>
      </c>
      <c r="H7">
        <f>D7</f>
        <v>269.78065407976874</v>
      </c>
      <c r="I7" t="s">
        <v>54</v>
      </c>
      <c r="J7">
        <f>H7^0.5</f>
        <v>16.425000885228858</v>
      </c>
    </row>
    <row r="8" spans="1:11" ht="15.6" thickTop="1" thickBot="1" x14ac:dyDescent="0.35">
      <c r="A8" s="4" t="s">
        <v>51</v>
      </c>
      <c r="B8" s="4">
        <f>H2</f>
        <v>7405.236666666664</v>
      </c>
      <c r="C8" s="4">
        <f>D3-1</f>
        <v>11</v>
      </c>
      <c r="D8" s="4"/>
      <c r="E8" s="4"/>
    </row>
    <row r="9" spans="1:11" ht="15.6" thickTop="1" thickBot="1" x14ac:dyDescent="0.35">
      <c r="F9" t="s">
        <v>92</v>
      </c>
      <c r="G9">
        <f>_xlfn.T.INV.2T(0.05, D3-2)</f>
        <v>2.2281388519862744</v>
      </c>
    </row>
    <row r="10" spans="1:11" ht="15.6" thickTop="1" thickBot="1" x14ac:dyDescent="0.35">
      <c r="A10" s="4"/>
      <c r="B10" s="4" t="s">
        <v>59</v>
      </c>
      <c r="C10" s="4" t="s">
        <v>60</v>
      </c>
      <c r="E10" s="11" t="s">
        <v>62</v>
      </c>
      <c r="F10" s="11"/>
      <c r="H10" t="s">
        <v>64</v>
      </c>
      <c r="J10" s="5" t="s">
        <v>65</v>
      </c>
      <c r="K10" t="s">
        <v>71</v>
      </c>
    </row>
    <row r="11" spans="1:11" ht="15.6" thickTop="1" thickBot="1" x14ac:dyDescent="0.35">
      <c r="A11" s="4" t="s">
        <v>56</v>
      </c>
      <c r="B11" s="4">
        <f xml:space="preserve"> H1 - B12*F1</f>
        <v>-4.5870628995719187</v>
      </c>
      <c r="C11" s="4">
        <f>J7*((B2)/(D3*F2))^0.5</f>
        <v>26.734133548158518</v>
      </c>
      <c r="E11">
        <f>B11-G9*C11</f>
        <v>-64.154424532413572</v>
      </c>
      <c r="F11">
        <f>B11+G9*C11</f>
        <v>54.980298733269741</v>
      </c>
      <c r="H11">
        <f xml:space="preserve"> (B11-J11)/C11</f>
        <v>1.5446062603234244E-2</v>
      </c>
      <c r="J11" s="5">
        <v>-5</v>
      </c>
      <c r="K11">
        <f>_xlfn.T.DIST.2T(ABS(H11), D3-2)</f>
        <v>0.9879801408286778</v>
      </c>
    </row>
    <row r="12" spans="1:11" ht="15.6" thickTop="1" thickBot="1" x14ac:dyDescent="0.35">
      <c r="A12" s="4" t="s">
        <v>57</v>
      </c>
      <c r="B12" s="4">
        <f xml:space="preserve"> F3/F2</f>
        <v>1.311761244076848</v>
      </c>
      <c r="C12" s="4">
        <f>J7/((F2)^0.5)</f>
        <v>0.3140279152335953</v>
      </c>
      <c r="E12">
        <f>B12-G9*C12</f>
        <v>0.61206344553662195</v>
      </c>
      <c r="F12">
        <f>B12+G9*C12</f>
        <v>2.0114590426170742</v>
      </c>
      <c r="H12">
        <f>(B12-J12)/C12</f>
        <v>4.1772122172675985</v>
      </c>
      <c r="J12" s="5">
        <v>0</v>
      </c>
      <c r="K12">
        <f>_xlfn.T.DIST.2T(ABS(H12),D3-2)</f>
        <v>1.8960941530285441E-3</v>
      </c>
    </row>
    <row r="13" spans="1:11" ht="15.6" thickTop="1" thickBot="1" x14ac:dyDescent="0.35">
      <c r="A13" s="4" t="s">
        <v>58</v>
      </c>
      <c r="B13" s="4">
        <f>B11+B12*B14</f>
        <v>105.31229412918641</v>
      </c>
      <c r="C13" s="4">
        <f>J7*(1/D3+((B14-F1)^2)/F2)^0.5</f>
        <v>4.7414894568078472</v>
      </c>
      <c r="E13">
        <f xml:space="preserve"> B13-G9*C13</f>
        <v>94.747597254189557</v>
      </c>
      <c r="F13">
        <f>B13+G9*C13</f>
        <v>115.87699100418327</v>
      </c>
      <c r="H13">
        <f>(B13-J13)/C13</f>
        <v>1.1203850978850121</v>
      </c>
      <c r="J13" s="5">
        <v>100</v>
      </c>
      <c r="K13">
        <f>_xlfn.T.DIST.2T(ABS(H13),D3-2)</f>
        <v>0.28873557174549191</v>
      </c>
    </row>
    <row r="14" spans="1:11" ht="15.6" thickTop="1" thickBot="1" x14ac:dyDescent="0.35">
      <c r="A14" s="7" t="s">
        <v>61</v>
      </c>
      <c r="B14" s="7">
        <v>83.78</v>
      </c>
      <c r="C14" s="4"/>
    </row>
    <row r="15" spans="1:11" ht="15" thickTop="1" x14ac:dyDescent="0.3"/>
    <row r="17" spans="1:4" x14ac:dyDescent="0.3">
      <c r="A17" t="s">
        <v>66</v>
      </c>
      <c r="B17">
        <f>F2/(D3-1)</f>
        <v>248.7033333333344</v>
      </c>
    </row>
    <row r="18" spans="1:4" x14ac:dyDescent="0.3">
      <c r="A18" t="s">
        <v>67</v>
      </c>
      <c r="B18">
        <f xml:space="preserve"> H2/(D3-1)</f>
        <v>673.20333333333303</v>
      </c>
    </row>
    <row r="19" spans="1:4" x14ac:dyDescent="0.3">
      <c r="A19" t="s">
        <v>68</v>
      </c>
      <c r="B19">
        <f>B6</f>
        <v>4707.4301258689766</v>
      </c>
    </row>
    <row r="20" spans="1:4" x14ac:dyDescent="0.3">
      <c r="A20" t="s">
        <v>69</v>
      </c>
      <c r="B20">
        <f>B7</f>
        <v>2697.8065407976874</v>
      </c>
    </row>
    <row r="21" spans="1:4" x14ac:dyDescent="0.3">
      <c r="A21" t="s">
        <v>70</v>
      </c>
      <c r="B21">
        <f xml:space="preserve"> B8</f>
        <v>7405.236666666664</v>
      </c>
    </row>
    <row r="22" spans="1:4" x14ac:dyDescent="0.3">
      <c r="A22" t="s">
        <v>75</v>
      </c>
      <c r="B22">
        <f>H7</f>
        <v>269.78065407976874</v>
      </c>
    </row>
    <row r="23" spans="1:4" x14ac:dyDescent="0.3">
      <c r="A23" t="s">
        <v>74</v>
      </c>
      <c r="B23">
        <f>H6</f>
        <v>0.63568935575801699</v>
      </c>
    </row>
    <row r="24" spans="1:4" x14ac:dyDescent="0.3">
      <c r="A24" t="s">
        <v>73</v>
      </c>
      <c r="B24">
        <f>J6</f>
        <v>0.79730129546992268</v>
      </c>
    </row>
    <row r="25" spans="1:4" x14ac:dyDescent="0.3">
      <c r="A25" t="s">
        <v>76</v>
      </c>
      <c r="B25">
        <f>B11+B12*D25</f>
        <v>126.58906150811288</v>
      </c>
      <c r="C25" s="5" t="s">
        <v>61</v>
      </c>
      <c r="D25" s="5">
        <v>100</v>
      </c>
    </row>
    <row r="26" spans="1:4" x14ac:dyDescent="0.3">
      <c r="A26" t="s">
        <v>77</v>
      </c>
      <c r="B26">
        <f>(D26-B11)/B12</f>
        <v>3.4968733222485655</v>
      </c>
      <c r="C26" s="5" t="s">
        <v>78</v>
      </c>
      <c r="D26" s="5">
        <f>B15</f>
        <v>0</v>
      </c>
    </row>
  </sheetData>
  <mergeCells count="1"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6F1F-57FB-4DE7-ADD2-E96DF83BF619}">
  <dimension ref="A1:Q29"/>
  <sheetViews>
    <sheetView topLeftCell="A10" workbookViewId="0">
      <selection activeCell="I20" sqref="I20"/>
    </sheetView>
  </sheetViews>
  <sheetFormatPr defaultRowHeight="14.4" x14ac:dyDescent="0.3"/>
  <cols>
    <col min="1" max="1" width="34" customWidth="1"/>
    <col min="2" max="2" width="13.21875" customWidth="1"/>
    <col min="8" max="8" width="16.33203125" customWidth="1"/>
    <col min="11" max="11" width="17.109375" customWidth="1"/>
    <col min="15" max="15" width="10.33203125" customWidth="1"/>
  </cols>
  <sheetData>
    <row r="1" spans="1:17" x14ac:dyDescent="0.3">
      <c r="A1" t="s">
        <v>79</v>
      </c>
      <c r="B1">
        <v>6.05</v>
      </c>
      <c r="C1">
        <v>6.78</v>
      </c>
      <c r="D1">
        <v>7.89</v>
      </c>
      <c r="E1">
        <v>3.56</v>
      </c>
      <c r="F1">
        <v>7.47</v>
      </c>
      <c r="G1">
        <v>4.51</v>
      </c>
      <c r="H1">
        <v>6.91</v>
      </c>
      <c r="I1">
        <v>3.38</v>
      </c>
      <c r="J1">
        <v>8.07</v>
      </c>
      <c r="K1">
        <v>4.45</v>
      </c>
      <c r="L1">
        <v>8.19</v>
      </c>
      <c r="M1">
        <v>4.3499999999999996</v>
      </c>
      <c r="O1" s="5" t="s">
        <v>81</v>
      </c>
      <c r="P1">
        <f>Q1-L5</f>
        <v>65.56</v>
      </c>
      <c r="Q1" s="5">
        <f>71.61</f>
        <v>71.61</v>
      </c>
    </row>
    <row r="2" spans="1:17" x14ac:dyDescent="0.3">
      <c r="A2" t="s">
        <v>80</v>
      </c>
      <c r="B2">
        <v>0</v>
      </c>
      <c r="C2">
        <v>6.05</v>
      </c>
      <c r="D2">
        <v>6.78</v>
      </c>
      <c r="E2">
        <v>7.89</v>
      </c>
      <c r="F2">
        <v>3.56</v>
      </c>
      <c r="G2">
        <v>7.47</v>
      </c>
      <c r="H2">
        <v>4.51</v>
      </c>
      <c r="I2">
        <v>6.91</v>
      </c>
      <c r="J2">
        <v>3.38</v>
      </c>
      <c r="K2">
        <v>8.07</v>
      </c>
      <c r="L2">
        <v>4.45</v>
      </c>
      <c r="M2">
        <v>8.19</v>
      </c>
      <c r="O2" s="5" t="s">
        <v>82</v>
      </c>
      <c r="P2">
        <f>Q1-L4</f>
        <v>67.260000000000005</v>
      </c>
    </row>
    <row r="3" spans="1:17" x14ac:dyDescent="0.3">
      <c r="O3" s="5" t="s">
        <v>83</v>
      </c>
      <c r="P3">
        <f>Q3-L5^2</f>
        <v>427.13749999999999</v>
      </c>
      <c r="Q3" s="5">
        <v>463.74</v>
      </c>
    </row>
    <row r="4" spans="1:17" x14ac:dyDescent="0.3">
      <c r="A4" t="s">
        <v>31</v>
      </c>
      <c r="B4">
        <f>P2</f>
        <v>67.260000000000005</v>
      </c>
      <c r="C4" t="s">
        <v>32</v>
      </c>
      <c r="D4">
        <f>P1</f>
        <v>65.56</v>
      </c>
      <c r="E4" t="s">
        <v>40</v>
      </c>
      <c r="F4">
        <f>B4/D6</f>
        <v>6.1145454545454552</v>
      </c>
      <c r="G4" t="s">
        <v>41</v>
      </c>
      <c r="H4">
        <f>D4/D6</f>
        <v>5.96</v>
      </c>
      <c r="K4" s="5" t="s">
        <v>88</v>
      </c>
      <c r="L4" s="5">
        <f>4.35</f>
        <v>4.3499999999999996</v>
      </c>
      <c r="O4" s="5" t="s">
        <v>84</v>
      </c>
      <c r="P4">
        <f xml:space="preserve"> Q3 - L4^2</f>
        <v>444.8175</v>
      </c>
    </row>
    <row r="5" spans="1:17" x14ac:dyDescent="0.3">
      <c r="A5" t="s">
        <v>33</v>
      </c>
      <c r="B5">
        <f>P4</f>
        <v>444.8175</v>
      </c>
      <c r="C5" t="s">
        <v>34</v>
      </c>
      <c r="D5">
        <f>P3</f>
        <v>427.13749999999999</v>
      </c>
      <c r="E5" t="s">
        <v>37</v>
      </c>
      <c r="F5">
        <f>B5-D6*(F4^2)</f>
        <v>33.553172727272624</v>
      </c>
      <c r="G5" t="s">
        <v>38</v>
      </c>
      <c r="H5">
        <f>D5-D6*(H4^2)</f>
        <v>36.399900000000002</v>
      </c>
      <c r="K5" s="5" t="s">
        <v>89</v>
      </c>
      <c r="L5" s="5">
        <f>6.05</f>
        <v>6.05</v>
      </c>
      <c r="O5" s="5" t="s">
        <v>85</v>
      </c>
      <c r="P5" s="12">
        <v>372.66449999999998</v>
      </c>
      <c r="Q5">
        <v>372.66449999999998</v>
      </c>
    </row>
    <row r="6" spans="1:17" x14ac:dyDescent="0.3">
      <c r="A6" t="s">
        <v>35</v>
      </c>
      <c r="B6">
        <f>P5</f>
        <v>372.66449999999998</v>
      </c>
      <c r="C6" t="s">
        <v>36</v>
      </c>
      <c r="D6">
        <f>P7</f>
        <v>11</v>
      </c>
      <c r="E6" t="s">
        <v>39</v>
      </c>
      <c r="F6">
        <f>B6-D6*F4*H4</f>
        <v>-28.205100000000073</v>
      </c>
      <c r="O6" s="5" t="s">
        <v>86</v>
      </c>
      <c r="P6" s="12"/>
    </row>
    <row r="7" spans="1:17" ht="15" thickBot="1" x14ac:dyDescent="0.35">
      <c r="O7" s="5" t="s">
        <v>36</v>
      </c>
      <c r="P7">
        <f>Q7-1</f>
        <v>11</v>
      </c>
      <c r="Q7" s="5">
        <v>12</v>
      </c>
    </row>
    <row r="8" spans="1:17" ht="15" thickBot="1" x14ac:dyDescent="0.3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K8" t="s">
        <v>72</v>
      </c>
    </row>
    <row r="9" spans="1:17" ht="15.6" thickTop="1" thickBot="1" x14ac:dyDescent="0.35">
      <c r="A9" s="3" t="s">
        <v>44</v>
      </c>
      <c r="B9" s="3">
        <f>(F6^2)/F5</f>
        <v>23.709461769121607</v>
      </c>
      <c r="C9" s="3">
        <f>1</f>
        <v>1</v>
      </c>
      <c r="D9" s="3">
        <f>B9/C9</f>
        <v>23.709461769121607</v>
      </c>
      <c r="E9" s="3">
        <f>D9/D10</f>
        <v>16.814640443454927</v>
      </c>
      <c r="G9" s="4" t="s">
        <v>52</v>
      </c>
      <c r="H9">
        <f>B9/B11</f>
        <v>0.65136062926331129</v>
      </c>
      <c r="I9" t="s">
        <v>55</v>
      </c>
      <c r="J9">
        <f>H9^0.5</f>
        <v>0.80706916014881358</v>
      </c>
      <c r="K9">
        <f>_xlfn.F.DIST.RT(E9,C9,C10)</f>
        <v>2.6744430330302754E-3</v>
      </c>
    </row>
    <row r="10" spans="1:17" ht="15.6" thickTop="1" thickBot="1" x14ac:dyDescent="0.35">
      <c r="A10" s="3" t="s">
        <v>50</v>
      </c>
      <c r="B10" s="3">
        <f>B11-B9</f>
        <v>12.690438230878396</v>
      </c>
      <c r="C10" s="3">
        <f>D6-2</f>
        <v>9</v>
      </c>
      <c r="D10" s="3">
        <f>B10/C10</f>
        <v>1.4100486923198217</v>
      </c>
      <c r="E10" s="3"/>
      <c r="G10" s="4" t="s">
        <v>53</v>
      </c>
      <c r="H10">
        <f>D10</f>
        <v>1.4100486923198217</v>
      </c>
      <c r="I10" t="s">
        <v>54</v>
      </c>
      <c r="J10">
        <f>H10^0.5</f>
        <v>1.1874547116921224</v>
      </c>
    </row>
    <row r="11" spans="1:17" ht="15" thickBot="1" x14ac:dyDescent="0.35">
      <c r="A11" s="3" t="s">
        <v>51</v>
      </c>
      <c r="B11" s="3">
        <f>H5</f>
        <v>36.399900000000002</v>
      </c>
      <c r="C11" s="3">
        <f>D6-1</f>
        <v>10</v>
      </c>
      <c r="D11" s="3"/>
      <c r="E11" s="3"/>
    </row>
    <row r="12" spans="1:17" ht="15" thickBot="1" x14ac:dyDescent="0.35">
      <c r="F12" t="s">
        <v>63</v>
      </c>
      <c r="G12">
        <f>_xlfn.T.INV.2T(0.05, D6-2)</f>
        <v>2.2621571627982053</v>
      </c>
    </row>
    <row r="13" spans="1:17" ht="15.6" thickTop="1" thickBot="1" x14ac:dyDescent="0.35">
      <c r="A13" s="8"/>
      <c r="B13" s="8" t="s">
        <v>59</v>
      </c>
      <c r="C13" s="9" t="s">
        <v>60</v>
      </c>
      <c r="D13" s="8"/>
      <c r="E13" t="s">
        <v>62</v>
      </c>
      <c r="H13" t="s">
        <v>64</v>
      </c>
      <c r="J13" s="6" t="s">
        <v>65</v>
      </c>
      <c r="K13" s="2" t="s">
        <v>71</v>
      </c>
    </row>
    <row r="14" spans="1:17" ht="15.6" thickTop="1" thickBot="1" x14ac:dyDescent="0.35">
      <c r="A14" s="8" t="s">
        <v>56</v>
      </c>
      <c r="B14" s="8">
        <f xml:space="preserve"> H4 - B15*F4</f>
        <v>11.099942127136632</v>
      </c>
      <c r="C14" s="8">
        <f>J10*((B5)/(D6*F5))^0.5</f>
        <v>1.3036014914511436</v>
      </c>
      <c r="D14" s="8"/>
      <c r="E14">
        <f>B14-G12*C14</f>
        <v>8.1509906758160042</v>
      </c>
      <c r="F14">
        <f>B14+G12*C14</f>
        <v>14.04889357845726</v>
      </c>
      <c r="H14">
        <f xml:space="preserve"> (B14-J14)/C14</f>
        <v>12.350355712783431</v>
      </c>
      <c r="J14" s="5">
        <v>-5</v>
      </c>
      <c r="K14">
        <f>_xlfn.T.DIST.2T(ABS(H14), D6-2)</f>
        <v>6.023656531252899E-7</v>
      </c>
    </row>
    <row r="15" spans="1:17" ht="15.6" thickTop="1" thickBot="1" x14ac:dyDescent="0.35">
      <c r="A15" s="8" t="s">
        <v>57</v>
      </c>
      <c r="B15" s="8">
        <f xml:space="preserve"> F6/F5</f>
        <v>-0.84060903060515824</v>
      </c>
      <c r="C15" s="8">
        <f>J10/((F5)^0.5)</f>
        <v>0.20499829963076951</v>
      </c>
      <c r="D15" s="8"/>
      <c r="E15">
        <f>B15-G12*C15</f>
        <v>-1.3043474024763562</v>
      </c>
      <c r="F15">
        <f>B15+G12*C15</f>
        <v>-0.37687065873396031</v>
      </c>
      <c r="H15">
        <f>(B15-J15)/C15</f>
        <v>-4.1005658686887267</v>
      </c>
      <c r="J15" s="5">
        <v>0</v>
      </c>
      <c r="K15">
        <f>_xlfn.T.DIST.2T(ABS(H15),D6-2)</f>
        <v>2.6744430330302724E-3</v>
      </c>
    </row>
    <row r="16" spans="1:17" ht="15.6" thickTop="1" thickBot="1" x14ac:dyDescent="0.35">
      <c r="A16" s="8" t="s">
        <v>58</v>
      </c>
      <c r="B16" s="8">
        <f>B14+B15*B17</f>
        <v>7.4432928440041941</v>
      </c>
      <c r="C16" s="8">
        <f>J10*(1/D6+((B17-F4)^2)/F5)^0.5</f>
        <v>0.50895381164258813</v>
      </c>
      <c r="D16" s="8"/>
      <c r="E16">
        <f xml:space="preserve"> B16-G12*C16</f>
        <v>6.2919593334634651</v>
      </c>
      <c r="F16">
        <f>B16+G12*C16</f>
        <v>8.5946263545449231</v>
      </c>
      <c r="H16">
        <f>(B16-J16)/C16</f>
        <v>-2.0762338975032111</v>
      </c>
      <c r="J16" s="5">
        <v>8.5</v>
      </c>
      <c r="K16">
        <f>_xlfn.T.DIST.2T(ABS(H16),D6-2)</f>
        <v>6.7677007068862274E-2</v>
      </c>
    </row>
    <row r="17" spans="1:6" ht="15.6" thickTop="1" thickBot="1" x14ac:dyDescent="0.35">
      <c r="A17" s="10" t="s">
        <v>87</v>
      </c>
      <c r="B17" s="8">
        <f>L4</f>
        <v>4.3499999999999996</v>
      </c>
      <c r="C17" s="8"/>
      <c r="D17" s="8"/>
    </row>
    <row r="18" spans="1:6" ht="15" thickTop="1" x14ac:dyDescent="0.3"/>
    <row r="20" spans="1:6" x14ac:dyDescent="0.3">
      <c r="A20" t="s">
        <v>66</v>
      </c>
      <c r="B20">
        <f>F5/(D6-1)</f>
        <v>3.3553172727272624</v>
      </c>
      <c r="E20" s="5" t="s">
        <v>90</v>
      </c>
      <c r="F20">
        <f xml:space="preserve"> B14+B15*M1</f>
        <v>7.4432928440041941</v>
      </c>
    </row>
    <row r="21" spans="1:6" x14ac:dyDescent="0.3">
      <c r="A21" t="s">
        <v>67</v>
      </c>
      <c r="B21">
        <f xml:space="preserve"> H5/(D6-1)</f>
        <v>3.6399900000000001</v>
      </c>
      <c r="E21" s="5" t="s">
        <v>91</v>
      </c>
      <c r="F21">
        <f>B14+B15*F20</f>
        <v>4.8430429450279551</v>
      </c>
    </row>
    <row r="22" spans="1:6" x14ac:dyDescent="0.3">
      <c r="A22" t="s">
        <v>68</v>
      </c>
      <c r="B22">
        <f>B9</f>
        <v>23.709461769121607</v>
      </c>
    </row>
    <row r="23" spans="1:6" x14ac:dyDescent="0.3">
      <c r="A23" t="s">
        <v>69</v>
      </c>
      <c r="B23">
        <f>B10</f>
        <v>12.690438230878396</v>
      </c>
    </row>
    <row r="24" spans="1:6" x14ac:dyDescent="0.3">
      <c r="A24" t="s">
        <v>70</v>
      </c>
      <c r="B24">
        <f xml:space="preserve"> B11</f>
        <v>36.399900000000002</v>
      </c>
    </row>
    <row r="25" spans="1:6" x14ac:dyDescent="0.3">
      <c r="A25" t="s">
        <v>75</v>
      </c>
      <c r="B25">
        <f>H10</f>
        <v>1.4100486923198217</v>
      </c>
    </row>
    <row r="26" spans="1:6" x14ac:dyDescent="0.3">
      <c r="A26" t="s">
        <v>74</v>
      </c>
      <c r="B26">
        <f>H9</f>
        <v>0.65136062926331129</v>
      </c>
    </row>
    <row r="27" spans="1:6" x14ac:dyDescent="0.3">
      <c r="A27" t="s">
        <v>73</v>
      </c>
      <c r="B27">
        <f>J9</f>
        <v>0.80706916014881358</v>
      </c>
    </row>
    <row r="28" spans="1:6" x14ac:dyDescent="0.3">
      <c r="A28" t="s">
        <v>76</v>
      </c>
      <c r="B28">
        <f>B14+B15*D28</f>
        <v>-72.960960933379198</v>
      </c>
      <c r="C28" t="s">
        <v>61</v>
      </c>
      <c r="D28">
        <v>100</v>
      </c>
    </row>
    <row r="29" spans="1:6" x14ac:dyDescent="0.3">
      <c r="A29" t="s">
        <v>77</v>
      </c>
      <c r="B29">
        <f>(D29-B14)/B15</f>
        <v>13.204642970758634</v>
      </c>
      <c r="C29" t="s">
        <v>78</v>
      </c>
      <c r="D29">
        <f>B18</f>
        <v>0</v>
      </c>
    </row>
  </sheetData>
  <mergeCells count="1">
    <mergeCell ref="P5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goodness_of_fit</vt:lpstr>
      <vt:lpstr>correlation</vt:lpstr>
      <vt:lpstr>simple_linear</vt:lpstr>
      <vt:lpstr>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王鸿硕</dc:creator>
  <cp:lastModifiedBy>王鸿硕</cp:lastModifiedBy>
  <dcterms:created xsi:type="dcterms:W3CDTF">2020-05-03T18:58:49Z</dcterms:created>
  <dcterms:modified xsi:type="dcterms:W3CDTF">2020-05-04T04:56:27Z</dcterms:modified>
</cp:coreProperties>
</file>