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ml.chartshape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y/Python Files/Basalt Carbonate Baselines/"/>
    </mc:Choice>
  </mc:AlternateContent>
  <xr:revisionPtr revIDLastSave="0" documentId="13_ncr:1_{D7A917A1-E59A-B040-8252-DEED254C6E19}" xr6:coauthVersionLast="45" xr6:coauthVersionMax="45" xr10:uidLastSave="{00000000-0000-0000-0000-000000000000}"/>
  <bookViews>
    <workbookView xWindow="-32000" yWindow="960" windowWidth="28800" windowHeight="17040" activeTab="1" xr2:uid="{CADA877F-AA36-AE49-B946-B08E928D6D06}"/>
  </bookViews>
  <sheets>
    <sheet name="Allison et al. 2019" sheetId="1" r:id="rId1"/>
    <sheet name="Shishkina 2010" sheetId="4" r:id="rId2"/>
    <sheet name="Combined Solve" sheetId="5" r:id="rId3"/>
    <sheet name="Pandya 1992" sheetId="6" r:id="rId4"/>
  </sheets>
  <definedNames>
    <definedName name="solver_adj" localSheetId="0" hidden="1">'Allison et al. 2019'!$AL$3:$AM$3</definedName>
    <definedName name="solver_adj" localSheetId="2" hidden="1">'Combined Solve'!$BU$2</definedName>
    <definedName name="solver_adj" localSheetId="3" hidden="1">'Pandya 1992'!$M$118:$N$118</definedName>
    <definedName name="solver_adj" localSheetId="1" hidden="1">'Shishkina 2010'!$AA$3:$AB$3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cvg" localSheetId="1" hidden="1">0.0001</definedName>
    <definedName name="solver_drv" localSheetId="0" hidden="1">1</definedName>
    <definedName name="solver_drv" localSheetId="2" hidden="1">1</definedName>
    <definedName name="solver_drv" localSheetId="3" hidden="1">1</definedName>
    <definedName name="solver_drv" localSheetId="1" hidden="1">1</definedName>
    <definedName name="solver_eng" localSheetId="0" hidden="1">1</definedName>
    <definedName name="solver_eng" localSheetId="2" hidden="1">1</definedName>
    <definedName name="solver_eng" localSheetId="3" hidden="1">1</definedName>
    <definedName name="solver_eng" localSheetId="1" hidden="1">1</definedName>
    <definedName name="solver_itr" localSheetId="0" hidden="1">2147483647</definedName>
    <definedName name="solver_itr" localSheetId="2" hidden="1">2147483647</definedName>
    <definedName name="solver_itr" localSheetId="3" hidden="1">2147483647</definedName>
    <definedName name="solver_itr" localSheetId="1" hidden="1">2147483647</definedName>
    <definedName name="solver_lin" localSheetId="0" hidden="1">2</definedName>
    <definedName name="solver_lin" localSheetId="2" hidden="1">2</definedName>
    <definedName name="solver_lin" localSheetId="3" hidden="1">2</definedName>
    <definedName name="solver_lin" localSheetId="1" hidden="1">2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msl" localSheetId="1" hidden="1">2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eg" localSheetId="1" hidden="1">1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od" localSheetId="1" hidden="1">2147483647</definedName>
    <definedName name="solver_num" localSheetId="0" hidden="1">0</definedName>
    <definedName name="solver_num" localSheetId="2" hidden="1">0</definedName>
    <definedName name="solver_num" localSheetId="3" hidden="1">0</definedName>
    <definedName name="solver_num" localSheetId="1" hidden="1">0</definedName>
    <definedName name="solver_opt" localSheetId="0" hidden="1">'Allison et al. 2019'!$AN$2</definedName>
    <definedName name="solver_opt" localSheetId="2" hidden="1">'Combined Solve'!$BV$2</definedName>
    <definedName name="solver_opt" localSheetId="3" hidden="1">'Pandya 1992'!$P$118</definedName>
    <definedName name="solver_opt" localSheetId="1" hidden="1">'Shishkina 2010'!$AD$3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pre" localSheetId="1" hidden="1">0.000001</definedName>
    <definedName name="solver_rbv" localSheetId="0" hidden="1">1</definedName>
    <definedName name="solver_rbv" localSheetId="2" hidden="1">1</definedName>
    <definedName name="solver_rbv" localSheetId="3" hidden="1">1</definedName>
    <definedName name="solver_rbv" localSheetId="1" hidden="1">1</definedName>
    <definedName name="solver_rlx" localSheetId="0" hidden="1">2</definedName>
    <definedName name="solver_rlx" localSheetId="2" hidden="1">2</definedName>
    <definedName name="solver_rlx" localSheetId="3" hidden="1">2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rsd" localSheetId="1" hidden="1">0</definedName>
    <definedName name="solver_scl" localSheetId="0" hidden="1">1</definedName>
    <definedName name="solver_scl" localSheetId="2" hidden="1">1</definedName>
    <definedName name="solver_scl" localSheetId="3" hidden="1">1</definedName>
    <definedName name="solver_scl" localSheetId="1" hidden="1">1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im" localSheetId="1" hidden="1">2147483647</definedName>
    <definedName name="solver_tol" localSheetId="0" hidden="1">0.01</definedName>
    <definedName name="solver_tol" localSheetId="2" hidden="1">0.01</definedName>
    <definedName name="solver_tol" localSheetId="3" hidden="1">0.01</definedName>
    <definedName name="solver_tol" localSheetId="1" hidden="1">0.01</definedName>
    <definedName name="solver_typ" localSheetId="0" hidden="1">2</definedName>
    <definedName name="solver_typ" localSheetId="2" hidden="1">2</definedName>
    <definedName name="solver_typ" localSheetId="3" hidden="1">2</definedName>
    <definedName name="solver_typ" localSheetId="1" hidden="1">2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al" localSheetId="1" hidden="1">0</definedName>
    <definedName name="solver_ver" localSheetId="0" hidden="1">2</definedName>
    <definedName name="solver_ver" localSheetId="2" hidden="1">2</definedName>
    <definedName name="solver_ver" localSheetId="3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6" i="4" l="1"/>
  <c r="AI7" i="4"/>
  <c r="AI11" i="4"/>
  <c r="AI12" i="4"/>
  <c r="AI15" i="4"/>
  <c r="AI16" i="4"/>
  <c r="AI17" i="4"/>
  <c r="AI22" i="4"/>
  <c r="AI27" i="4"/>
  <c r="AI5" i="4"/>
  <c r="AF6" i="4"/>
  <c r="AF7" i="4"/>
  <c r="AF11" i="4"/>
  <c r="AF12" i="4"/>
  <c r="AF15" i="4"/>
  <c r="AF16" i="4"/>
  <c r="AF17" i="4"/>
  <c r="AF22" i="4"/>
  <c r="AF27" i="4"/>
  <c r="AF5" i="4"/>
  <c r="M120" i="6" l="1"/>
  <c r="N120" i="6"/>
  <c r="I120" i="6"/>
  <c r="H120" i="6"/>
  <c r="E120" i="6"/>
  <c r="H121" i="6"/>
  <c r="M121" i="6" s="1"/>
  <c r="H122" i="6"/>
  <c r="M122" i="6" s="1"/>
  <c r="H123" i="6"/>
  <c r="M123" i="6" s="1"/>
  <c r="H124" i="6"/>
  <c r="I124" i="6" s="1"/>
  <c r="N124" i="6" s="1"/>
  <c r="H125" i="6"/>
  <c r="M125" i="6" s="1"/>
  <c r="H126" i="6"/>
  <c r="I126" i="6" s="1"/>
  <c r="N126" i="6" s="1"/>
  <c r="H127" i="6"/>
  <c r="M127" i="6" s="1"/>
  <c r="H128" i="6"/>
  <c r="M128" i="6" s="1"/>
  <c r="H129" i="6"/>
  <c r="M129" i="6" s="1"/>
  <c r="H130" i="6"/>
  <c r="M130" i="6" s="1"/>
  <c r="H131" i="6"/>
  <c r="M131" i="6" s="1"/>
  <c r="H132" i="6"/>
  <c r="M132" i="6" s="1"/>
  <c r="H133" i="6"/>
  <c r="I133" i="6" s="1"/>
  <c r="N133" i="6" s="1"/>
  <c r="H134" i="6"/>
  <c r="I134" i="6" s="1"/>
  <c r="N134" i="6" s="1"/>
  <c r="H135" i="6"/>
  <c r="M135" i="6" s="1"/>
  <c r="H136" i="6"/>
  <c r="I136" i="6" s="1"/>
  <c r="N136" i="6" s="1"/>
  <c r="H137" i="6"/>
  <c r="I137" i="6" s="1"/>
  <c r="N137" i="6" s="1"/>
  <c r="H138" i="6"/>
  <c r="M138" i="6" s="1"/>
  <c r="H139" i="6"/>
  <c r="M139" i="6" s="1"/>
  <c r="H140" i="6"/>
  <c r="M140" i="6" s="1"/>
  <c r="AL5" i="1"/>
  <c r="M126" i="6"/>
  <c r="I121" i="6"/>
  <c r="N121" i="6" s="1"/>
  <c r="I122" i="6"/>
  <c r="N122" i="6" s="1"/>
  <c r="I130" i="6"/>
  <c r="N130" i="6" s="1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62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62" i="6"/>
  <c r="BW52" i="5"/>
  <c r="BW54" i="5"/>
  <c r="BW56" i="5"/>
  <c r="BW58" i="5"/>
  <c r="BW60" i="5"/>
  <c r="BW62" i="5"/>
  <c r="BW64" i="5"/>
  <c r="BW66" i="5"/>
  <c r="BW68" i="5"/>
  <c r="BW70" i="5"/>
  <c r="BW72" i="5"/>
  <c r="BW74" i="5"/>
  <c r="BW76" i="5"/>
  <c r="BW80" i="5"/>
  <c r="BW82" i="5"/>
  <c r="BW84" i="5"/>
  <c r="BW86" i="5"/>
  <c r="BW88" i="5"/>
  <c r="BW90" i="5"/>
  <c r="BW6" i="5"/>
  <c r="BW7" i="5"/>
  <c r="BW11" i="5"/>
  <c r="BW12" i="5"/>
  <c r="BW15" i="5"/>
  <c r="BW16" i="5"/>
  <c r="BW17" i="5"/>
  <c r="BW22" i="5"/>
  <c r="BW27" i="5"/>
  <c r="BW36" i="5"/>
  <c r="BW50" i="5"/>
  <c r="BW5" i="5"/>
  <c r="BV5" i="5"/>
  <c r="BU90" i="5"/>
  <c r="BV90" i="5" s="1"/>
  <c r="BU5" i="5"/>
  <c r="BU52" i="5"/>
  <c r="BV52" i="5" s="1"/>
  <c r="BU54" i="5"/>
  <c r="BV54" i="5" s="1"/>
  <c r="BU56" i="5"/>
  <c r="BV56" i="5" s="1"/>
  <c r="BU58" i="5"/>
  <c r="BV58" i="5" s="1"/>
  <c r="BU60" i="5"/>
  <c r="BV60" i="5" s="1"/>
  <c r="BU62" i="5"/>
  <c r="BV62" i="5" s="1"/>
  <c r="BU64" i="5"/>
  <c r="BV64" i="5" s="1"/>
  <c r="BU66" i="5"/>
  <c r="BV66" i="5" s="1"/>
  <c r="BU68" i="5"/>
  <c r="BV68" i="5" s="1"/>
  <c r="BU70" i="5"/>
  <c r="BV70" i="5" s="1"/>
  <c r="BU72" i="5"/>
  <c r="BV72" i="5" s="1"/>
  <c r="BU74" i="5"/>
  <c r="BV74" i="5" s="1"/>
  <c r="BU76" i="5"/>
  <c r="BV76" i="5" s="1"/>
  <c r="BU80" i="5"/>
  <c r="BV80" i="5" s="1"/>
  <c r="BU82" i="5"/>
  <c r="BV82" i="5" s="1"/>
  <c r="BU83" i="5"/>
  <c r="BV83" i="5" s="1"/>
  <c r="BU84" i="5"/>
  <c r="BV84" i="5" s="1"/>
  <c r="BU86" i="5"/>
  <c r="BV86" i="5" s="1"/>
  <c r="BU88" i="5"/>
  <c r="BV88" i="5" s="1"/>
  <c r="BU50" i="5"/>
  <c r="BV50" i="5" s="1"/>
  <c r="BU6" i="5"/>
  <c r="BV6" i="5" s="1"/>
  <c r="BU7" i="5"/>
  <c r="BV7" i="5" s="1"/>
  <c r="BU11" i="5"/>
  <c r="BV11" i="5" s="1"/>
  <c r="BU12" i="5"/>
  <c r="BV12" i="5" s="1"/>
  <c r="BU15" i="5"/>
  <c r="BV15" i="5" s="1"/>
  <c r="BU16" i="5"/>
  <c r="BV16" i="5" s="1"/>
  <c r="BU17" i="5"/>
  <c r="BV17" i="5" s="1"/>
  <c r="BU22" i="5"/>
  <c r="BV22" i="5" s="1"/>
  <c r="BU27" i="5"/>
  <c r="BV27" i="5" s="1"/>
  <c r="BU36" i="5"/>
  <c r="BV36" i="5" s="1"/>
  <c r="W5" i="1"/>
  <c r="T36" i="4"/>
  <c r="T5" i="1"/>
  <c r="T6" i="4"/>
  <c r="T11" i="4"/>
  <c r="T12" i="4"/>
  <c r="T15" i="4"/>
  <c r="T16" i="4"/>
  <c r="T17" i="4"/>
  <c r="T22" i="4"/>
  <c r="T27" i="4"/>
  <c r="T5" i="4"/>
  <c r="AX6" i="5"/>
  <c r="AX8" i="5"/>
  <c r="AX9" i="5"/>
  <c r="AX10" i="5"/>
  <c r="AX11" i="5"/>
  <c r="AX12" i="5"/>
  <c r="AX13" i="5"/>
  <c r="AX14" i="5"/>
  <c r="AX15" i="5"/>
  <c r="AX16" i="5"/>
  <c r="AX17" i="5"/>
  <c r="AX18" i="5"/>
  <c r="AX19" i="5"/>
  <c r="AX20" i="5"/>
  <c r="AX21" i="5"/>
  <c r="AX22" i="5"/>
  <c r="AX23" i="5"/>
  <c r="AX24" i="5"/>
  <c r="AX25" i="5"/>
  <c r="AX26" i="5"/>
  <c r="AX27" i="5"/>
  <c r="AX29" i="5"/>
  <c r="AX30" i="5"/>
  <c r="AX31" i="5"/>
  <c r="AX32" i="5"/>
  <c r="AX33" i="5"/>
  <c r="AX36" i="5"/>
  <c r="AX37" i="5"/>
  <c r="AX38" i="5"/>
  <c r="AX39" i="5"/>
  <c r="AX47" i="5"/>
  <c r="AX48" i="5"/>
  <c r="AX49" i="5"/>
  <c r="AX50" i="5"/>
  <c r="AX51" i="5"/>
  <c r="AX52" i="5"/>
  <c r="AX53" i="5"/>
  <c r="AX54" i="5"/>
  <c r="AX55" i="5"/>
  <c r="AX56" i="5"/>
  <c r="AX57" i="5"/>
  <c r="AX58" i="5"/>
  <c r="AX59" i="5"/>
  <c r="AX60" i="5"/>
  <c r="AX61" i="5"/>
  <c r="AX62" i="5"/>
  <c r="AX63" i="5"/>
  <c r="AX64" i="5"/>
  <c r="AX65" i="5"/>
  <c r="AX66" i="5"/>
  <c r="AX67" i="5"/>
  <c r="AX68" i="5"/>
  <c r="AX69" i="5"/>
  <c r="AX70" i="5"/>
  <c r="AX71" i="5"/>
  <c r="AX72" i="5"/>
  <c r="AX73" i="5"/>
  <c r="AX74" i="5"/>
  <c r="AX75" i="5"/>
  <c r="AX76" i="5"/>
  <c r="AX77" i="5"/>
  <c r="AX78" i="5"/>
  <c r="AX79" i="5"/>
  <c r="AX80" i="5"/>
  <c r="AX81" i="5"/>
  <c r="AX82" i="5"/>
  <c r="AX83" i="5"/>
  <c r="AX84" i="5"/>
  <c r="AX85" i="5"/>
  <c r="AX86" i="5"/>
  <c r="AX87" i="5"/>
  <c r="AX88" i="5"/>
  <c r="AX89" i="5"/>
  <c r="AX90" i="5"/>
  <c r="AX5" i="5"/>
  <c r="BD5" i="5"/>
  <c r="BD6" i="5"/>
  <c r="BD8" i="5"/>
  <c r="BD9" i="5"/>
  <c r="BD10" i="5"/>
  <c r="BD11" i="5"/>
  <c r="BD12" i="5"/>
  <c r="BD13" i="5"/>
  <c r="BD14" i="5"/>
  <c r="BD15" i="5"/>
  <c r="BD16" i="5"/>
  <c r="BD17" i="5"/>
  <c r="BD18" i="5"/>
  <c r="BD19" i="5"/>
  <c r="BD20" i="5"/>
  <c r="BD21" i="5"/>
  <c r="BD22" i="5"/>
  <c r="BD24" i="5"/>
  <c r="BD25" i="5"/>
  <c r="BD26" i="5"/>
  <c r="BD27" i="5"/>
  <c r="BD28" i="5"/>
  <c r="BD29" i="5"/>
  <c r="BD30" i="5"/>
  <c r="BD31" i="5"/>
  <c r="BD32" i="5"/>
  <c r="BD33" i="5"/>
  <c r="BD36" i="5"/>
  <c r="BD37" i="5"/>
  <c r="BD38" i="5"/>
  <c r="BD39" i="5"/>
  <c r="AT6" i="5"/>
  <c r="AT7" i="5"/>
  <c r="AT8" i="5"/>
  <c r="AT9" i="5"/>
  <c r="AV9" i="5" s="1"/>
  <c r="AT10" i="5"/>
  <c r="AT11" i="5"/>
  <c r="AT12" i="5"/>
  <c r="AT13" i="5"/>
  <c r="AV13" i="5" s="1"/>
  <c r="AT14" i="5"/>
  <c r="AT15" i="5"/>
  <c r="AT16" i="5"/>
  <c r="AT17" i="5"/>
  <c r="AV17" i="5" s="1"/>
  <c r="AT18" i="5"/>
  <c r="AT19" i="5"/>
  <c r="AT20" i="5"/>
  <c r="AT21" i="5"/>
  <c r="AV21" i="5" s="1"/>
  <c r="AT22" i="5"/>
  <c r="AT23" i="5"/>
  <c r="AT24" i="5"/>
  <c r="AT25" i="5"/>
  <c r="AV25" i="5" s="1"/>
  <c r="AT26" i="5"/>
  <c r="AT27" i="5"/>
  <c r="AT28" i="5"/>
  <c r="AT29" i="5"/>
  <c r="AT30" i="5"/>
  <c r="AT31" i="5"/>
  <c r="AT32" i="5"/>
  <c r="AT33" i="5"/>
  <c r="AT34" i="5"/>
  <c r="AT35" i="5"/>
  <c r="AT36" i="5"/>
  <c r="AT37" i="5"/>
  <c r="AV37" i="5" s="1"/>
  <c r="AT38" i="5"/>
  <c r="AT39" i="5"/>
  <c r="AT40" i="5"/>
  <c r="AT41" i="5"/>
  <c r="AT42" i="5"/>
  <c r="AT43" i="5"/>
  <c r="AT44" i="5"/>
  <c r="AT45" i="5"/>
  <c r="AT46" i="5"/>
  <c r="AT47" i="5"/>
  <c r="AT48" i="5"/>
  <c r="AT49" i="5"/>
  <c r="AV49" i="5" s="1"/>
  <c r="AT50" i="5"/>
  <c r="AT51" i="5"/>
  <c r="AT52" i="5"/>
  <c r="AT53" i="5"/>
  <c r="AV53" i="5" s="1"/>
  <c r="AT54" i="5"/>
  <c r="AT55" i="5"/>
  <c r="AT56" i="5"/>
  <c r="AT57" i="5"/>
  <c r="AV57" i="5" s="1"/>
  <c r="AT58" i="5"/>
  <c r="AT59" i="5"/>
  <c r="AT60" i="5"/>
  <c r="AT61" i="5"/>
  <c r="AV61" i="5" s="1"/>
  <c r="AT62" i="5"/>
  <c r="AT63" i="5"/>
  <c r="AT64" i="5"/>
  <c r="AT65" i="5"/>
  <c r="AV65" i="5" s="1"/>
  <c r="AT66" i="5"/>
  <c r="AT67" i="5"/>
  <c r="AT68" i="5"/>
  <c r="AT69" i="5"/>
  <c r="AV69" i="5" s="1"/>
  <c r="AT70" i="5"/>
  <c r="AT71" i="5"/>
  <c r="AT72" i="5"/>
  <c r="AT73" i="5"/>
  <c r="AV73" i="5" s="1"/>
  <c r="AT74" i="5"/>
  <c r="AT75" i="5"/>
  <c r="AT76" i="5"/>
  <c r="AT77" i="5"/>
  <c r="AV77" i="5" s="1"/>
  <c r="AT78" i="5"/>
  <c r="AT79" i="5"/>
  <c r="AT80" i="5"/>
  <c r="AT81" i="5"/>
  <c r="AV81" i="5" s="1"/>
  <c r="AT82" i="5"/>
  <c r="AT83" i="5"/>
  <c r="AT84" i="5"/>
  <c r="AT85" i="5"/>
  <c r="AV85" i="5" s="1"/>
  <c r="AT86" i="5"/>
  <c r="AT87" i="5"/>
  <c r="AT88" i="5"/>
  <c r="AT89" i="5"/>
  <c r="AV89" i="5" s="1"/>
  <c r="AT90" i="5"/>
  <c r="AT5" i="5"/>
  <c r="AV6" i="5"/>
  <c r="AV8" i="5"/>
  <c r="AV10" i="5"/>
  <c r="AV11" i="5"/>
  <c r="AV12" i="5"/>
  <c r="AV14" i="5"/>
  <c r="AV15" i="5"/>
  <c r="AV16" i="5"/>
  <c r="AV18" i="5"/>
  <c r="AV19" i="5"/>
  <c r="AV20" i="5"/>
  <c r="AV22" i="5"/>
  <c r="AV23" i="5"/>
  <c r="AV24" i="5"/>
  <c r="AV26" i="5"/>
  <c r="AV27" i="5"/>
  <c r="AV29" i="5"/>
  <c r="AV30" i="5"/>
  <c r="AV31" i="5"/>
  <c r="AV32" i="5"/>
  <c r="AV33" i="5"/>
  <c r="AV36" i="5"/>
  <c r="AV38" i="5"/>
  <c r="AV39" i="5"/>
  <c r="AV47" i="5"/>
  <c r="AV48" i="5"/>
  <c r="AV50" i="5"/>
  <c r="AV51" i="5"/>
  <c r="AV52" i="5"/>
  <c r="AV54" i="5"/>
  <c r="AV55" i="5"/>
  <c r="AV56" i="5"/>
  <c r="AV58" i="5"/>
  <c r="AV59" i="5"/>
  <c r="AV60" i="5"/>
  <c r="AV62" i="5"/>
  <c r="AV63" i="5"/>
  <c r="AV64" i="5"/>
  <c r="AV66" i="5"/>
  <c r="AV67" i="5"/>
  <c r="AV68" i="5"/>
  <c r="AV70" i="5"/>
  <c r="AV71" i="5"/>
  <c r="AV72" i="5"/>
  <c r="AV74" i="5"/>
  <c r="AV75" i="5"/>
  <c r="AV76" i="5"/>
  <c r="AV78" i="5"/>
  <c r="AV79" i="5"/>
  <c r="AV80" i="5"/>
  <c r="AV82" i="5"/>
  <c r="AV83" i="5"/>
  <c r="AV84" i="5"/>
  <c r="AV86" i="5"/>
  <c r="AV87" i="5"/>
  <c r="AV88" i="5"/>
  <c r="AV90" i="5"/>
  <c r="AV5" i="5"/>
  <c r="AU90" i="5"/>
  <c r="AU29" i="5"/>
  <c r="AU47" i="5"/>
  <c r="AU48" i="5"/>
  <c r="AU55" i="5"/>
  <c r="AU56" i="5"/>
  <c r="AU63" i="5"/>
  <c r="AU64" i="5"/>
  <c r="AU71" i="5"/>
  <c r="AU72" i="5"/>
  <c r="AU79" i="5"/>
  <c r="AU80" i="5"/>
  <c r="AU87" i="5"/>
  <c r="AU88" i="5"/>
  <c r="AZ47" i="5"/>
  <c r="BA47" i="5"/>
  <c r="BB47" i="5"/>
  <c r="BD47" i="5"/>
  <c r="BE47" i="5"/>
  <c r="BF47" i="5"/>
  <c r="BG47" i="5"/>
  <c r="BH47" i="5"/>
  <c r="BI47" i="5"/>
  <c r="AZ48" i="5"/>
  <c r="BA48" i="5"/>
  <c r="BB48" i="5"/>
  <c r="BD48" i="5"/>
  <c r="BE48" i="5"/>
  <c r="BF48" i="5"/>
  <c r="BG48" i="5"/>
  <c r="BH48" i="5"/>
  <c r="BI48" i="5"/>
  <c r="AZ49" i="5"/>
  <c r="AU49" i="5" s="1"/>
  <c r="BA49" i="5"/>
  <c r="BB49" i="5"/>
  <c r="BD49" i="5"/>
  <c r="BE49" i="5"/>
  <c r="BF49" i="5"/>
  <c r="BG49" i="5"/>
  <c r="BH49" i="5"/>
  <c r="BI49" i="5"/>
  <c r="AZ50" i="5"/>
  <c r="AU50" i="5" s="1"/>
  <c r="BA50" i="5"/>
  <c r="BB50" i="5"/>
  <c r="BD50" i="5"/>
  <c r="BE50" i="5"/>
  <c r="BF50" i="5"/>
  <c r="BG50" i="5"/>
  <c r="BH50" i="5"/>
  <c r="BI50" i="5"/>
  <c r="AZ51" i="5"/>
  <c r="AU51" i="5" s="1"/>
  <c r="BA51" i="5"/>
  <c r="BB51" i="5"/>
  <c r="BD51" i="5"/>
  <c r="BE51" i="5"/>
  <c r="BF51" i="5"/>
  <c r="BG51" i="5"/>
  <c r="BH51" i="5"/>
  <c r="BI51" i="5"/>
  <c r="AZ52" i="5"/>
  <c r="BA52" i="5"/>
  <c r="BB52" i="5"/>
  <c r="AU52" i="5" s="1"/>
  <c r="BD52" i="5"/>
  <c r="BE52" i="5"/>
  <c r="BF52" i="5"/>
  <c r="BG52" i="5"/>
  <c r="BH52" i="5"/>
  <c r="BI52" i="5"/>
  <c r="AZ53" i="5"/>
  <c r="AU53" i="5" s="1"/>
  <c r="BA53" i="5"/>
  <c r="BB53" i="5"/>
  <c r="BD53" i="5"/>
  <c r="BE53" i="5"/>
  <c r="BF53" i="5"/>
  <c r="BG53" i="5"/>
  <c r="BH53" i="5"/>
  <c r="BI53" i="5"/>
  <c r="AZ54" i="5"/>
  <c r="AU54" i="5" s="1"/>
  <c r="BA54" i="5"/>
  <c r="BB54" i="5"/>
  <c r="BD54" i="5"/>
  <c r="BE54" i="5"/>
  <c r="BF54" i="5"/>
  <c r="BG54" i="5"/>
  <c r="BH54" i="5"/>
  <c r="BI54" i="5"/>
  <c r="AZ55" i="5"/>
  <c r="BA55" i="5"/>
  <c r="BB55" i="5"/>
  <c r="BD55" i="5"/>
  <c r="BE55" i="5"/>
  <c r="BF55" i="5"/>
  <c r="BG55" i="5"/>
  <c r="BH55" i="5"/>
  <c r="BI55" i="5"/>
  <c r="AZ56" i="5"/>
  <c r="BA56" i="5"/>
  <c r="BB56" i="5"/>
  <c r="BD56" i="5"/>
  <c r="BE56" i="5"/>
  <c r="BF56" i="5"/>
  <c r="BG56" i="5"/>
  <c r="BH56" i="5"/>
  <c r="BI56" i="5"/>
  <c r="AZ57" i="5"/>
  <c r="AU57" i="5" s="1"/>
  <c r="BA57" i="5"/>
  <c r="BB57" i="5"/>
  <c r="BD57" i="5"/>
  <c r="BE57" i="5"/>
  <c r="BF57" i="5"/>
  <c r="BG57" i="5"/>
  <c r="BH57" i="5"/>
  <c r="BI57" i="5"/>
  <c r="AZ58" i="5"/>
  <c r="AU58" i="5" s="1"/>
  <c r="BA58" i="5"/>
  <c r="BB58" i="5"/>
  <c r="BD58" i="5"/>
  <c r="BE58" i="5"/>
  <c r="BF58" i="5"/>
  <c r="BG58" i="5"/>
  <c r="BH58" i="5"/>
  <c r="BI58" i="5"/>
  <c r="AZ59" i="5"/>
  <c r="AU59" i="5" s="1"/>
  <c r="BA59" i="5"/>
  <c r="BB59" i="5"/>
  <c r="BD59" i="5"/>
  <c r="BE59" i="5"/>
  <c r="BF59" i="5"/>
  <c r="BG59" i="5"/>
  <c r="BH59" i="5"/>
  <c r="BI59" i="5"/>
  <c r="AZ60" i="5"/>
  <c r="BA60" i="5"/>
  <c r="BB60" i="5"/>
  <c r="AU60" i="5" s="1"/>
  <c r="BD60" i="5"/>
  <c r="BE60" i="5"/>
  <c r="BF60" i="5"/>
  <c r="BG60" i="5"/>
  <c r="BH60" i="5"/>
  <c r="BI60" i="5"/>
  <c r="AZ61" i="5"/>
  <c r="AU61" i="5" s="1"/>
  <c r="BA61" i="5"/>
  <c r="BB61" i="5"/>
  <c r="BD61" i="5"/>
  <c r="BE61" i="5"/>
  <c r="BF61" i="5"/>
  <c r="BG61" i="5"/>
  <c r="BH61" i="5"/>
  <c r="BI61" i="5"/>
  <c r="AZ62" i="5"/>
  <c r="AU62" i="5" s="1"/>
  <c r="BA62" i="5"/>
  <c r="BB62" i="5"/>
  <c r="BD62" i="5"/>
  <c r="BE62" i="5"/>
  <c r="BF62" i="5"/>
  <c r="BG62" i="5"/>
  <c r="BH62" i="5"/>
  <c r="BI62" i="5"/>
  <c r="AZ63" i="5"/>
  <c r="BA63" i="5"/>
  <c r="BB63" i="5"/>
  <c r="BD63" i="5"/>
  <c r="BE63" i="5"/>
  <c r="BF63" i="5"/>
  <c r="BG63" i="5"/>
  <c r="BH63" i="5"/>
  <c r="BI63" i="5"/>
  <c r="AZ64" i="5"/>
  <c r="BA64" i="5"/>
  <c r="BB64" i="5"/>
  <c r="BD64" i="5"/>
  <c r="BE64" i="5"/>
  <c r="BF64" i="5"/>
  <c r="BG64" i="5"/>
  <c r="BH64" i="5"/>
  <c r="BI64" i="5"/>
  <c r="AZ65" i="5"/>
  <c r="AU65" i="5" s="1"/>
  <c r="BA65" i="5"/>
  <c r="BB65" i="5"/>
  <c r="BD65" i="5"/>
  <c r="BE65" i="5"/>
  <c r="BF65" i="5"/>
  <c r="BG65" i="5"/>
  <c r="BH65" i="5"/>
  <c r="BI65" i="5"/>
  <c r="AZ66" i="5"/>
  <c r="AU66" i="5" s="1"/>
  <c r="BA66" i="5"/>
  <c r="BB66" i="5"/>
  <c r="BD66" i="5"/>
  <c r="BE66" i="5"/>
  <c r="BF66" i="5"/>
  <c r="BG66" i="5"/>
  <c r="BH66" i="5"/>
  <c r="BI66" i="5"/>
  <c r="AZ67" i="5"/>
  <c r="AU67" i="5" s="1"/>
  <c r="BA67" i="5"/>
  <c r="BB67" i="5"/>
  <c r="BD67" i="5"/>
  <c r="BE67" i="5"/>
  <c r="BF67" i="5"/>
  <c r="BG67" i="5"/>
  <c r="BH67" i="5"/>
  <c r="BI67" i="5"/>
  <c r="AZ68" i="5"/>
  <c r="BA68" i="5"/>
  <c r="BB68" i="5"/>
  <c r="AU68" i="5" s="1"/>
  <c r="BD68" i="5"/>
  <c r="BE68" i="5"/>
  <c r="BF68" i="5"/>
  <c r="BG68" i="5"/>
  <c r="BH68" i="5"/>
  <c r="BI68" i="5"/>
  <c r="AZ69" i="5"/>
  <c r="AU69" i="5" s="1"/>
  <c r="BA69" i="5"/>
  <c r="BB69" i="5"/>
  <c r="BD69" i="5"/>
  <c r="BE69" i="5"/>
  <c r="BF69" i="5"/>
  <c r="BG69" i="5"/>
  <c r="BH69" i="5"/>
  <c r="BI69" i="5"/>
  <c r="AZ70" i="5"/>
  <c r="AU70" i="5" s="1"/>
  <c r="BA70" i="5"/>
  <c r="BB70" i="5"/>
  <c r="BD70" i="5"/>
  <c r="BE70" i="5"/>
  <c r="BF70" i="5"/>
  <c r="BG70" i="5"/>
  <c r="BH70" i="5"/>
  <c r="BI70" i="5"/>
  <c r="AZ71" i="5"/>
  <c r="BA71" i="5"/>
  <c r="BB71" i="5"/>
  <c r="BD71" i="5"/>
  <c r="BE71" i="5"/>
  <c r="BF71" i="5"/>
  <c r="BG71" i="5"/>
  <c r="BH71" i="5"/>
  <c r="BI71" i="5"/>
  <c r="AZ72" i="5"/>
  <c r="BA72" i="5"/>
  <c r="BB72" i="5"/>
  <c r="BD72" i="5"/>
  <c r="BE72" i="5"/>
  <c r="BF72" i="5"/>
  <c r="BG72" i="5"/>
  <c r="BH72" i="5"/>
  <c r="BI72" i="5"/>
  <c r="AZ73" i="5"/>
  <c r="AU73" i="5" s="1"/>
  <c r="BA73" i="5"/>
  <c r="BB73" i="5"/>
  <c r="BD73" i="5"/>
  <c r="BE73" i="5"/>
  <c r="BF73" i="5"/>
  <c r="BG73" i="5"/>
  <c r="BH73" i="5"/>
  <c r="BI73" i="5"/>
  <c r="AZ74" i="5"/>
  <c r="AU74" i="5" s="1"/>
  <c r="BA74" i="5"/>
  <c r="BB74" i="5"/>
  <c r="BD74" i="5"/>
  <c r="BE74" i="5"/>
  <c r="BF74" i="5"/>
  <c r="BG74" i="5"/>
  <c r="BH74" i="5"/>
  <c r="BI74" i="5"/>
  <c r="AZ75" i="5"/>
  <c r="AU75" i="5" s="1"/>
  <c r="BA75" i="5"/>
  <c r="BB75" i="5"/>
  <c r="BD75" i="5"/>
  <c r="BE75" i="5"/>
  <c r="BF75" i="5"/>
  <c r="BG75" i="5"/>
  <c r="BH75" i="5"/>
  <c r="BI75" i="5"/>
  <c r="AZ76" i="5"/>
  <c r="BA76" i="5"/>
  <c r="BB76" i="5"/>
  <c r="AU76" i="5" s="1"/>
  <c r="BD76" i="5"/>
  <c r="BE76" i="5"/>
  <c r="BF76" i="5"/>
  <c r="BG76" i="5"/>
  <c r="BH76" i="5"/>
  <c r="BI76" i="5"/>
  <c r="AZ77" i="5"/>
  <c r="AU77" i="5" s="1"/>
  <c r="BA77" i="5"/>
  <c r="BB77" i="5"/>
  <c r="BD77" i="5"/>
  <c r="BE77" i="5"/>
  <c r="BF77" i="5"/>
  <c r="BG77" i="5"/>
  <c r="BH77" i="5"/>
  <c r="BI77" i="5"/>
  <c r="AZ78" i="5"/>
  <c r="AU78" i="5" s="1"/>
  <c r="BA78" i="5"/>
  <c r="BB78" i="5"/>
  <c r="BD78" i="5"/>
  <c r="BE78" i="5"/>
  <c r="BF78" i="5"/>
  <c r="BG78" i="5"/>
  <c r="BH78" i="5"/>
  <c r="BI78" i="5"/>
  <c r="AZ79" i="5"/>
  <c r="BA79" i="5"/>
  <c r="BB79" i="5"/>
  <c r="BD79" i="5"/>
  <c r="BE79" i="5"/>
  <c r="BF79" i="5"/>
  <c r="BG79" i="5"/>
  <c r="BH79" i="5"/>
  <c r="BI79" i="5"/>
  <c r="AZ80" i="5"/>
  <c r="BA80" i="5"/>
  <c r="BB80" i="5"/>
  <c r="BD80" i="5"/>
  <c r="BE80" i="5"/>
  <c r="BF80" i="5"/>
  <c r="BG80" i="5"/>
  <c r="BH80" i="5"/>
  <c r="BI80" i="5"/>
  <c r="AZ81" i="5"/>
  <c r="AU81" i="5" s="1"/>
  <c r="BA81" i="5"/>
  <c r="BB81" i="5"/>
  <c r="BD81" i="5"/>
  <c r="BE81" i="5"/>
  <c r="BF81" i="5"/>
  <c r="BG81" i="5"/>
  <c r="BH81" i="5"/>
  <c r="BI81" i="5"/>
  <c r="AZ82" i="5"/>
  <c r="AU82" i="5" s="1"/>
  <c r="BA82" i="5"/>
  <c r="BB82" i="5"/>
  <c r="BD82" i="5"/>
  <c r="BE82" i="5"/>
  <c r="BF82" i="5"/>
  <c r="BG82" i="5"/>
  <c r="BH82" i="5"/>
  <c r="BI82" i="5"/>
  <c r="AZ83" i="5"/>
  <c r="AU83" i="5" s="1"/>
  <c r="BA83" i="5"/>
  <c r="BB83" i="5"/>
  <c r="BD83" i="5"/>
  <c r="BE83" i="5"/>
  <c r="BF83" i="5"/>
  <c r="BG83" i="5"/>
  <c r="BH83" i="5"/>
  <c r="BI83" i="5"/>
  <c r="AZ84" i="5"/>
  <c r="BA84" i="5"/>
  <c r="BB84" i="5"/>
  <c r="AU84" i="5" s="1"/>
  <c r="BD84" i="5"/>
  <c r="BE84" i="5"/>
  <c r="BF84" i="5"/>
  <c r="BG84" i="5"/>
  <c r="BH84" i="5"/>
  <c r="BI84" i="5"/>
  <c r="AZ85" i="5"/>
  <c r="AU85" i="5" s="1"/>
  <c r="BA85" i="5"/>
  <c r="BB85" i="5"/>
  <c r="BD85" i="5"/>
  <c r="BE85" i="5"/>
  <c r="BF85" i="5"/>
  <c r="BG85" i="5"/>
  <c r="BH85" i="5"/>
  <c r="BI85" i="5"/>
  <c r="AZ86" i="5"/>
  <c r="AU86" i="5" s="1"/>
  <c r="BA86" i="5"/>
  <c r="BB86" i="5"/>
  <c r="BD86" i="5"/>
  <c r="BE86" i="5"/>
  <c r="BF86" i="5"/>
  <c r="BG86" i="5"/>
  <c r="BH86" i="5"/>
  <c r="BI86" i="5"/>
  <c r="AZ87" i="5"/>
  <c r="BA87" i="5"/>
  <c r="BB87" i="5"/>
  <c r="BD87" i="5"/>
  <c r="BE87" i="5"/>
  <c r="BF87" i="5"/>
  <c r="BG87" i="5"/>
  <c r="BH87" i="5"/>
  <c r="BI87" i="5"/>
  <c r="AZ88" i="5"/>
  <c r="BA88" i="5"/>
  <c r="BB88" i="5"/>
  <c r="BD88" i="5"/>
  <c r="BE88" i="5"/>
  <c r="BF88" i="5"/>
  <c r="BG88" i="5"/>
  <c r="BH88" i="5"/>
  <c r="BI88" i="5"/>
  <c r="AZ89" i="5"/>
  <c r="AU89" i="5" s="1"/>
  <c r="BA89" i="5"/>
  <c r="BB89" i="5"/>
  <c r="BD89" i="5"/>
  <c r="BE89" i="5"/>
  <c r="BF89" i="5"/>
  <c r="BG89" i="5"/>
  <c r="BH89" i="5"/>
  <c r="BI89" i="5"/>
  <c r="AZ90" i="5"/>
  <c r="BA90" i="5"/>
  <c r="BB90" i="5"/>
  <c r="BD90" i="5"/>
  <c r="BE90" i="5"/>
  <c r="BF90" i="5"/>
  <c r="BG90" i="5"/>
  <c r="BH90" i="5"/>
  <c r="BI90" i="5"/>
  <c r="BJ48" i="5"/>
  <c r="BJ49" i="5"/>
  <c r="BJ50" i="5"/>
  <c r="BJ51" i="5"/>
  <c r="BJ52" i="5"/>
  <c r="BJ53" i="5"/>
  <c r="BJ54" i="5"/>
  <c r="BJ55" i="5"/>
  <c r="BJ56" i="5"/>
  <c r="BJ57" i="5"/>
  <c r="BJ58" i="5"/>
  <c r="BJ59" i="5"/>
  <c r="BJ60" i="5"/>
  <c r="BJ61" i="5"/>
  <c r="BJ62" i="5"/>
  <c r="BJ63" i="5"/>
  <c r="BJ64" i="5"/>
  <c r="BJ65" i="5"/>
  <c r="BJ66" i="5"/>
  <c r="BJ67" i="5"/>
  <c r="BJ68" i="5"/>
  <c r="BJ69" i="5"/>
  <c r="BJ70" i="5"/>
  <c r="BJ71" i="5"/>
  <c r="BJ72" i="5"/>
  <c r="BJ73" i="5"/>
  <c r="BJ74" i="5"/>
  <c r="BJ75" i="5"/>
  <c r="BJ76" i="5"/>
  <c r="BJ77" i="5"/>
  <c r="BJ78" i="5"/>
  <c r="BJ79" i="5"/>
  <c r="BJ80" i="5"/>
  <c r="BJ81" i="5"/>
  <c r="BJ82" i="5"/>
  <c r="BJ83" i="5"/>
  <c r="BJ84" i="5"/>
  <c r="BJ85" i="5"/>
  <c r="BJ86" i="5"/>
  <c r="BJ87" i="5"/>
  <c r="BJ88" i="5"/>
  <c r="BJ89" i="5"/>
  <c r="BJ90" i="5"/>
  <c r="BJ47" i="5"/>
  <c r="BA8" i="5"/>
  <c r="BB8" i="5"/>
  <c r="BI8" i="5"/>
  <c r="AZ9" i="5"/>
  <c r="BG9" i="5"/>
  <c r="BH9" i="5"/>
  <c r="BA12" i="5"/>
  <c r="BB12" i="5"/>
  <c r="BI12" i="5"/>
  <c r="AZ13" i="5"/>
  <c r="BG13" i="5"/>
  <c r="BH13" i="5"/>
  <c r="BA16" i="5"/>
  <c r="BB16" i="5"/>
  <c r="BI16" i="5"/>
  <c r="AZ17" i="5"/>
  <c r="BG17" i="5"/>
  <c r="BH17" i="5"/>
  <c r="BE20" i="5"/>
  <c r="BI20" i="5"/>
  <c r="AZ21" i="5"/>
  <c r="BE21" i="5"/>
  <c r="BI21" i="5"/>
  <c r="BF22" i="5"/>
  <c r="BB24" i="5"/>
  <c r="BG24" i="5"/>
  <c r="BH24" i="5"/>
  <c r="BB25" i="5"/>
  <c r="BH25" i="5"/>
  <c r="BI25" i="5"/>
  <c r="BI26" i="5"/>
  <c r="AZ29" i="5"/>
  <c r="BA29" i="5"/>
  <c r="BE29" i="5"/>
  <c r="BH29" i="5"/>
  <c r="BI29" i="5"/>
  <c r="BB30" i="5"/>
  <c r="BF30" i="5"/>
  <c r="BG30" i="5"/>
  <c r="BA31" i="5"/>
  <c r="BI31" i="5"/>
  <c r="AZ33" i="5"/>
  <c r="BA33" i="5"/>
  <c r="BE33" i="5"/>
  <c r="BH33" i="5"/>
  <c r="BI33" i="5"/>
  <c r="BB36" i="5"/>
  <c r="BF36" i="5"/>
  <c r="BG36" i="5"/>
  <c r="BA37" i="5"/>
  <c r="BI37" i="5"/>
  <c r="AZ39" i="5"/>
  <c r="BA39" i="5"/>
  <c r="BE39" i="5"/>
  <c r="BH39" i="5"/>
  <c r="BI39" i="5"/>
  <c r="BJ5" i="5"/>
  <c r="BJ6" i="5"/>
  <c r="BJ8" i="5"/>
  <c r="BF8" i="5" s="1"/>
  <c r="BJ9" i="5"/>
  <c r="BJ10" i="5"/>
  <c r="BJ11" i="5"/>
  <c r="BJ12" i="5"/>
  <c r="BF12" i="5" s="1"/>
  <c r="BJ13" i="5"/>
  <c r="BJ14" i="5"/>
  <c r="BF14" i="5" s="1"/>
  <c r="BJ15" i="5"/>
  <c r="BJ16" i="5"/>
  <c r="BF16" i="5" s="1"/>
  <c r="BJ17" i="5"/>
  <c r="BJ18" i="5"/>
  <c r="BJ19" i="5"/>
  <c r="BJ20" i="5"/>
  <c r="BB20" i="5" s="1"/>
  <c r="BJ21" i="5"/>
  <c r="BJ22" i="5"/>
  <c r="BA22" i="5" s="1"/>
  <c r="BJ23" i="5"/>
  <c r="BA23" i="5" s="1"/>
  <c r="BJ24" i="5"/>
  <c r="AZ24" i="5" s="1"/>
  <c r="AU24" i="5" s="1"/>
  <c r="BJ25" i="5"/>
  <c r="BA25" i="5" s="1"/>
  <c r="BJ26" i="5"/>
  <c r="BJ27" i="5"/>
  <c r="BJ29" i="5"/>
  <c r="BB29" i="5" s="1"/>
  <c r="BJ30" i="5"/>
  <c r="AZ30" i="5" s="1"/>
  <c r="BJ31" i="5"/>
  <c r="BE31" i="5" s="1"/>
  <c r="BJ32" i="5"/>
  <c r="BJ33" i="5"/>
  <c r="BB33" i="5" s="1"/>
  <c r="BJ36" i="5"/>
  <c r="AZ36" i="5" s="1"/>
  <c r="BJ37" i="5"/>
  <c r="BJ38" i="5"/>
  <c r="BG38" i="5" s="1"/>
  <c r="BJ39" i="5"/>
  <c r="BB39" i="5" s="1"/>
  <c r="AW5" i="5"/>
  <c r="AW6" i="5"/>
  <c r="AW11" i="5"/>
  <c r="AW12" i="5"/>
  <c r="AW15" i="5"/>
  <c r="AW16" i="5"/>
  <c r="AW17" i="5"/>
  <c r="AW22" i="5"/>
  <c r="AW27" i="5"/>
  <c r="AW36" i="5"/>
  <c r="P120" i="6" l="1"/>
  <c r="I129" i="6"/>
  <c r="N129" i="6" s="1"/>
  <c r="M137" i="6"/>
  <c r="P137" i="6" s="1"/>
  <c r="I125" i="6"/>
  <c r="N125" i="6" s="1"/>
  <c r="P125" i="6" s="1"/>
  <c r="M133" i="6"/>
  <c r="R133" i="6" s="1"/>
  <c r="I138" i="6"/>
  <c r="N138" i="6" s="1"/>
  <c r="R138" i="6" s="1"/>
  <c r="M134" i="6"/>
  <c r="R134" i="6" s="1"/>
  <c r="I140" i="6"/>
  <c r="N140" i="6" s="1"/>
  <c r="R140" i="6" s="1"/>
  <c r="I132" i="6"/>
  <c r="N132" i="6" s="1"/>
  <c r="R132" i="6" s="1"/>
  <c r="I128" i="6"/>
  <c r="N128" i="6" s="1"/>
  <c r="P128" i="6" s="1"/>
  <c r="M136" i="6"/>
  <c r="R136" i="6" s="1"/>
  <c r="M124" i="6"/>
  <c r="R124" i="6" s="1"/>
  <c r="I139" i="6"/>
  <c r="N139" i="6" s="1"/>
  <c r="R139" i="6" s="1"/>
  <c r="I135" i="6"/>
  <c r="N135" i="6" s="1"/>
  <c r="R135" i="6" s="1"/>
  <c r="I131" i="6"/>
  <c r="N131" i="6" s="1"/>
  <c r="P131" i="6" s="1"/>
  <c r="I127" i="6"/>
  <c r="N127" i="6" s="1"/>
  <c r="P127" i="6" s="1"/>
  <c r="I123" i="6"/>
  <c r="N123" i="6" s="1"/>
  <c r="R123" i="6" s="1"/>
  <c r="R129" i="6"/>
  <c r="R137" i="6"/>
  <c r="R121" i="6"/>
  <c r="R120" i="6"/>
  <c r="R130" i="6"/>
  <c r="R126" i="6"/>
  <c r="R122" i="6"/>
  <c r="P133" i="6"/>
  <c r="P129" i="6"/>
  <c r="P121" i="6"/>
  <c r="P138" i="6"/>
  <c r="P130" i="6"/>
  <c r="P126" i="6"/>
  <c r="P122" i="6"/>
  <c r="BV2" i="5"/>
  <c r="AZ27" i="5"/>
  <c r="BH27" i="5"/>
  <c r="BA27" i="5"/>
  <c r="BE27" i="5"/>
  <c r="BI27" i="5"/>
  <c r="BA15" i="5"/>
  <c r="BE15" i="5"/>
  <c r="BI15" i="5"/>
  <c r="BB15" i="5"/>
  <c r="BF15" i="5"/>
  <c r="BG15" i="5"/>
  <c r="AZ15" i="5"/>
  <c r="BH15" i="5"/>
  <c r="BA6" i="5"/>
  <c r="BE6" i="5"/>
  <c r="BI6" i="5"/>
  <c r="BB6" i="5"/>
  <c r="BF6" i="5"/>
  <c r="BG6" i="5"/>
  <c r="AZ6" i="5"/>
  <c r="AU6" i="5" s="1"/>
  <c r="BH6" i="5"/>
  <c r="BG32" i="5"/>
  <c r="BG27" i="5"/>
  <c r="BF32" i="5"/>
  <c r="AZ38" i="5"/>
  <c r="BH38" i="5"/>
  <c r="BA38" i="5"/>
  <c r="BE38" i="5"/>
  <c r="BI38" i="5"/>
  <c r="BB19" i="5"/>
  <c r="BF19" i="5"/>
  <c r="AZ19" i="5"/>
  <c r="BE19" i="5"/>
  <c r="BA19" i="5"/>
  <c r="BG19" i="5"/>
  <c r="BB37" i="5"/>
  <c r="BF37" i="5"/>
  <c r="BG37" i="5"/>
  <c r="BA26" i="5"/>
  <c r="BE26" i="5"/>
  <c r="AZ26" i="5"/>
  <c r="AU26" i="5" s="1"/>
  <c r="BF26" i="5"/>
  <c r="BB26" i="5"/>
  <c r="BG26" i="5"/>
  <c r="AZ18" i="5"/>
  <c r="AU18" i="5" s="1"/>
  <c r="BH18" i="5"/>
  <c r="BE18" i="5"/>
  <c r="BA18" i="5"/>
  <c r="BF18" i="5"/>
  <c r="BG10" i="5"/>
  <c r="AZ10" i="5"/>
  <c r="AU10" i="5" s="1"/>
  <c r="BH10" i="5"/>
  <c r="BA10" i="5"/>
  <c r="BI10" i="5"/>
  <c r="BE10" i="5"/>
  <c r="BB10" i="5"/>
  <c r="BH37" i="5"/>
  <c r="BH31" i="5"/>
  <c r="BE22" i="5"/>
  <c r="BB18" i="5"/>
  <c r="AU36" i="5"/>
  <c r="BE37" i="5"/>
  <c r="BI19" i="5"/>
  <c r="BI18" i="5"/>
  <c r="AZ32" i="5"/>
  <c r="AU32" i="5" s="1"/>
  <c r="BH32" i="5"/>
  <c r="BA32" i="5"/>
  <c r="BE32" i="5"/>
  <c r="BI32" i="5"/>
  <c r="BB23" i="5"/>
  <c r="BG23" i="5"/>
  <c r="BI23" i="5"/>
  <c r="BE23" i="5"/>
  <c r="BA11" i="5"/>
  <c r="BE11" i="5"/>
  <c r="BI11" i="5"/>
  <c r="BB11" i="5"/>
  <c r="BF11" i="5"/>
  <c r="BG11" i="5"/>
  <c r="AZ11" i="5"/>
  <c r="BH11" i="5"/>
  <c r="BH23" i="5"/>
  <c r="BB31" i="5"/>
  <c r="BF31" i="5"/>
  <c r="BG31" i="5"/>
  <c r="AZ22" i="5"/>
  <c r="AU22" i="5" s="1"/>
  <c r="BH22" i="5"/>
  <c r="BB22" i="5"/>
  <c r="BG22" i="5"/>
  <c r="BI22" i="5"/>
  <c r="BG14" i="5"/>
  <c r="AZ14" i="5"/>
  <c r="BH14" i="5"/>
  <c r="BA14" i="5"/>
  <c r="BI14" i="5"/>
  <c r="BB14" i="5"/>
  <c r="BA5" i="5"/>
  <c r="BE5" i="5"/>
  <c r="BI5" i="5"/>
  <c r="BB5" i="5"/>
  <c r="BF5" i="5"/>
  <c r="AZ5" i="5"/>
  <c r="AU5" i="5" s="1"/>
  <c r="BF38" i="5"/>
  <c r="AZ37" i="5"/>
  <c r="AU37" i="5" s="1"/>
  <c r="AZ31" i="5"/>
  <c r="AU31" i="5" s="1"/>
  <c r="BF27" i="5"/>
  <c r="BH26" i="5"/>
  <c r="BF23" i="5"/>
  <c r="AU30" i="5"/>
  <c r="BH5" i="5"/>
  <c r="BG5" i="5"/>
  <c r="AU39" i="5"/>
  <c r="BB38" i="5"/>
  <c r="AU33" i="5"/>
  <c r="BB32" i="5"/>
  <c r="BB27" i="5"/>
  <c r="AZ23" i="5"/>
  <c r="AU23" i="5" s="1"/>
  <c r="BH19" i="5"/>
  <c r="BG18" i="5"/>
  <c r="BE14" i="5"/>
  <c r="BF10" i="5"/>
  <c r="BB21" i="5"/>
  <c r="AU21" i="5" s="1"/>
  <c r="BF21" i="5"/>
  <c r="BA17" i="5"/>
  <c r="BE17" i="5"/>
  <c r="BB17" i="5"/>
  <c r="AU17" i="5" s="1"/>
  <c r="BF17" i="5"/>
  <c r="BA13" i="5"/>
  <c r="BE13" i="5"/>
  <c r="BI13" i="5"/>
  <c r="BB13" i="5"/>
  <c r="AU13" i="5" s="1"/>
  <c r="BF13" i="5"/>
  <c r="BA9" i="5"/>
  <c r="BE9" i="5"/>
  <c r="BI9" i="5"/>
  <c r="BB9" i="5"/>
  <c r="AU9" i="5" s="1"/>
  <c r="BF9" i="5"/>
  <c r="BG39" i="5"/>
  <c r="BI36" i="5"/>
  <c r="BE36" i="5"/>
  <c r="BA36" i="5"/>
  <c r="BG33" i="5"/>
  <c r="BI30" i="5"/>
  <c r="BE30" i="5"/>
  <c r="BA30" i="5"/>
  <c r="BG29" i="5"/>
  <c r="BF25" i="5"/>
  <c r="BF24" i="5"/>
  <c r="BH21" i="5"/>
  <c r="BG20" i="5"/>
  <c r="BG25" i="5"/>
  <c r="BA24" i="5"/>
  <c r="BE24" i="5"/>
  <c r="BI24" i="5"/>
  <c r="AZ20" i="5"/>
  <c r="AU20" i="5" s="1"/>
  <c r="BH20" i="5"/>
  <c r="BG16" i="5"/>
  <c r="AZ16" i="5"/>
  <c r="AU16" i="5" s="1"/>
  <c r="BH16" i="5"/>
  <c r="BG12" i="5"/>
  <c r="AZ12" i="5"/>
  <c r="AU12" i="5" s="1"/>
  <c r="BH12" i="5"/>
  <c r="BG8" i="5"/>
  <c r="AZ8" i="5"/>
  <c r="AU8" i="5" s="1"/>
  <c r="BH8" i="5"/>
  <c r="BF39" i="5"/>
  <c r="BH36" i="5"/>
  <c r="BF33" i="5"/>
  <c r="BH30" i="5"/>
  <c r="BF29" i="5"/>
  <c r="BE25" i="5"/>
  <c r="AZ25" i="5"/>
  <c r="AU25" i="5" s="1"/>
  <c r="BG21" i="5"/>
  <c r="BA21" i="5"/>
  <c r="BF20" i="5"/>
  <c r="BA20" i="5"/>
  <c r="BI17" i="5"/>
  <c r="BE16" i="5"/>
  <c r="BE12" i="5"/>
  <c r="BE8" i="5"/>
  <c r="R125" i="6" l="1"/>
  <c r="R127" i="6"/>
  <c r="P134" i="6"/>
  <c r="P124" i="6"/>
  <c r="P140" i="6"/>
  <c r="P123" i="6"/>
  <c r="R131" i="6"/>
  <c r="P136" i="6"/>
  <c r="P132" i="6"/>
  <c r="P135" i="6"/>
  <c r="P139" i="6"/>
  <c r="R128" i="6"/>
  <c r="AU15" i="5"/>
  <c r="AU27" i="5"/>
  <c r="AU14" i="5"/>
  <c r="AU11" i="5"/>
  <c r="AU19" i="5"/>
  <c r="AU38" i="5"/>
  <c r="P118" i="6" l="1"/>
  <c r="AB27" i="5" l="1"/>
  <c r="AA27" i="5"/>
  <c r="AB36" i="4"/>
  <c r="AA36" i="4"/>
  <c r="AB36" i="5"/>
  <c r="AA36" i="5"/>
  <c r="AA6" i="5"/>
  <c r="AB6" i="5"/>
  <c r="AA11" i="5"/>
  <c r="AB11" i="5"/>
  <c r="AA12" i="5"/>
  <c r="AB12" i="5"/>
  <c r="AA15" i="5"/>
  <c r="AB15" i="5"/>
  <c r="AA16" i="5"/>
  <c r="AB16" i="5"/>
  <c r="AA17" i="5"/>
  <c r="AB17" i="5"/>
  <c r="AA22" i="5"/>
  <c r="AB22" i="5"/>
  <c r="AB5" i="5"/>
  <c r="AA5" i="5"/>
  <c r="AA6" i="4"/>
  <c r="AB6" i="4"/>
  <c r="AA11" i="4"/>
  <c r="AB11" i="4"/>
  <c r="AA12" i="4"/>
  <c r="AB12" i="4"/>
  <c r="AA15" i="4"/>
  <c r="AB15" i="4"/>
  <c r="AA16" i="4"/>
  <c r="AB16" i="4"/>
  <c r="AA17" i="4"/>
  <c r="AB17" i="4"/>
  <c r="AA22" i="4"/>
  <c r="AB22" i="4"/>
  <c r="AA27" i="4"/>
  <c r="AB27" i="4"/>
  <c r="AB5" i="4"/>
  <c r="AA5" i="4"/>
  <c r="AA83" i="5"/>
  <c r="AB83" i="5"/>
  <c r="AA52" i="5"/>
  <c r="AB52" i="5"/>
  <c r="AA54" i="5"/>
  <c r="AB54" i="5"/>
  <c r="AA56" i="5"/>
  <c r="AB56" i="5"/>
  <c r="AA58" i="5"/>
  <c r="AB58" i="5"/>
  <c r="AA60" i="5"/>
  <c r="AB60" i="5"/>
  <c r="AA62" i="5"/>
  <c r="AB62" i="5"/>
  <c r="AA64" i="5"/>
  <c r="AB64" i="5"/>
  <c r="AA66" i="5"/>
  <c r="AB66" i="5"/>
  <c r="AA68" i="5"/>
  <c r="AB68" i="5"/>
  <c r="AA70" i="5"/>
  <c r="AB70" i="5"/>
  <c r="AA72" i="5"/>
  <c r="AB72" i="5"/>
  <c r="AA74" i="5"/>
  <c r="AB74" i="5"/>
  <c r="AA76" i="5"/>
  <c r="AB76" i="5"/>
  <c r="AA80" i="5"/>
  <c r="AB80" i="5"/>
  <c r="AA82" i="5"/>
  <c r="AB82" i="5"/>
  <c r="AA84" i="5"/>
  <c r="AB84" i="5"/>
  <c r="AA86" i="5"/>
  <c r="AB86" i="5"/>
  <c r="AA88" i="5"/>
  <c r="AB88" i="5"/>
  <c r="AA90" i="5"/>
  <c r="AB90" i="5"/>
  <c r="AB50" i="5"/>
  <c r="AA50" i="5"/>
  <c r="AC50" i="5" s="1"/>
  <c r="Y5" i="1"/>
  <c r="Z5" i="1"/>
  <c r="T17" i="1"/>
  <c r="U17" i="1"/>
  <c r="AB5" i="1"/>
  <c r="X36" i="5"/>
  <c r="W36" i="5"/>
  <c r="V36" i="5"/>
  <c r="X27" i="5"/>
  <c r="W27" i="5"/>
  <c r="V27" i="5"/>
  <c r="X22" i="5"/>
  <c r="W22" i="5"/>
  <c r="V22" i="5"/>
  <c r="X17" i="5"/>
  <c r="W17" i="5"/>
  <c r="V17" i="5"/>
  <c r="X16" i="5"/>
  <c r="W16" i="5"/>
  <c r="V16" i="5"/>
  <c r="X15" i="5"/>
  <c r="W15" i="5"/>
  <c r="V15" i="5"/>
  <c r="X12" i="5"/>
  <c r="W12" i="5"/>
  <c r="V12" i="5"/>
  <c r="X11" i="5"/>
  <c r="W11" i="5"/>
  <c r="V11" i="5"/>
  <c r="X6" i="5"/>
  <c r="W6" i="5"/>
  <c r="V6" i="5"/>
  <c r="X5" i="5"/>
  <c r="W5" i="5"/>
  <c r="V5" i="5"/>
  <c r="V6" i="4"/>
  <c r="W6" i="4"/>
  <c r="X6" i="4"/>
  <c r="V11" i="4"/>
  <c r="W11" i="4"/>
  <c r="X11" i="4"/>
  <c r="V12" i="4"/>
  <c r="W12" i="4"/>
  <c r="X12" i="4"/>
  <c r="V15" i="4"/>
  <c r="W15" i="4"/>
  <c r="X15" i="4"/>
  <c r="V16" i="4"/>
  <c r="W16" i="4"/>
  <c r="X16" i="4"/>
  <c r="V17" i="4"/>
  <c r="W17" i="4"/>
  <c r="X17" i="4"/>
  <c r="V22" i="4"/>
  <c r="W22" i="4"/>
  <c r="X22" i="4"/>
  <c r="V27" i="4"/>
  <c r="W27" i="4"/>
  <c r="X27" i="4"/>
  <c r="V36" i="4"/>
  <c r="W36" i="4"/>
  <c r="X36" i="4"/>
  <c r="X5" i="4"/>
  <c r="W5" i="4"/>
  <c r="V5" i="4"/>
  <c r="AH6" i="1"/>
  <c r="AI6" i="1"/>
  <c r="AJ6" i="1" s="1"/>
  <c r="AH7" i="1"/>
  <c r="AJ7" i="1" s="1"/>
  <c r="AI7" i="1"/>
  <c r="AH8" i="1"/>
  <c r="AJ8" i="1" s="1"/>
  <c r="AI8" i="1"/>
  <c r="AH9" i="1"/>
  <c r="AJ9" i="1" s="1"/>
  <c r="AI9" i="1"/>
  <c r="AH10" i="1"/>
  <c r="AJ10" i="1" s="1"/>
  <c r="AI10" i="1"/>
  <c r="AH11" i="1"/>
  <c r="AI11" i="1"/>
  <c r="AJ11" i="1" s="1"/>
  <c r="AH12" i="1"/>
  <c r="AI12" i="1"/>
  <c r="AJ12" i="1"/>
  <c r="AH13" i="1"/>
  <c r="AJ13" i="1" s="1"/>
  <c r="AI13" i="1"/>
  <c r="AH14" i="1"/>
  <c r="AJ14" i="1" s="1"/>
  <c r="AI14" i="1"/>
  <c r="AH15" i="1"/>
  <c r="AI15" i="1"/>
  <c r="AJ15" i="1" s="1"/>
  <c r="AH16" i="1"/>
  <c r="AI16" i="1"/>
  <c r="AJ16" i="1"/>
  <c r="AH17" i="1"/>
  <c r="AJ17" i="1" s="1"/>
  <c r="AI17" i="1"/>
  <c r="AH18" i="1"/>
  <c r="AJ18" i="1" s="1"/>
  <c r="AI18" i="1"/>
  <c r="AH19" i="1"/>
  <c r="AI19" i="1"/>
  <c r="AJ19" i="1" s="1"/>
  <c r="AH20" i="1"/>
  <c r="AI20" i="1"/>
  <c r="AJ20" i="1"/>
  <c r="AH21" i="1"/>
  <c r="AJ21" i="1" s="1"/>
  <c r="AI21" i="1"/>
  <c r="AH22" i="1"/>
  <c r="AJ22" i="1" s="1"/>
  <c r="AI22" i="1"/>
  <c r="AH23" i="1"/>
  <c r="AI23" i="1"/>
  <c r="AJ23" i="1" s="1"/>
  <c r="AH24" i="1"/>
  <c r="AI24" i="1"/>
  <c r="AJ24" i="1"/>
  <c r="AH25" i="1"/>
  <c r="AJ25" i="1" s="1"/>
  <c r="AI25" i="1"/>
  <c r="AH26" i="1"/>
  <c r="AJ26" i="1" s="1"/>
  <c r="AI26" i="1"/>
  <c r="AH27" i="1"/>
  <c r="AI27" i="1"/>
  <c r="AJ27" i="1" s="1"/>
  <c r="AH28" i="1"/>
  <c r="AI28" i="1"/>
  <c r="AJ28" i="1"/>
  <c r="AH29" i="1"/>
  <c r="AJ29" i="1" s="1"/>
  <c r="AI29" i="1"/>
  <c r="AH30" i="1"/>
  <c r="AJ30" i="1" s="1"/>
  <c r="AI30" i="1"/>
  <c r="AH31" i="1"/>
  <c r="AI31" i="1"/>
  <c r="AJ31" i="1" s="1"/>
  <c r="AH32" i="1"/>
  <c r="AI32" i="1"/>
  <c r="AJ32" i="1"/>
  <c r="AH33" i="1"/>
  <c r="AJ33" i="1" s="1"/>
  <c r="AI33" i="1"/>
  <c r="AH34" i="1"/>
  <c r="AJ34" i="1" s="1"/>
  <c r="AI34" i="1"/>
  <c r="AH35" i="1"/>
  <c r="AI35" i="1"/>
  <c r="AJ35" i="1" s="1"/>
  <c r="AH36" i="1"/>
  <c r="AI36" i="1"/>
  <c r="AJ36" i="1"/>
  <c r="AH37" i="1"/>
  <c r="AJ37" i="1" s="1"/>
  <c r="AI37" i="1"/>
  <c r="AH38" i="1"/>
  <c r="AJ38" i="1" s="1"/>
  <c r="AI38" i="1"/>
  <c r="AH39" i="1"/>
  <c r="AI39" i="1"/>
  <c r="AJ39" i="1" s="1"/>
  <c r="AH40" i="1"/>
  <c r="AI40" i="1"/>
  <c r="AJ40" i="1"/>
  <c r="AH41" i="1"/>
  <c r="AJ41" i="1" s="1"/>
  <c r="AI41" i="1"/>
  <c r="AH42" i="1"/>
  <c r="AJ42" i="1" s="1"/>
  <c r="AI42" i="1"/>
  <c r="AH43" i="1"/>
  <c r="AI43" i="1"/>
  <c r="AJ43" i="1" s="1"/>
  <c r="AH44" i="1"/>
  <c r="AI44" i="1"/>
  <c r="AJ44" i="1"/>
  <c r="AH45" i="1"/>
  <c r="AJ45" i="1" s="1"/>
  <c r="AI45" i="1"/>
  <c r="AD50" i="5" l="1"/>
  <c r="AW50" i="5"/>
  <c r="AC58" i="5"/>
  <c r="AC84" i="5"/>
  <c r="AC83" i="5"/>
  <c r="AC80" i="5"/>
  <c r="AC74" i="5"/>
  <c r="AC66" i="5"/>
  <c r="AC62" i="5"/>
  <c r="AC88" i="5"/>
  <c r="AC70" i="5"/>
  <c r="AC54" i="5"/>
  <c r="AC90" i="5"/>
  <c r="AC76" i="5"/>
  <c r="AC68" i="5"/>
  <c r="AC64" i="5"/>
  <c r="AC52" i="5"/>
  <c r="AC86" i="5"/>
  <c r="AC82" i="5"/>
  <c r="AC72" i="5"/>
  <c r="AC60" i="5"/>
  <c r="AC56" i="5"/>
  <c r="AC17" i="5"/>
  <c r="AD17" i="5" s="1"/>
  <c r="AC16" i="5"/>
  <c r="AD16" i="5" s="1"/>
  <c r="AC5" i="5"/>
  <c r="AD5" i="5" s="1"/>
  <c r="AC12" i="5"/>
  <c r="AD12" i="5" s="1"/>
  <c r="AC15" i="5"/>
  <c r="AD15" i="5" s="1"/>
  <c r="AC22" i="5"/>
  <c r="AD22" i="5" s="1"/>
  <c r="AC27" i="5"/>
  <c r="AD27" i="5" s="1"/>
  <c r="AC6" i="5"/>
  <c r="AD6" i="5" s="1"/>
  <c r="AC11" i="5"/>
  <c r="AD11" i="5" s="1"/>
  <c r="AC6" i="4"/>
  <c r="AD6" i="4" s="1"/>
  <c r="AC11" i="4"/>
  <c r="AD11" i="4" s="1"/>
  <c r="AC36" i="4"/>
  <c r="AD36" i="4" s="1"/>
  <c r="AC27" i="4"/>
  <c r="AD27" i="4" s="1"/>
  <c r="AC5" i="4"/>
  <c r="AD5" i="4" s="1"/>
  <c r="AC22" i="4"/>
  <c r="AD22" i="4" s="1"/>
  <c r="AC17" i="4"/>
  <c r="AD17" i="4" s="1"/>
  <c r="AC15" i="4"/>
  <c r="AD15" i="4" s="1"/>
  <c r="AC16" i="4"/>
  <c r="AD16" i="4" s="1"/>
  <c r="AC12" i="4"/>
  <c r="AD12" i="4" s="1"/>
  <c r="AL7" i="1"/>
  <c r="AL11" i="1"/>
  <c r="AL15" i="1"/>
  <c r="AP17" i="1"/>
  <c r="AL19" i="1"/>
  <c r="AL21" i="1"/>
  <c r="AL23" i="1"/>
  <c r="AL25" i="1"/>
  <c r="AL27" i="1"/>
  <c r="AL29" i="1"/>
  <c r="AL31" i="1"/>
  <c r="AP35" i="1"/>
  <c r="AL37" i="1"/>
  <c r="AL39" i="1"/>
  <c r="AL41" i="1"/>
  <c r="AP43" i="1"/>
  <c r="AP45" i="1"/>
  <c r="AI5" i="1"/>
  <c r="AH5" i="1"/>
  <c r="AP5" i="1" s="1"/>
  <c r="AP7" i="1"/>
  <c r="AP11" i="1"/>
  <c r="AP25" i="1"/>
  <c r="AP38" i="1"/>
  <c r="AP39" i="1"/>
  <c r="AC5" i="1"/>
  <c r="R5" i="1"/>
  <c r="P5" i="1"/>
  <c r="AC38" i="1"/>
  <c r="R38" i="1"/>
  <c r="T38" i="1" s="1"/>
  <c r="Y38" i="1" s="1"/>
  <c r="R7" i="1"/>
  <c r="T7" i="1" s="1"/>
  <c r="Y7" i="1" s="1"/>
  <c r="R9" i="1"/>
  <c r="R11" i="1"/>
  <c r="T11" i="1" s="1"/>
  <c r="Y11" i="1" s="1"/>
  <c r="R13" i="1"/>
  <c r="T13" i="1" s="1"/>
  <c r="Y13" i="1" s="1"/>
  <c r="R15" i="1"/>
  <c r="T15" i="1" s="1"/>
  <c r="Y15" i="1" s="1"/>
  <c r="R17" i="1"/>
  <c r="Y17" i="1" s="1"/>
  <c r="R19" i="1"/>
  <c r="T19" i="1" s="1"/>
  <c r="Y19" i="1" s="1"/>
  <c r="R21" i="1"/>
  <c r="T21" i="1" s="1"/>
  <c r="Y21" i="1" s="1"/>
  <c r="R23" i="1"/>
  <c r="T23" i="1" s="1"/>
  <c r="Y23" i="1" s="1"/>
  <c r="R25" i="1"/>
  <c r="T25" i="1" s="1"/>
  <c r="Y25" i="1" s="1"/>
  <c r="R27" i="1"/>
  <c r="T27" i="1" s="1"/>
  <c r="Y27" i="1" s="1"/>
  <c r="R29" i="1"/>
  <c r="U29" i="1" s="1"/>
  <c r="Z29" i="1" s="1"/>
  <c r="R31" i="1"/>
  <c r="T31" i="1" s="1"/>
  <c r="Y31" i="1" s="1"/>
  <c r="R35" i="1"/>
  <c r="R37" i="1"/>
  <c r="T37" i="1" s="1"/>
  <c r="Y37" i="1" s="1"/>
  <c r="R39" i="1"/>
  <c r="U39" i="1" s="1"/>
  <c r="Z39" i="1" s="1"/>
  <c r="R41" i="1"/>
  <c r="U41" i="1" s="1"/>
  <c r="Z41" i="1" s="1"/>
  <c r="R43" i="1"/>
  <c r="U43" i="1" s="1"/>
  <c r="Z43" i="1" s="1"/>
  <c r="R45" i="1"/>
  <c r="T45" i="1" s="1"/>
  <c r="Y45" i="1" s="1"/>
  <c r="P45" i="1"/>
  <c r="P41" i="1"/>
  <c r="P39" i="1"/>
  <c r="AC7" i="1"/>
  <c r="W7" i="1"/>
  <c r="W9" i="1"/>
  <c r="W11" i="1"/>
  <c r="W13" i="1"/>
  <c r="W15" i="1"/>
  <c r="W17" i="1"/>
  <c r="W19" i="1"/>
  <c r="W21" i="1"/>
  <c r="W23" i="1"/>
  <c r="W25" i="1"/>
  <c r="W27" i="1"/>
  <c r="W29" i="1"/>
  <c r="W31" i="1"/>
  <c r="W35" i="1"/>
  <c r="W37" i="1"/>
  <c r="W38" i="1"/>
  <c r="W39" i="1"/>
  <c r="W41" i="1"/>
  <c r="W43" i="1"/>
  <c r="W45" i="1"/>
  <c r="AC43" i="1"/>
  <c r="AC45" i="1"/>
  <c r="AC23" i="1"/>
  <c r="AC25" i="1"/>
  <c r="AC27" i="1"/>
  <c r="AC29" i="1"/>
  <c r="AC31" i="1"/>
  <c r="AC35" i="1"/>
  <c r="AC37" i="1"/>
  <c r="AC39" i="1"/>
  <c r="AC41" i="1"/>
  <c r="AC9" i="1"/>
  <c r="AC11" i="1"/>
  <c r="AC13" i="1"/>
  <c r="AC15" i="1"/>
  <c r="AC17" i="1"/>
  <c r="AC19" i="1"/>
  <c r="AC21" i="1"/>
  <c r="P38" i="1"/>
  <c r="T39" i="1"/>
  <c r="Y39" i="1" s="1"/>
  <c r="T9" i="1"/>
  <c r="Y9" i="1" s="1"/>
  <c r="T35" i="1"/>
  <c r="Y35" i="1" s="1"/>
  <c r="P17" i="1"/>
  <c r="P9" i="1"/>
  <c r="P11" i="1"/>
  <c r="P13" i="1"/>
  <c r="P15" i="1"/>
  <c r="P19" i="1"/>
  <c r="P21" i="1"/>
  <c r="P23" i="1"/>
  <c r="P25" i="1"/>
  <c r="P27" i="1"/>
  <c r="P29" i="1"/>
  <c r="P31" i="1"/>
  <c r="P33" i="1"/>
  <c r="P35" i="1"/>
  <c r="P37" i="1"/>
  <c r="P43" i="1"/>
  <c r="P7" i="1"/>
  <c r="AD68" i="5" l="1"/>
  <c r="AW68" i="5"/>
  <c r="AD74" i="5"/>
  <c r="AW74" i="5"/>
  <c r="AD58" i="5"/>
  <c r="AW58" i="5"/>
  <c r="AD52" i="5"/>
  <c r="AW52" i="5"/>
  <c r="AD72" i="5"/>
  <c r="AW72" i="5"/>
  <c r="AD64" i="5"/>
  <c r="AW64" i="5"/>
  <c r="AD54" i="5"/>
  <c r="AW54" i="5"/>
  <c r="AD66" i="5"/>
  <c r="AW66" i="5"/>
  <c r="AD84" i="5"/>
  <c r="AW84" i="5"/>
  <c r="AD82" i="5"/>
  <c r="AW82" i="5"/>
  <c r="AD70" i="5"/>
  <c r="AW70" i="5"/>
  <c r="AD56" i="5"/>
  <c r="AW56" i="5"/>
  <c r="AD86" i="5"/>
  <c r="AW86" i="5"/>
  <c r="AD76" i="5"/>
  <c r="AW76" i="5"/>
  <c r="AD88" i="5"/>
  <c r="AW88" i="5"/>
  <c r="AD80" i="5"/>
  <c r="AW80" i="5"/>
  <c r="AD60" i="5"/>
  <c r="AW60" i="5"/>
  <c r="AD62" i="5"/>
  <c r="AW62" i="5"/>
  <c r="AD83" i="5"/>
  <c r="AW83" i="5"/>
  <c r="AD90" i="5"/>
  <c r="AW90" i="5"/>
  <c r="AC36" i="5"/>
  <c r="AD36" i="5" s="1"/>
  <c r="AD3" i="4"/>
  <c r="AP23" i="1"/>
  <c r="AP31" i="1"/>
  <c r="AP19" i="1"/>
  <c r="AP27" i="1"/>
  <c r="AP15" i="1"/>
  <c r="AO5" i="1"/>
  <c r="AL45" i="1"/>
  <c r="AO45" i="1" s="1"/>
  <c r="AP37" i="1"/>
  <c r="AL13" i="1"/>
  <c r="AL9" i="1"/>
  <c r="AL38" i="1"/>
  <c r="AN38" i="1" s="1"/>
  <c r="AL43" i="1"/>
  <c r="AN43" i="1" s="1"/>
  <c r="AL35" i="1"/>
  <c r="AN35" i="1" s="1"/>
  <c r="AL17" i="1"/>
  <c r="AP29" i="1"/>
  <c r="AJ5" i="1"/>
  <c r="T43" i="1"/>
  <c r="Y43" i="1" s="1"/>
  <c r="AP13" i="1"/>
  <c r="AP41" i="1"/>
  <c r="AP9" i="1"/>
  <c r="AP21" i="1"/>
  <c r="AN29" i="1"/>
  <c r="AN39" i="1"/>
  <c r="AN25" i="1"/>
  <c r="AN7" i="1"/>
  <c r="U13" i="1"/>
  <c r="Z13" i="1" s="1"/>
  <c r="T41" i="1"/>
  <c r="Y41" i="1" s="1"/>
  <c r="AN37" i="1"/>
  <c r="AO27" i="1"/>
  <c r="AN19" i="1"/>
  <c r="AO11" i="1"/>
  <c r="AN21" i="1"/>
  <c r="AN13" i="1"/>
  <c r="AN41" i="1"/>
  <c r="U5" i="1"/>
  <c r="U45" i="1"/>
  <c r="Z45" i="1" s="1"/>
  <c r="AB45" i="1" s="1"/>
  <c r="AE45" i="1" s="1"/>
  <c r="AN17" i="1"/>
  <c r="AN9" i="1"/>
  <c r="AO38" i="1"/>
  <c r="AN31" i="1"/>
  <c r="AN23" i="1"/>
  <c r="AN15" i="1"/>
  <c r="U37" i="1"/>
  <c r="Z37" i="1" s="1"/>
  <c r="AB37" i="1" s="1"/>
  <c r="AE37" i="1" s="1"/>
  <c r="AO39" i="1"/>
  <c r="AO41" i="1"/>
  <c r="AO21" i="1"/>
  <c r="AO13" i="1"/>
  <c r="AO29" i="1"/>
  <c r="AO35" i="1"/>
  <c r="AO15" i="1"/>
  <c r="U21" i="1"/>
  <c r="Z21" i="1" s="1"/>
  <c r="AB21" i="1" s="1"/>
  <c r="AE21" i="1" s="1"/>
  <c r="AB43" i="1"/>
  <c r="AE43" i="1" s="1"/>
  <c r="AB39" i="1"/>
  <c r="AE39" i="1" s="1"/>
  <c r="AB13" i="1"/>
  <c r="AE13" i="1" s="1"/>
  <c r="AB41" i="1"/>
  <c r="AE41" i="1" s="1"/>
  <c r="T29" i="1"/>
  <c r="U35" i="1"/>
  <c r="U31" i="1"/>
  <c r="U25" i="1"/>
  <c r="U23" i="1"/>
  <c r="U15" i="1"/>
  <c r="U9" i="1"/>
  <c r="U7" i="1"/>
  <c r="U38" i="1"/>
  <c r="Z38" i="1" s="1"/>
  <c r="AB38" i="1" s="1"/>
  <c r="AE38" i="1" s="1"/>
  <c r="AE5" i="1"/>
  <c r="U27" i="1"/>
  <c r="U19" i="1"/>
  <c r="U11" i="1"/>
  <c r="AD3" i="5" l="1"/>
  <c r="AN5" i="1"/>
  <c r="AO7" i="1"/>
  <c r="AN27" i="1"/>
  <c r="AO19" i="1"/>
  <c r="AO43" i="1"/>
  <c r="AO25" i="1"/>
  <c r="AN11" i="1"/>
  <c r="AN45" i="1"/>
  <c r="AO17" i="1"/>
  <c r="AO23" i="1"/>
  <c r="AO31" i="1"/>
  <c r="AO37" i="1"/>
  <c r="AO9" i="1"/>
  <c r="Z19" i="1"/>
  <c r="AB19" i="1" s="1"/>
  <c r="AE19" i="1" s="1"/>
  <c r="Z23" i="1"/>
  <c r="AB23" i="1" s="1"/>
  <c r="AE23" i="1" s="1"/>
  <c r="Y29" i="1"/>
  <c r="AB29" i="1" s="1"/>
  <c r="AE29" i="1" s="1"/>
  <c r="Z27" i="1"/>
  <c r="AB27" i="1" s="1"/>
  <c r="AE27" i="1" s="1"/>
  <c r="Z9" i="1"/>
  <c r="AB9" i="1" s="1"/>
  <c r="AE9" i="1" s="1"/>
  <c r="Z25" i="1"/>
  <c r="AB25" i="1" s="1"/>
  <c r="AE25" i="1" s="1"/>
  <c r="Z15" i="1"/>
  <c r="AB15" i="1" s="1"/>
  <c r="AE15" i="1" s="1"/>
  <c r="Z31" i="1"/>
  <c r="AB31" i="1" s="1"/>
  <c r="AE31" i="1" s="1"/>
  <c r="Z17" i="1"/>
  <c r="AB17" i="1" s="1"/>
  <c r="AE17" i="1" s="1"/>
  <c r="Z35" i="1"/>
  <c r="AB35" i="1" s="1"/>
  <c r="AE35" i="1" s="1"/>
  <c r="Z11" i="1"/>
  <c r="AB11" i="1" s="1"/>
  <c r="AE11" i="1" s="1"/>
  <c r="Z7" i="1"/>
  <c r="AB7" i="1" s="1"/>
  <c r="AE7" i="1" s="1"/>
  <c r="AN2" i="1" l="1"/>
  <c r="AE2" i="1"/>
</calcChain>
</file>

<file path=xl/sharedStrings.xml><?xml version="1.0" encoding="utf-8"?>
<sst xmlns="http://schemas.openxmlformats.org/spreadsheetml/2006/main" count="1142" uniqueCount="533">
  <si>
    <t>Composition</t>
  </si>
  <si>
    <t>Experiment</t>
  </si>
  <si>
    <t>Wafer</t>
  </si>
  <si>
    <t>Thickness (cm)</t>
  </si>
  <si>
    <t>Density (g L−1)</t>
  </si>
  <si>
    <r>
      <t>A</t>
    </r>
    <r>
      <rPr>
        <b/>
        <sz val="12"/>
        <color rgb="FF333333"/>
        <rFont val="Helvetica Neue"/>
        <family val="2"/>
      </rPr>
      <t> 5200</t>
    </r>
  </si>
  <si>
    <r>
      <t>A</t>
    </r>
    <r>
      <rPr>
        <b/>
        <sz val="12"/>
        <color rgb="FF333333"/>
        <rFont val="Helvetica Neue"/>
        <family val="2"/>
      </rPr>
      <t> 4500</t>
    </r>
  </si>
  <si>
    <r>
      <t>A</t>
    </r>
    <r>
      <rPr>
        <b/>
        <sz val="12"/>
        <color rgb="FF333333"/>
        <rFont val="Helvetica Neue"/>
        <family val="2"/>
      </rPr>
      <t> 3500</t>
    </r>
  </si>
  <si>
    <r>
      <t>A</t>
    </r>
    <r>
      <rPr>
        <b/>
        <sz val="12"/>
        <color rgb="FF333333"/>
        <rFont val="Helvetica Neue"/>
        <family val="2"/>
      </rPr>
      <t> ~1510</t>
    </r>
  </si>
  <si>
    <t>H2O wt% (total, NIR)a</t>
  </si>
  <si>
    <t>H2O wt% (3500)b</t>
  </si>
  <si>
    <t>CO2 (ppm)c</t>
  </si>
  <si>
    <t>SFVF</t>
  </si>
  <si>
    <t>SU-7</t>
  </si>
  <si>
    <t>SU-1</t>
  </si>
  <si>
    <t>a1</t>
  </si>
  <si>
    <t>b3</t>
  </si>
  <si>
    <t>SU-6</t>
  </si>
  <si>
    <t>SU-2</t>
  </si>
  <si>
    <t>c2</t>
  </si>
  <si>
    <t>Sunset</t>
  </si>
  <si>
    <t>Z-32</t>
  </si>
  <si>
    <t>SB-3</t>
  </si>
  <si>
    <t>SB-4</t>
  </si>
  <si>
    <t>Erebus</t>
  </si>
  <si>
    <t>Z-31</t>
  </si>
  <si>
    <t>3n</t>
  </si>
  <si>
    <t>EB-4</t>
  </si>
  <si>
    <t>EB-5</t>
  </si>
  <si>
    <t>Vesuvius</t>
  </si>
  <si>
    <t>VS-1</t>
  </si>
  <si>
    <t>VS-3</t>
  </si>
  <si>
    <t>Z-33</t>
  </si>
  <si>
    <t>VS-2</t>
  </si>
  <si>
    <t>Etna</t>
  </si>
  <si>
    <t>ET-8</t>
  </si>
  <si>
    <t>Z-22</t>
  </si>
  <si>
    <t>ET-9</t>
  </si>
  <si>
    <t>ET-5</t>
  </si>
  <si>
    <t>Z-15</t>
  </si>
  <si>
    <t>Stromboli</t>
  </si>
  <si>
    <t>ST-3</t>
  </si>
  <si>
    <t>ST-6</t>
  </si>
  <si>
    <t>ST-4</t>
  </si>
  <si>
    <t>E-OH 3500</t>
  </si>
  <si>
    <t>E-H2O 3500</t>
  </si>
  <si>
    <t>Method2</t>
  </si>
  <si>
    <t>Difference H2O NIR vs 3500</t>
  </si>
  <si>
    <t>Water Ratio NIR Peaks</t>
  </si>
  <si>
    <t>Calc OH 3500 wt%</t>
  </si>
  <si>
    <t>Calc H2O 3500 wt%</t>
  </si>
  <si>
    <t>Calc Total Water 3500 wt%</t>
  </si>
  <si>
    <t>Residuals squared</t>
  </si>
  <si>
    <t>Total Water Measred NIR wt%</t>
  </si>
  <si>
    <r>
      <t>A</t>
    </r>
    <r>
      <rPr>
        <b/>
        <sz val="12"/>
        <color rgb="FF333333"/>
        <rFont val="Helvetica Neue"/>
        <family val="2"/>
      </rPr>
      <t> 3500</t>
    </r>
    <r>
      <rPr>
        <b/>
        <i/>
        <sz val="12"/>
        <color rgb="FF333333"/>
        <rFont val="Helvetica Neue"/>
        <family val="2"/>
      </rPr>
      <t xml:space="preserve"> OH</t>
    </r>
  </si>
  <si>
    <r>
      <t>A</t>
    </r>
    <r>
      <rPr>
        <b/>
        <sz val="12"/>
        <color rgb="FF333333"/>
        <rFont val="Helvetica Neue"/>
        <family val="2"/>
      </rPr>
      <t> 3500</t>
    </r>
    <r>
      <rPr>
        <b/>
        <i/>
        <sz val="12"/>
        <color rgb="FF333333"/>
        <rFont val="Helvetica Neue"/>
        <family val="2"/>
      </rPr>
      <t xml:space="preserve"> H2O</t>
    </r>
  </si>
  <si>
    <t>H2O Fixed Value 3500 Validation</t>
  </si>
  <si>
    <t>Total Water NIR Calc Validation</t>
  </si>
  <si>
    <t>Difference Mcintosh eq 4.</t>
  </si>
  <si>
    <t>Summed Residuals^2</t>
  </si>
  <si>
    <t>Calc OH 4500 wt%</t>
  </si>
  <si>
    <t>Calc H2O 5200 wt%</t>
  </si>
  <si>
    <t>Residual Absorbance</t>
  </si>
  <si>
    <t>Calculated OH wt%</t>
  </si>
  <si>
    <t>SiO2</t>
  </si>
  <si>
    <t>TiO2</t>
  </si>
  <si>
    <t>Al2O3</t>
  </si>
  <si>
    <t>FeOa</t>
  </si>
  <si>
    <t>MnO</t>
  </si>
  <si>
    <t>MgO</t>
  </si>
  <si>
    <t>CaO</t>
  </si>
  <si>
    <t>Na2O</t>
  </si>
  <si>
    <t>K2O</t>
  </si>
  <si>
    <t>P2O5</t>
  </si>
  <si>
    <t>Total</t>
  </si>
  <si>
    <t>Capsule NN</t>
  </si>
  <si>
    <t>P (MPa)</t>
  </si>
  <si>
    <t>XH2Oina</t>
  </si>
  <si>
    <t>XflH O b2</t>
  </si>
  <si>
    <t>ΔNNOc</t>
  </si>
  <si>
    <t>H2O</t>
  </si>
  <si>
    <t>FeO loss,</t>
  </si>
  <si>
    <t>Fe(II)/Fe</t>
  </si>
  <si>
    <t>H2O-t, wt.%</t>
  </si>
  <si>
    <t>H2O-m, wt.%</t>
  </si>
  <si>
    <t>OH, wt.%</t>
  </si>
  <si>
    <t>H2O total,</t>
  </si>
  <si>
    <t>CO2, ppm</t>
  </si>
  <si>
    <t>(wt.%)</t>
  </si>
  <si>
    <t>% relative e</t>
  </si>
  <si>
    <t>total f</t>
  </si>
  <si>
    <t>wt.%, NIR h</t>
  </si>
  <si>
    <t>(1430 cm−1)</t>
  </si>
  <si>
    <t>KFTd</t>
  </si>
  <si>
    <t>MIR g</t>
  </si>
  <si>
    <t>NIR</t>
  </si>
  <si>
    <t>(MIR)</t>
  </si>
  <si>
    <t>M13</t>
  </si>
  <si>
    <t>1.00 (8)</t>
  </si>
  <si>
    <t>1.67 (14)</t>
  </si>
  <si>
    <t>–</t>
  </si>
  <si>
    <t>n.a.</t>
  </si>
  <si>
    <t>M14</t>
  </si>
  <si>
    <t>1.00 (5)</t>
  </si>
  <si>
    <t>1.82 (12)</t>
  </si>
  <si>
    <t>0.64 (2)</t>
  </si>
  <si>
    <t>M15</t>
  </si>
  <si>
    <t>0.48 (8)</t>
  </si>
  <si>
    <t>1.54 (12)</t>
  </si>
  <si>
    <t>0.68 (2)</t>
  </si>
  <si>
    <t>60 (7)</t>
  </si>
  <si>
    <t>M16</t>
  </si>
  <si>
    <t>0.20 (8)</t>
  </si>
  <si>
    <t>1.07 (12)</t>
  </si>
  <si>
    <t>0.73 (2)</t>
  </si>
  <si>
    <t>92 (8)</t>
  </si>
  <si>
    <t>M51</t>
  </si>
  <si>
    <t>0.98 (3)</t>
  </si>
  <si>
    <t>2.24 (11)</t>
  </si>
  <si>
    <t>0.66 (3)</t>
  </si>
  <si>
    <t>M50</t>
  </si>
  <si>
    <t>0.67 (6)</t>
  </si>
  <si>
    <t>2.43 (12)</t>
  </si>
  <si>
    <t>0.70 (2)</t>
  </si>
  <si>
    <t>35 (3)</t>
  </si>
  <si>
    <t>M49</t>
  </si>
  <si>
    <t>0.31 (8)</t>
  </si>
  <si>
    <t>1.25 (12)</t>
  </si>
  <si>
    <t>0.75 (2)</t>
  </si>
  <si>
    <t>114 (10)</t>
  </si>
  <si>
    <t>M48</t>
  </si>
  <si>
    <t>0.77 (11)</t>
  </si>
  <si>
    <t>0.79 (2)</t>
  </si>
  <si>
    <t>176 (15)</t>
  </si>
  <si>
    <t>M47</t>
  </si>
  <si>
    <t>0.18 (8)</t>
  </si>
  <si>
    <t>0.82 (12)</t>
  </si>
  <si>
    <t>175 (14)</t>
  </si>
  <si>
    <t>M6</t>
  </si>
  <si>
    <t>2.80 (13)</t>
  </si>
  <si>
    <t>M7</t>
  </si>
  <si>
    <t>0.60 (8)</t>
  </si>
  <si>
    <t>2.97 (12)</t>
  </si>
  <si>
    <t>0.66 (2)</t>
  </si>
  <si>
    <t>M8</t>
  </si>
  <si>
    <t>0.49 (5)</t>
  </si>
  <si>
    <t>2.26 (12)</t>
  </si>
  <si>
    <t>0.71 (2)</t>
  </si>
  <si>
    <t>157 (13)</t>
  </si>
  <si>
    <t>M9</t>
  </si>
  <si>
    <t>0.12 (6)</t>
  </si>
  <si>
    <t>1.20 (12)</t>
  </si>
  <si>
    <t>0.84 (2)</t>
  </si>
  <si>
    <t>292 (24)</t>
  </si>
  <si>
    <t>M10</t>
  </si>
  <si>
    <t>0.08 (5)</t>
  </si>
  <si>
    <t>0.75 (11)</t>
  </si>
  <si>
    <t>0.88 (3)</t>
  </si>
  <si>
    <t>341 (27)</t>
  </si>
  <si>
    <t>M11</t>
  </si>
  <si>
    <t>1.00 (3)</t>
  </si>
  <si>
    <t>4.95 (12)</t>
  </si>
  <si>
    <t>0.56 (2)</t>
  </si>
  <si>
    <t>M12</t>
  </si>
  <si>
    <t>0.88* (5)</t>
  </si>
  <si>
    <t>4.44 (13)</t>
  </si>
  <si>
    <t>0.57 (2)</t>
  </si>
  <si>
    <t>195 (18)</t>
  </si>
  <si>
    <t>M2</t>
  </si>
  <si>
    <t>0.63 (4)</t>
  </si>
  <si>
    <t>4.22 (13)</t>
  </si>
  <si>
    <t>0.82 (3)</t>
  </si>
  <si>
    <t>296 (24)</t>
  </si>
  <si>
    <t>M3</t>
  </si>
  <si>
    <t>0.47 (5)</t>
  </si>
  <si>
    <t>3.21 (14)</t>
  </si>
  <si>
    <t>0.65 (3)</t>
  </si>
  <si>
    <t>598 (48)</t>
  </si>
  <si>
    <t>M5</t>
  </si>
  <si>
    <t>0.06 (5)</t>
  </si>
  <si>
    <t>0.64 (13)</t>
  </si>
  <si>
    <t>990 (83)</t>
  </si>
  <si>
    <t>M33</t>
  </si>
  <si>
    <t>1.00 (2)</t>
  </si>
  <si>
    <t>6.25 (12)</t>
  </si>
  <si>
    <t>M34</t>
  </si>
  <si>
    <t>0.87 (3)</t>
  </si>
  <si>
    <t>5.70 (13)</t>
  </si>
  <si>
    <t>375 (30)</t>
  </si>
  <si>
    <t>M35</t>
  </si>
  <si>
    <t>0.57 (4)</t>
  </si>
  <si>
    <t>4.20 (12)</t>
  </si>
  <si>
    <t>0.61 (2)</t>
  </si>
  <si>
    <t>1019 (81)</t>
  </si>
  <si>
    <t>M36</t>
  </si>
  <si>
    <t>0.34 (5)</t>
  </si>
  <si>
    <t>2.82 (11)</t>
  </si>
  <si>
    <t>1392 (111)</t>
  </si>
  <si>
    <t>M37</t>
  </si>
  <si>
    <t>0.05 (5)</t>
  </si>
  <si>
    <t>0.65 (12)</t>
  </si>
  <si>
    <t>0.79 (3)</t>
  </si>
  <si>
    <t>1627 (142)</t>
  </si>
  <si>
    <t>M38</t>
  </si>
  <si>
    <t>7.36 (12)</t>
  </si>
  <si>
    <t>0.54 (2)</t>
  </si>
  <si>
    <t>M39</t>
  </si>
  <si>
    <t>0.89 (3)</t>
  </si>
  <si>
    <t>6.75 (12)</t>
  </si>
  <si>
    <t>681 (54)</t>
  </si>
  <si>
    <t>M30</t>
  </si>
  <si>
    <t>0.67 (4)</t>
  </si>
  <si>
    <t>5.65 (12)</t>
  </si>
  <si>
    <t>0.59 (2)</t>
  </si>
  <si>
    <t>1271 (101)</t>
  </si>
  <si>
    <t>M40</t>
  </si>
  <si>
    <t>0.31 (4)</t>
  </si>
  <si>
    <t>3.07 (12)</t>
  </si>
  <si>
    <t>2183 (178)</t>
  </si>
  <si>
    <t>M19</t>
  </si>
  <si>
    <t>0.18 (4)</t>
  </si>
  <si>
    <t>3.29 (13)</t>
  </si>
  <si>
    <t>3277 (266)</t>
  </si>
  <si>
    <t>M20</t>
  </si>
  <si>
    <t>0.64* (5)</t>
  </si>
  <si>
    <t>5.72 (12)</t>
  </si>
  <si>
    <t>2421 (268)</t>
  </si>
  <si>
    <t>M21</t>
  </si>
  <si>
    <t>0.91* (5)</t>
  </si>
  <si>
    <t>7.56 (14)</t>
  </si>
  <si>
    <t>1051 (98)</t>
  </si>
  <si>
    <t>M22</t>
  </si>
  <si>
    <t>1.00 (6)</t>
  </si>
  <si>
    <t>8.81 (16)</t>
  </si>
  <si>
    <t>M42</t>
  </si>
  <si>
    <t>0.07 (3)</t>
  </si>
  <si>
    <t>1.33 (11)</t>
  </si>
  <si>
    <t>3318 (276)</t>
  </si>
  <si>
    <t>M43</t>
  </si>
  <si>
    <t>0.16 (4)</t>
  </si>
  <si>
    <t>2.62 (11)</t>
  </si>
  <si>
    <t>0.67 (2)</t>
  </si>
  <si>
    <t>3172 (265)</t>
  </si>
  <si>
    <t>M44</t>
  </si>
  <si>
    <t>0.27 (5)</t>
  </si>
  <si>
    <t>4.00 (12)</t>
  </si>
  <si>
    <t>0.63 (2)</t>
  </si>
  <si>
    <t>3029 (244)</t>
  </si>
  <si>
    <t>M46</t>
  </si>
  <si>
    <t>0.76* (5)</t>
  </si>
  <si>
    <t>6.69 (12)</t>
  </si>
  <si>
    <t>2189 (181)</t>
  </si>
  <si>
    <t>3550 cm−1)</t>
  </si>
  <si>
    <t>21)</t>
  </si>
  <si>
    <t>20)</t>
  </si>
  <si>
    <t>17)</t>
  </si>
  <si>
    <t>13)</t>
  </si>
  <si>
    <t>12)</t>
  </si>
  <si>
    <t>23)</t>
  </si>
  <si>
    <t>9)</t>
  </si>
  <si>
    <t>19)</t>
  </si>
  <si>
    <t>5200 cm−1)</t>
  </si>
  <si>
    <t>6)</t>
  </si>
  <si>
    <t>10)</t>
  </si>
  <si>
    <t>8)</t>
  </si>
  <si>
    <t>5)</t>
  </si>
  <si>
    <t>4)</t>
  </si>
  <si>
    <t>16)</t>
  </si>
  <si>
    <t>15)</t>
  </si>
  <si>
    <t>30)</t>
  </si>
  <si>
    <t>24)</t>
  </si>
  <si>
    <t>22)</t>
  </si>
  <si>
    <t>14)</t>
  </si>
  <si>
    <t>43)</t>
  </si>
  <si>
    <t>38)</t>
  </si>
  <si>
    <t>3)</t>
  </si>
  <si>
    <t>47)</t>
  </si>
  <si>
    <t>34)</t>
  </si>
  <si>
    <t>49)</t>
  </si>
  <si>
    <t>4500 cm−1)</t>
  </si>
  <si>
    <t>11)</t>
  </si>
  <si>
    <t>7)</t>
  </si>
  <si>
    <t>37)</t>
  </si>
  <si>
    <t>31)</t>
  </si>
  <si>
    <t>48)</t>
  </si>
  <si>
    <t>44)</t>
  </si>
  <si>
    <t>52)</t>
  </si>
  <si>
    <t>39)</t>
  </si>
  <si>
    <t>55)</t>
  </si>
  <si>
    <t>NIR Total H2O wt%</t>
  </si>
  <si>
    <t>3500 Total WaterFixed absorp 65</t>
  </si>
  <si>
    <t>OH Molar Absorptivity</t>
  </si>
  <si>
    <t>H2O Molar Absorptivity</t>
  </si>
  <si>
    <t>OH 3500 Cacl wt%</t>
  </si>
  <si>
    <t>H2O 3500 Cacl wt%</t>
  </si>
  <si>
    <t>H2O NIR 5200 wt%</t>
  </si>
  <si>
    <t>OH NIR 4500 wt%</t>
  </si>
  <si>
    <t>Total H2O 3500 Calc</t>
  </si>
  <si>
    <t>Reiduals^2</t>
  </si>
  <si>
    <t>Sum Residuals^2</t>
  </si>
  <si>
    <t>Shishkina and Allison et al 19.</t>
  </si>
  <si>
    <t>Frozen in place</t>
  </si>
  <si>
    <t>Allison et al. Data</t>
  </si>
  <si>
    <t>A 3500 OH</t>
  </si>
  <si>
    <t>A 3500 H2O</t>
  </si>
  <si>
    <r>
      <t>SiO</t>
    </r>
    <r>
      <rPr>
        <b/>
        <vertAlign val="subscript"/>
        <sz val="10"/>
        <rFont val="Arial"/>
        <family val="2"/>
      </rPr>
      <t>2</t>
    </r>
  </si>
  <si>
    <r>
      <t>TiO</t>
    </r>
    <r>
      <rPr>
        <b/>
        <vertAlign val="subscript"/>
        <sz val="10"/>
        <rFont val="Arial"/>
        <family val="2"/>
      </rPr>
      <t>2</t>
    </r>
  </si>
  <si>
    <r>
      <t>Al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</t>
    </r>
    <r>
      <rPr>
        <b/>
        <vertAlign val="subscript"/>
        <sz val="10"/>
        <rFont val="Arial"/>
        <family val="2"/>
      </rPr>
      <t>3</t>
    </r>
  </si>
  <si>
    <r>
      <t>Fe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</t>
    </r>
    <r>
      <rPr>
        <b/>
        <vertAlign val="subscript"/>
        <sz val="10"/>
        <rFont val="Arial"/>
        <family val="2"/>
      </rPr>
      <t>3</t>
    </r>
  </si>
  <si>
    <t>FeO</t>
  </si>
  <si>
    <r>
      <t>Na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</t>
    </r>
  </si>
  <si>
    <r>
      <t>K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</t>
    </r>
  </si>
  <si>
    <t>9.56*</t>
  </si>
  <si>
    <t>9.40*</t>
  </si>
  <si>
    <t>K2O + Na2O</t>
  </si>
  <si>
    <t>SiO2 +Al2O3</t>
  </si>
  <si>
    <t>Residual H2O</t>
  </si>
  <si>
    <t xml:space="preserve">Annhydrous comp notmed to 100 </t>
  </si>
  <si>
    <t>Hydrous Comp calculated</t>
  </si>
  <si>
    <t>Alk / Tet</t>
  </si>
  <si>
    <t>Mg#</t>
  </si>
  <si>
    <t>Ratio OH/(H2O Total)</t>
  </si>
  <si>
    <t>H2O 3500 Total</t>
  </si>
  <si>
    <t>Fixed 3500 Minimize</t>
  </si>
  <si>
    <t>Residual</t>
  </si>
  <si>
    <t>Residual ^2</t>
  </si>
  <si>
    <t>Resdual ^ 2 sum</t>
  </si>
  <si>
    <t>Sample*</t>
  </si>
  <si>
    <t>FeOT H20 Si02 TiO2</t>
  </si>
  <si>
    <t>*l2O3</t>
  </si>
  <si>
    <t>Ng0</t>
  </si>
  <si>
    <t>Ca0</t>
  </si>
  <si>
    <t>Na20</t>
  </si>
  <si>
    <t>E20</t>
  </si>
  <si>
    <t>'2'5</t>
  </si>
  <si>
    <t>Ng#</t>
  </si>
  <si>
    <t>SDreadino Centers and Axial Seamounts</t>
  </si>
  <si>
    <t>CDll-12(l)a</t>
  </si>
  <si>
    <t>0.881 50.06 1.78</t>
  </si>
  <si>
    <t>CDs-B2(i)a</t>
  </si>
  <si>
    <t>1.021 50.61 2.41</t>
  </si>
  <si>
    <t>CD6-Bl(l)a</t>
  </si>
  <si>
    <t>0.357 50.48 1.75</t>
  </si>
  <si>
    <t>CD-2(l)a</t>
  </si>
  <si>
    <t>0.606 49.44 2.01</t>
  </si>
  <si>
    <t>CD12-l(l)a</t>
  </si>
  <si>
    <t>0.675 48.90 1.69</t>
  </si>
  <si>
    <t>CDl-6(l)a</t>
  </si>
  <si>
    <t>0.126 51.12 1.17</t>
  </si>
  <si>
    <t>CDll-5(l)a</t>
  </si>
  <si>
    <t>0.792 50.00 1.79</t>
  </si>
  <si>
    <t>ALV910R4(2)b</t>
  </si>
  <si>
    <t>0.100 50.10 1.27</t>
  </si>
  <si>
    <t>ALV911R5(2)b</t>
  </si>
  <si>
    <t>0.190 50.16 1.50</t>
  </si>
  <si>
    <t>ALV916R8(2)b</t>
  </si>
  <si>
    <t>0.260 50.28 1.58</t>
  </si>
  <si>
    <t>P1505-l(3)C</t>
  </si>
  <si>
    <t>0.455 51.10 1.56</t>
  </si>
  <si>
    <t>EN-112-4D-6(4)c</t>
  </si>
  <si>
    <t>0.362 49.80 2.22</t>
  </si>
  <si>
    <t>TT152-77-7(5)d</t>
  </si>
  <si>
    <t>0.160 47.90 1.30</t>
  </si>
  <si>
    <t>TT152-61(5)d</t>
  </si>
  <si>
    <t>0.270 49.20 1.70</t>
  </si>
  <si>
    <t>TT152-21(5)d</t>
  </si>
  <si>
    <t>0.280 50.60 1.90</t>
  </si>
  <si>
    <t>TT152-13(5)d</t>
  </si>
  <si>
    <t>0.250 50.50 2.40</t>
  </si>
  <si>
    <t>TT152-11-21(5)d</t>
  </si>
  <si>
    <t>0.260 50.50 1.80</t>
  </si>
  <si>
    <t>HU81017-ll(5)d</t>
  </si>
  <si>
    <t>0.220 51.10 1.50</t>
  </si>
  <si>
    <t>HU81017-2-4(5)d</t>
  </si>
  <si>
    <t>0.370 51.60 1.90</t>
  </si>
  <si>
    <t>CHN115-4(6)e</t>
  </si>
  <si>
    <t>0.680 50.70 1.30</t>
  </si>
  <si>
    <t>n.d.</t>
  </si>
  <si>
    <t>D6-C44(7)f</t>
  </si>
  <si>
    <t>1.170 57.35 1.80</t>
  </si>
  <si>
    <t>994-3A(7)g</t>
  </si>
  <si>
    <t>0.940 55.90 2.60</t>
  </si>
  <si>
    <t>994-lD(7)g</t>
  </si>
  <si>
    <t>0.770 53.10 2.70</t>
  </si>
  <si>
    <t>999-lB(7)g</t>
  </si>
  <si>
    <t>1.270 56.30 2.00</t>
  </si>
  <si>
    <t>1002-48(7)g</t>
  </si>
  <si>
    <t>0.870 54.30 2.60</t>
  </si>
  <si>
    <t>Back-Arc Basins</t>
  </si>
  <si>
    <t>32-7(8)h</t>
  </si>
  <si>
    <t>0.638 48.41 2.32</t>
  </si>
  <si>
    <t>32-8(8)h</t>
  </si>
  <si>
    <t>0.590 48.26 2.31</t>
  </si>
  <si>
    <t>32-9(8)h</t>
  </si>
  <si>
    <t>0.631 48.14 2.32</t>
  </si>
  <si>
    <t>32-lO(8)h</t>
  </si>
  <si>
    <t>0.562 48.27 2.21</t>
  </si>
  <si>
    <t>26-8(8)h</t>
  </si>
  <si>
    <t>0.221 51.15 1.64</t>
  </si>
  <si>
    <t>26-P(8)h</t>
  </si>
  <si>
    <t>0.261 50.70 1.60</t>
  </si>
  <si>
    <t>19-7(9)i</t>
  </si>
  <si>
    <t>0.800 49.25 2.04</t>
  </si>
  <si>
    <t>D20-43(10)j</t>
  </si>
  <si>
    <t>0.733 50.70 1.29</t>
  </si>
  <si>
    <t>D20-35(10)j</t>
  </si>
  <si>
    <t>0.717 50.62 1.28</t>
  </si>
  <si>
    <t>D23-4(10)j</t>
  </si>
  <si>
    <t>0.480 50.34 1.45</t>
  </si>
  <si>
    <t>GL31-S(ll)k</t>
  </si>
  <si>
    <t>1.152 50.30 0.40</t>
  </si>
  <si>
    <t>GL45-2(11)k</t>
  </si>
  <si>
    <t>1.738 64.30 0.87</t>
  </si>
  <si>
    <t>NV1349(12)1</t>
  </si>
  <si>
    <t>0.898 50.05 1.22</t>
  </si>
  <si>
    <t>=220(13)I</t>
  </si>
  <si>
    <t>0.898 56.50 1.01</t>
  </si>
  <si>
    <t>MV1514(13)1</t>
  </si>
  <si>
    <t>0.837 55.40 0.96</t>
  </si>
  <si>
    <t>NVl5247(13)1</t>
  </si>
  <si>
    <t>1.034 55.55 0.98</t>
  </si>
  <si>
    <t>Oceanic Islands</t>
  </si>
  <si>
    <t>EE19-20(14)m</t>
  </si>
  <si>
    <t>0.800 47.23 3.34</t>
  </si>
  <si>
    <t>EE30-lO(14)m</t>
  </si>
  <si>
    <t>0.830 46.51 3.43</t>
  </si>
  <si>
    <t>EE17-2(14)m</t>
  </si>
  <si>
    <t>0.840 46.90 3.37</t>
  </si>
  <si>
    <t>EElS-8(14)rn</t>
  </si>
  <si>
    <t>0.640 48.48 2.84</t>
  </si>
  <si>
    <t>MKl-8(14)n</t>
  </si>
  <si>
    <t>0.745 52.49 3.18</t>
  </si>
  <si>
    <t>NE5-2(14)n</t>
  </si>
  <si>
    <t>0.407 51.71 3.25</t>
  </si>
  <si>
    <t>MLl-lO(14)n</t>
  </si>
  <si>
    <t>0.350 52.38 2.83</t>
  </si>
  <si>
    <t>ML2-3(14)n</t>
  </si>
  <si>
    <t>0.175 52.65 2.26</t>
  </si>
  <si>
    <t>ML3-30(14)n</t>
  </si>
  <si>
    <t>0.548 52.07 2.32</t>
  </si>
  <si>
    <t>ML4-2(14)n</t>
  </si>
  <si>
    <t>0.259 51.90 2.65</t>
  </si>
  <si>
    <t>LO-4(14)n</t>
  </si>
  <si>
    <t>0.588 48.69 2.82</t>
  </si>
  <si>
    <t>MA-21(14)0</t>
  </si>
  <si>
    <t>0.692 47.72 2.83</t>
  </si>
  <si>
    <t>MA-32(14)0</t>
  </si>
  <si>
    <t>0.547 47.12 2.76</t>
  </si>
  <si>
    <t>Sample</t>
  </si>
  <si>
    <t>H20</t>
  </si>
  <si>
    <t>Absorbance</t>
  </si>
  <si>
    <t>Thickness</t>
  </si>
  <si>
    <t>Density</t>
  </si>
  <si>
    <t>Abs. Coeff.</t>
  </si>
  <si>
    <t>I*%)</t>
  </si>
  <si>
    <t>(peak</t>
  </si>
  <si>
    <t>(IJn)</t>
  </si>
  <si>
    <t>(g/L)</t>
  </si>
  <si>
    <t>(l/mol-cm)</t>
  </si>
  <si>
    <t>height)</t>
  </si>
  <si>
    <t>CDll-12</t>
  </si>
  <si>
    <t>CD6-Bl</t>
  </si>
  <si>
    <t>CD-2</t>
  </si>
  <si>
    <t>CD12-1</t>
  </si>
  <si>
    <t>CDl-6</t>
  </si>
  <si>
    <t>CDll-5</t>
  </si>
  <si>
    <t>ALV910R4</t>
  </si>
  <si>
    <t>ALV911R5</t>
  </si>
  <si>
    <t>ALV916R8</t>
  </si>
  <si>
    <t>Pl505-1</t>
  </si>
  <si>
    <t>EN-112-4D-6</t>
  </si>
  <si>
    <t>TTl52-77-7</t>
  </si>
  <si>
    <t>TT152-61</t>
  </si>
  <si>
    <t>TT152-21</t>
  </si>
  <si>
    <t>TT152-13</t>
  </si>
  <si>
    <t>TT152-11-21</t>
  </si>
  <si>
    <t>HU81017-11</t>
  </si>
  <si>
    <t>HU81017-2-4</t>
  </si>
  <si>
    <t>C!HN115-4</t>
  </si>
  <si>
    <t>D6-C44</t>
  </si>
  <si>
    <t>994-3A</t>
  </si>
  <si>
    <t>999-1B</t>
  </si>
  <si>
    <t>1002-4B</t>
  </si>
  <si>
    <t>994-1D</t>
  </si>
  <si>
    <t>32-7</t>
  </si>
  <si>
    <t>32-8</t>
  </si>
  <si>
    <t>32-9</t>
  </si>
  <si>
    <t>32-10</t>
  </si>
  <si>
    <t>26-8</t>
  </si>
  <si>
    <t>26-P</t>
  </si>
  <si>
    <t>19-7</t>
  </si>
  <si>
    <t>D20-43</t>
  </si>
  <si>
    <t>D20-35</t>
  </si>
  <si>
    <t>D23-4</t>
  </si>
  <si>
    <t>GL45-2</t>
  </si>
  <si>
    <t>NV15220</t>
  </si>
  <si>
    <t>KK19-20</t>
  </si>
  <si>
    <t>KK30-10</t>
  </si>
  <si>
    <t>KK17-2</t>
  </si>
  <si>
    <t>KK18-8</t>
  </si>
  <si>
    <t>MKl-8</t>
  </si>
  <si>
    <t>MK5-2</t>
  </si>
  <si>
    <t>MLl-10</t>
  </si>
  <si>
    <t>ML2-3</t>
  </si>
  <si>
    <t>ML3-30</t>
  </si>
  <si>
    <t>ML4-2</t>
  </si>
  <si>
    <t>Lo-4</t>
  </si>
  <si>
    <t>MA-21</t>
  </si>
  <si>
    <t>MA-32</t>
  </si>
  <si>
    <t>(VW</t>
  </si>
  <si>
    <t>GL 31-8</t>
  </si>
  <si>
    <t>Mv1514</t>
  </si>
  <si>
    <t>MV1524-7</t>
  </si>
  <si>
    <t>Absorbance 1630 Peak</t>
  </si>
  <si>
    <t>Thickness Cm</t>
  </si>
  <si>
    <t>Absorbance 3500 Peak</t>
  </si>
  <si>
    <t>994-3a</t>
  </si>
  <si>
    <t>Kk19-20</t>
  </si>
  <si>
    <t>kK17-2</t>
  </si>
  <si>
    <t>Mv-1349</t>
  </si>
  <si>
    <t>mV-1349</t>
  </si>
  <si>
    <t>mV1514</t>
  </si>
  <si>
    <t>mV1524-7</t>
  </si>
  <si>
    <t>CD6-B2</t>
  </si>
  <si>
    <t>cOH</t>
  </si>
  <si>
    <t>e3500 H2O</t>
  </si>
  <si>
    <t>e3500 OH</t>
  </si>
  <si>
    <t>OH Fraction 3500</t>
  </si>
  <si>
    <t>H2O Fraction 3500</t>
  </si>
  <si>
    <t>e1630</t>
  </si>
  <si>
    <t>H2Om assuming e1630 above</t>
  </si>
  <si>
    <t>KFT</t>
  </si>
  <si>
    <t>3550 FTIR molr abs 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</si>
</sst>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333333"/>
      <name val="Helvetica Neue"/>
      <family val="2"/>
    </font>
    <font>
      <b/>
      <i/>
      <sz val="12"/>
      <color rgb="FF333333"/>
      <name val="Helvetica Neue"/>
      <family val="2"/>
    </font>
    <font>
      <sz val="12"/>
      <color rgb="FF333333"/>
      <name val="Helvetica Neue"/>
      <family val="2"/>
    </font>
    <font>
      <i/>
      <sz val="12"/>
      <color rgb="FF333333"/>
      <name val="Helvetica Neue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16" fontId="4" fillId="0" borderId="0" xfId="0" applyNumberFormat="1" applyFont="1"/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2" fontId="3" fillId="0" borderId="0" xfId="0" applyNumberFormat="1" applyFont="1" applyAlignment="1">
      <alignment wrapText="1"/>
    </xf>
    <xf numFmtId="2" fontId="0" fillId="0" borderId="0" xfId="0" applyNumberForma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6" fillId="0" borderId="0" xfId="0" applyFont="1" applyAlignment="1">
      <alignment wrapText="1"/>
    </xf>
    <xf numFmtId="2" fontId="0" fillId="0" borderId="0" xfId="0" applyNumberFormat="1" applyAlignment="1">
      <alignment wrapText="1"/>
    </xf>
    <xf numFmtId="2" fontId="1" fillId="0" borderId="0" xfId="0" applyNumberFormat="1" applyFont="1"/>
    <xf numFmtId="0" fontId="0" fillId="0" borderId="1" xfId="0" applyBorder="1"/>
    <xf numFmtId="0" fontId="9" fillId="0" borderId="1" xfId="0" applyFont="1" applyBorder="1" applyAlignment="1">
      <alignment vertical="top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1" xfId="0" applyFont="1" applyBorder="1" applyAlignment="1">
      <alignment horizontal="left" vertical="top"/>
    </xf>
    <xf numFmtId="2" fontId="0" fillId="0" borderId="2" xfId="0" applyNumberFormat="1" applyBorder="1"/>
    <xf numFmtId="2" fontId="0" fillId="0" borderId="2" xfId="0" applyNumberFormat="1" applyBorder="1" applyAlignment="1">
      <alignment horizontal="right" vertical="top"/>
    </xf>
    <xf numFmtId="2" fontId="0" fillId="0" borderId="3" xfId="0" applyNumberFormat="1" applyBorder="1"/>
    <xf numFmtId="0" fontId="9" fillId="0" borderId="4" xfId="0" applyFont="1" applyBorder="1" applyAlignment="1">
      <alignment horizontal="left" vertical="top"/>
    </xf>
    <xf numFmtId="2" fontId="0" fillId="0" borderId="0" xfId="0" applyNumberFormat="1" applyAlignment="1">
      <alignment horizontal="right" vertical="top"/>
    </xf>
    <xf numFmtId="2" fontId="0" fillId="0" borderId="5" xfId="0" applyNumberFormat="1" applyBorder="1"/>
    <xf numFmtId="0" fontId="9" fillId="0" borderId="6" xfId="0" applyFont="1" applyBorder="1" applyAlignment="1">
      <alignment horizontal="left" vertical="top"/>
    </xf>
    <xf numFmtId="2" fontId="0" fillId="0" borderId="7" xfId="0" applyNumberFormat="1" applyBorder="1"/>
    <xf numFmtId="2" fontId="0" fillId="0" borderId="7" xfId="0" applyNumberFormat="1" applyBorder="1" applyAlignment="1">
      <alignment horizontal="right" vertical="top"/>
    </xf>
    <xf numFmtId="2" fontId="0" fillId="0" borderId="8" xfId="0" applyNumberFormat="1" applyBorder="1"/>
    <xf numFmtId="0" fontId="9" fillId="0" borderId="0" xfId="0" applyFont="1" applyFill="1" applyBorder="1" applyAlignment="1">
      <alignment vertical="top" wrapText="1"/>
    </xf>
    <xf numFmtId="2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Species Specific Calibration Of  3500</a:t>
            </a:r>
            <a:r>
              <a:rPr lang="en-US" b="1" baseline="0"/>
              <a:t> peak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847720294910087E-2"/>
          <c:y val="3.7647935269589337E-2"/>
          <c:w val="0.88278800030632776"/>
          <c:h val="0.7484577896882469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8347083272415879"/>
                  <c:y val="4.18316140180243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'Allison et al. 2019'!$AC$5:$AC$45</c:f>
              <c:numCache>
                <c:formatCode>0.00</c:formatCode>
                <c:ptCount val="41"/>
                <c:pt idx="0">
                  <c:v>2.39</c:v>
                </c:pt>
                <c:pt idx="2">
                  <c:v>4.76</c:v>
                </c:pt>
                <c:pt idx="4">
                  <c:v>3.9</c:v>
                </c:pt>
                <c:pt idx="6">
                  <c:v>2.64</c:v>
                </c:pt>
                <c:pt idx="8">
                  <c:v>3.39</c:v>
                </c:pt>
                <c:pt idx="10">
                  <c:v>4.1100000000000003</c:v>
                </c:pt>
                <c:pt idx="12">
                  <c:v>2.5499999999999998</c:v>
                </c:pt>
                <c:pt idx="14">
                  <c:v>2.35</c:v>
                </c:pt>
                <c:pt idx="16">
                  <c:v>2.13</c:v>
                </c:pt>
                <c:pt idx="18">
                  <c:v>3.4</c:v>
                </c:pt>
                <c:pt idx="20">
                  <c:v>2.75</c:v>
                </c:pt>
                <c:pt idx="22">
                  <c:v>3.95</c:v>
                </c:pt>
                <c:pt idx="24">
                  <c:v>4.58</c:v>
                </c:pt>
                <c:pt idx="26">
                  <c:v>2.67</c:v>
                </c:pt>
                <c:pt idx="30">
                  <c:v>4.25</c:v>
                </c:pt>
                <c:pt idx="32">
                  <c:v>5.2</c:v>
                </c:pt>
                <c:pt idx="33">
                  <c:v>4.53</c:v>
                </c:pt>
                <c:pt idx="34">
                  <c:v>4.55</c:v>
                </c:pt>
                <c:pt idx="36">
                  <c:v>2.37</c:v>
                </c:pt>
                <c:pt idx="38">
                  <c:v>2.65</c:v>
                </c:pt>
                <c:pt idx="40">
                  <c:v>4.0999999999999996</c:v>
                </c:pt>
              </c:numCache>
            </c:numRef>
          </c:xVal>
          <c:yVal>
            <c:numRef>
              <c:f>'Allison et al. 2019'!$AB$5:$AB$45</c:f>
              <c:numCache>
                <c:formatCode>0.00</c:formatCode>
                <c:ptCount val="41"/>
                <c:pt idx="0">
                  <c:v>2.2128775201562303</c:v>
                </c:pt>
                <c:pt idx="2">
                  <c:v>4.3017055319074498</c:v>
                </c:pt>
                <c:pt idx="4">
                  <c:v>3.6639137010863267</c:v>
                </c:pt>
                <c:pt idx="6">
                  <c:v>2.7242187838436185</c:v>
                </c:pt>
                <c:pt idx="8">
                  <c:v>3.8408801918051458</c:v>
                </c:pt>
                <c:pt idx="10">
                  <c:v>4.0542308974512995</c:v>
                </c:pt>
                <c:pt idx="12">
                  <c:v>2.9469095943388388</c:v>
                </c:pt>
                <c:pt idx="14">
                  <c:v>2.6018337363189175</c:v>
                </c:pt>
                <c:pt idx="16">
                  <c:v>2.2056126132969851</c:v>
                </c:pt>
                <c:pt idx="18">
                  <c:v>3.070209604545318</c:v>
                </c:pt>
                <c:pt idx="20">
                  <c:v>2.446973722011188</c:v>
                </c:pt>
                <c:pt idx="22">
                  <c:v>4.3701261804406579</c:v>
                </c:pt>
                <c:pt idx="24">
                  <c:v>4.6496145963368072</c:v>
                </c:pt>
                <c:pt idx="26">
                  <c:v>2.6288680052153177</c:v>
                </c:pt>
                <c:pt idx="30">
                  <c:v>3.5368737967596178</c:v>
                </c:pt>
                <c:pt idx="32">
                  <c:v>5.1242719125699905</c:v>
                </c:pt>
                <c:pt idx="33">
                  <c:v>4.3895335346171969</c:v>
                </c:pt>
                <c:pt idx="34">
                  <c:v>4.8761800196462817</c:v>
                </c:pt>
                <c:pt idx="36">
                  <c:v>2.6462777902447074</c:v>
                </c:pt>
                <c:pt idx="38">
                  <c:v>3.1655601131693043</c:v>
                </c:pt>
                <c:pt idx="40">
                  <c:v>3.5873206184847195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9-554B-8E29-2645F7FD7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625823"/>
        <c:axId val="1975627455"/>
      </c:scatterChart>
      <c:valAx>
        <c:axId val="1975625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H2O</a:t>
                </a:r>
                <a:r>
                  <a:rPr lang="en-US" sz="1600" b="1" baseline="0"/>
                  <a:t> Total  (5200 + 4500)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27455"/>
        <c:crosses val="autoZero"/>
        <c:crossBetween val="midCat"/>
      </c:valAx>
      <c:valAx>
        <c:axId val="19756274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H2O Total  (Species</a:t>
                </a:r>
                <a:r>
                  <a:rPr lang="en-US" sz="1600" b="1" baseline="0"/>
                  <a:t> Specific)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2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Shishkina</a:t>
            </a:r>
            <a:r>
              <a:rPr lang="en-US" b="1" baseline="0"/>
              <a:t> et al. 2010 Data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spPr>
            <a:ln w="25400">
              <a:noFill/>
            </a:ln>
          </c:spPr>
          <c:xVal>
            <c:numRef>
              <c:f>'Shishkina 2010'!$P$5:$P$39</c:f>
              <c:numCache>
                <c:formatCode>General</c:formatCode>
                <c:ptCount val="35"/>
                <c:pt idx="0">
                  <c:v>1.71</c:v>
                </c:pt>
                <c:pt idx="1">
                  <c:v>1.52</c:v>
                </c:pt>
                <c:pt idx="3">
                  <c:v>2.34</c:v>
                </c:pt>
                <c:pt idx="4">
                  <c:v>1.9</c:v>
                </c:pt>
                <c:pt idx="5">
                  <c:v>1.23</c:v>
                </c:pt>
                <c:pt idx="6">
                  <c:v>0.85</c:v>
                </c:pt>
                <c:pt idx="7">
                  <c:v>0.85</c:v>
                </c:pt>
                <c:pt idx="8">
                  <c:v>3.14</c:v>
                </c:pt>
                <c:pt idx="9">
                  <c:v>3.08</c:v>
                </c:pt>
                <c:pt idx="10">
                  <c:v>2.21</c:v>
                </c:pt>
                <c:pt idx="11">
                  <c:v>0.78</c:v>
                </c:pt>
                <c:pt idx="12">
                  <c:v>0.55000000000000004</c:v>
                </c:pt>
                <c:pt idx="13">
                  <c:v>4.9800000000000004</c:v>
                </c:pt>
                <c:pt idx="14">
                  <c:v>4.22</c:v>
                </c:pt>
                <c:pt idx="15">
                  <c:v>3.97</c:v>
                </c:pt>
                <c:pt idx="16">
                  <c:v>3</c:v>
                </c:pt>
                <c:pt idx="17">
                  <c:v>0.52</c:v>
                </c:pt>
                <c:pt idx="18">
                  <c:v>6.39</c:v>
                </c:pt>
                <c:pt idx="19">
                  <c:v>5.84</c:v>
                </c:pt>
                <c:pt idx="20">
                  <c:v>4.2300000000000004</c:v>
                </c:pt>
                <c:pt idx="21">
                  <c:v>3.05</c:v>
                </c:pt>
                <c:pt idx="22">
                  <c:v>0.53</c:v>
                </c:pt>
                <c:pt idx="24">
                  <c:v>6.89</c:v>
                </c:pt>
                <c:pt idx="25">
                  <c:v>5.18</c:v>
                </c:pt>
                <c:pt idx="26">
                  <c:v>3.03</c:v>
                </c:pt>
                <c:pt idx="27">
                  <c:v>3.16</c:v>
                </c:pt>
                <c:pt idx="28">
                  <c:v>5.91</c:v>
                </c:pt>
                <c:pt idx="31">
                  <c:v>1.65</c:v>
                </c:pt>
                <c:pt idx="32">
                  <c:v>2.79</c:v>
                </c:pt>
                <c:pt idx="33">
                  <c:v>4.1100000000000003</c:v>
                </c:pt>
                <c:pt idx="34">
                  <c:v>7.09</c:v>
                </c:pt>
              </c:numCache>
            </c:numRef>
          </c:xVal>
          <c:yVal>
            <c:numRef>
              <c:f>'Shishkina 2010'!$I$5:$I$39</c:f>
              <c:numCache>
                <c:formatCode>General</c:formatCode>
                <c:ptCount val="35"/>
                <c:pt idx="0">
                  <c:v>1.59</c:v>
                </c:pt>
                <c:pt idx="1">
                  <c:v>1.43</c:v>
                </c:pt>
                <c:pt idx="2">
                  <c:v>1.1000000000000001</c:v>
                </c:pt>
                <c:pt idx="6">
                  <c:v>0.7</c:v>
                </c:pt>
                <c:pt idx="7">
                  <c:v>0.73</c:v>
                </c:pt>
                <c:pt idx="10">
                  <c:v>2.06</c:v>
                </c:pt>
                <c:pt idx="11">
                  <c:v>1.31</c:v>
                </c:pt>
                <c:pt idx="12">
                  <c:v>0.84</c:v>
                </c:pt>
                <c:pt idx="17">
                  <c:v>0.82</c:v>
                </c:pt>
                <c:pt idx="22">
                  <c:v>0.48</c:v>
                </c:pt>
                <c:pt idx="31">
                  <c:v>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703-2843-8DEB-2E08B7E2650F}"/>
            </c:ext>
          </c:extLst>
        </c:ser>
        <c:ser>
          <c:idx val="4"/>
          <c:order val="1"/>
          <c:spPr>
            <a:ln w="25400">
              <a:noFill/>
            </a:ln>
          </c:spPr>
          <c:xVal>
            <c:numRef>
              <c:f>'Shishkina 2010'!$P$5:$P$39</c:f>
              <c:numCache>
                <c:formatCode>General</c:formatCode>
                <c:ptCount val="35"/>
                <c:pt idx="0">
                  <c:v>1.71</c:v>
                </c:pt>
                <c:pt idx="1">
                  <c:v>1.52</c:v>
                </c:pt>
                <c:pt idx="3">
                  <c:v>2.34</c:v>
                </c:pt>
                <c:pt idx="4">
                  <c:v>1.9</c:v>
                </c:pt>
                <c:pt idx="5">
                  <c:v>1.23</c:v>
                </c:pt>
                <c:pt idx="6">
                  <c:v>0.85</c:v>
                </c:pt>
                <c:pt idx="7">
                  <c:v>0.85</c:v>
                </c:pt>
                <c:pt idx="8">
                  <c:v>3.14</c:v>
                </c:pt>
                <c:pt idx="9">
                  <c:v>3.08</c:v>
                </c:pt>
                <c:pt idx="10">
                  <c:v>2.21</c:v>
                </c:pt>
                <c:pt idx="11">
                  <c:v>0.78</c:v>
                </c:pt>
                <c:pt idx="12">
                  <c:v>0.55000000000000004</c:v>
                </c:pt>
                <c:pt idx="13">
                  <c:v>4.9800000000000004</c:v>
                </c:pt>
                <c:pt idx="14">
                  <c:v>4.22</c:v>
                </c:pt>
                <c:pt idx="15">
                  <c:v>3.97</c:v>
                </c:pt>
                <c:pt idx="16">
                  <c:v>3</c:v>
                </c:pt>
                <c:pt idx="17">
                  <c:v>0.52</c:v>
                </c:pt>
                <c:pt idx="18">
                  <c:v>6.39</c:v>
                </c:pt>
                <c:pt idx="19">
                  <c:v>5.84</c:v>
                </c:pt>
                <c:pt idx="20">
                  <c:v>4.2300000000000004</c:v>
                </c:pt>
                <c:pt idx="21">
                  <c:v>3.05</c:v>
                </c:pt>
                <c:pt idx="22">
                  <c:v>0.53</c:v>
                </c:pt>
                <c:pt idx="24">
                  <c:v>6.89</c:v>
                </c:pt>
                <c:pt idx="25">
                  <c:v>5.18</c:v>
                </c:pt>
                <c:pt idx="26">
                  <c:v>3.03</c:v>
                </c:pt>
                <c:pt idx="27">
                  <c:v>3.16</c:v>
                </c:pt>
                <c:pt idx="28">
                  <c:v>5.91</c:v>
                </c:pt>
                <c:pt idx="31">
                  <c:v>1.65</c:v>
                </c:pt>
                <c:pt idx="32">
                  <c:v>2.79</c:v>
                </c:pt>
                <c:pt idx="33">
                  <c:v>4.1100000000000003</c:v>
                </c:pt>
                <c:pt idx="34">
                  <c:v>7.09</c:v>
                </c:pt>
              </c:numCache>
            </c:numRef>
          </c:xVal>
          <c:yVal>
            <c:numRef>
              <c:f>'Shishkina 2010'!$I$5:$I$39</c:f>
              <c:numCache>
                <c:formatCode>General</c:formatCode>
                <c:ptCount val="35"/>
                <c:pt idx="0">
                  <c:v>1.59</c:v>
                </c:pt>
                <c:pt idx="1">
                  <c:v>1.43</c:v>
                </c:pt>
                <c:pt idx="2">
                  <c:v>1.1000000000000001</c:v>
                </c:pt>
                <c:pt idx="6">
                  <c:v>0.7</c:v>
                </c:pt>
                <c:pt idx="7">
                  <c:v>0.73</c:v>
                </c:pt>
                <c:pt idx="10">
                  <c:v>2.06</c:v>
                </c:pt>
                <c:pt idx="11">
                  <c:v>1.31</c:v>
                </c:pt>
                <c:pt idx="12">
                  <c:v>0.84</c:v>
                </c:pt>
                <c:pt idx="17">
                  <c:v>0.82</c:v>
                </c:pt>
                <c:pt idx="22">
                  <c:v>0.48</c:v>
                </c:pt>
                <c:pt idx="31">
                  <c:v>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5703-2843-8DEB-2E08B7E2650F}"/>
            </c:ext>
          </c:extLst>
        </c:ser>
        <c:ser>
          <c:idx val="5"/>
          <c:order val="2"/>
          <c:spPr>
            <a:ln w="25400">
              <a:noFill/>
            </a:ln>
          </c:spPr>
          <c:xVal>
            <c:numRef>
              <c:f>'Shishkina 2010'!$P$5:$P$39</c:f>
              <c:numCache>
                <c:formatCode>General</c:formatCode>
                <c:ptCount val="35"/>
                <c:pt idx="0">
                  <c:v>1.71</c:v>
                </c:pt>
                <c:pt idx="1">
                  <c:v>1.52</c:v>
                </c:pt>
                <c:pt idx="3">
                  <c:v>2.34</c:v>
                </c:pt>
                <c:pt idx="4">
                  <c:v>1.9</c:v>
                </c:pt>
                <c:pt idx="5">
                  <c:v>1.23</c:v>
                </c:pt>
                <c:pt idx="6">
                  <c:v>0.85</c:v>
                </c:pt>
                <c:pt idx="7">
                  <c:v>0.85</c:v>
                </c:pt>
                <c:pt idx="8">
                  <c:v>3.14</c:v>
                </c:pt>
                <c:pt idx="9">
                  <c:v>3.08</c:v>
                </c:pt>
                <c:pt idx="10">
                  <c:v>2.21</c:v>
                </c:pt>
                <c:pt idx="11">
                  <c:v>0.78</c:v>
                </c:pt>
                <c:pt idx="12">
                  <c:v>0.55000000000000004</c:v>
                </c:pt>
                <c:pt idx="13">
                  <c:v>4.9800000000000004</c:v>
                </c:pt>
                <c:pt idx="14">
                  <c:v>4.22</c:v>
                </c:pt>
                <c:pt idx="15">
                  <c:v>3.97</c:v>
                </c:pt>
                <c:pt idx="16">
                  <c:v>3</c:v>
                </c:pt>
                <c:pt idx="17">
                  <c:v>0.52</c:v>
                </c:pt>
                <c:pt idx="18">
                  <c:v>6.39</c:v>
                </c:pt>
                <c:pt idx="19">
                  <c:v>5.84</c:v>
                </c:pt>
                <c:pt idx="20">
                  <c:v>4.2300000000000004</c:v>
                </c:pt>
                <c:pt idx="21">
                  <c:v>3.05</c:v>
                </c:pt>
                <c:pt idx="22">
                  <c:v>0.53</c:v>
                </c:pt>
                <c:pt idx="24">
                  <c:v>6.89</c:v>
                </c:pt>
                <c:pt idx="25">
                  <c:v>5.18</c:v>
                </c:pt>
                <c:pt idx="26">
                  <c:v>3.03</c:v>
                </c:pt>
                <c:pt idx="27">
                  <c:v>3.16</c:v>
                </c:pt>
                <c:pt idx="28">
                  <c:v>5.91</c:v>
                </c:pt>
                <c:pt idx="31">
                  <c:v>1.65</c:v>
                </c:pt>
                <c:pt idx="32">
                  <c:v>2.79</c:v>
                </c:pt>
                <c:pt idx="33">
                  <c:v>4.1100000000000003</c:v>
                </c:pt>
                <c:pt idx="34">
                  <c:v>7.09</c:v>
                </c:pt>
              </c:numCache>
            </c:numRef>
          </c:xVal>
          <c:yVal>
            <c:numRef>
              <c:f>'Shishkina 2010'!$I$5:$I$39</c:f>
              <c:numCache>
                <c:formatCode>General</c:formatCode>
                <c:ptCount val="35"/>
                <c:pt idx="0">
                  <c:v>1.59</c:v>
                </c:pt>
                <c:pt idx="1">
                  <c:v>1.43</c:v>
                </c:pt>
                <c:pt idx="2">
                  <c:v>1.1000000000000001</c:v>
                </c:pt>
                <c:pt idx="6">
                  <c:v>0.7</c:v>
                </c:pt>
                <c:pt idx="7">
                  <c:v>0.73</c:v>
                </c:pt>
                <c:pt idx="10">
                  <c:v>2.06</c:v>
                </c:pt>
                <c:pt idx="11">
                  <c:v>1.31</c:v>
                </c:pt>
                <c:pt idx="12">
                  <c:v>0.84</c:v>
                </c:pt>
                <c:pt idx="17">
                  <c:v>0.82</c:v>
                </c:pt>
                <c:pt idx="22">
                  <c:v>0.48</c:v>
                </c:pt>
                <c:pt idx="31">
                  <c:v>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5703-2843-8DEB-2E08B7E2650F}"/>
            </c:ext>
          </c:extLst>
        </c:ser>
        <c:ser>
          <c:idx val="0"/>
          <c:order val="3"/>
          <c:spPr>
            <a:ln w="25400">
              <a:noFill/>
            </a:ln>
          </c:spPr>
          <c:xVal>
            <c:numRef>
              <c:f>'Shishkina 2010'!$P$5:$P$39</c:f>
              <c:numCache>
                <c:formatCode>General</c:formatCode>
                <c:ptCount val="35"/>
                <c:pt idx="0">
                  <c:v>1.71</c:v>
                </c:pt>
                <c:pt idx="1">
                  <c:v>1.52</c:v>
                </c:pt>
                <c:pt idx="3">
                  <c:v>2.34</c:v>
                </c:pt>
                <c:pt idx="4">
                  <c:v>1.9</c:v>
                </c:pt>
                <c:pt idx="5">
                  <c:v>1.23</c:v>
                </c:pt>
                <c:pt idx="6">
                  <c:v>0.85</c:v>
                </c:pt>
                <c:pt idx="7">
                  <c:v>0.85</c:v>
                </c:pt>
                <c:pt idx="8">
                  <c:v>3.14</c:v>
                </c:pt>
                <c:pt idx="9">
                  <c:v>3.08</c:v>
                </c:pt>
                <c:pt idx="10">
                  <c:v>2.21</c:v>
                </c:pt>
                <c:pt idx="11">
                  <c:v>0.78</c:v>
                </c:pt>
                <c:pt idx="12">
                  <c:v>0.55000000000000004</c:v>
                </c:pt>
                <c:pt idx="13">
                  <c:v>4.9800000000000004</c:v>
                </c:pt>
                <c:pt idx="14">
                  <c:v>4.22</c:v>
                </c:pt>
                <c:pt idx="15">
                  <c:v>3.97</c:v>
                </c:pt>
                <c:pt idx="16">
                  <c:v>3</c:v>
                </c:pt>
                <c:pt idx="17">
                  <c:v>0.52</c:v>
                </c:pt>
                <c:pt idx="18">
                  <c:v>6.39</c:v>
                </c:pt>
                <c:pt idx="19">
                  <c:v>5.84</c:v>
                </c:pt>
                <c:pt idx="20">
                  <c:v>4.2300000000000004</c:v>
                </c:pt>
                <c:pt idx="21">
                  <c:v>3.05</c:v>
                </c:pt>
                <c:pt idx="22">
                  <c:v>0.53</c:v>
                </c:pt>
                <c:pt idx="24">
                  <c:v>6.89</c:v>
                </c:pt>
                <c:pt idx="25">
                  <c:v>5.18</c:v>
                </c:pt>
                <c:pt idx="26">
                  <c:v>3.03</c:v>
                </c:pt>
                <c:pt idx="27">
                  <c:v>3.16</c:v>
                </c:pt>
                <c:pt idx="28">
                  <c:v>5.91</c:v>
                </c:pt>
                <c:pt idx="31">
                  <c:v>1.65</c:v>
                </c:pt>
                <c:pt idx="32">
                  <c:v>2.79</c:v>
                </c:pt>
                <c:pt idx="33">
                  <c:v>4.1100000000000003</c:v>
                </c:pt>
                <c:pt idx="34">
                  <c:v>7.09</c:v>
                </c:pt>
              </c:numCache>
            </c:numRef>
          </c:xVal>
          <c:yVal>
            <c:numRef>
              <c:f>'Shishkina 2010'!$I$5:$I$39</c:f>
              <c:numCache>
                <c:formatCode>General</c:formatCode>
                <c:ptCount val="35"/>
                <c:pt idx="0">
                  <c:v>1.59</c:v>
                </c:pt>
                <c:pt idx="1">
                  <c:v>1.43</c:v>
                </c:pt>
                <c:pt idx="2">
                  <c:v>1.1000000000000001</c:v>
                </c:pt>
                <c:pt idx="6">
                  <c:v>0.7</c:v>
                </c:pt>
                <c:pt idx="7">
                  <c:v>0.73</c:v>
                </c:pt>
                <c:pt idx="10">
                  <c:v>2.06</c:v>
                </c:pt>
                <c:pt idx="11">
                  <c:v>1.31</c:v>
                </c:pt>
                <c:pt idx="12">
                  <c:v>0.84</c:v>
                </c:pt>
                <c:pt idx="17">
                  <c:v>0.82</c:v>
                </c:pt>
                <c:pt idx="22">
                  <c:v>0.48</c:v>
                </c:pt>
                <c:pt idx="31">
                  <c:v>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703-2843-8DEB-2E08B7E2650F}"/>
            </c:ext>
          </c:extLst>
        </c:ser>
        <c:ser>
          <c:idx val="1"/>
          <c:order val="4"/>
          <c:spPr>
            <a:ln w="25400">
              <a:noFill/>
            </a:ln>
          </c:spPr>
          <c:xVal>
            <c:numRef>
              <c:f>'Shishkina 2010'!$P$5:$P$39</c:f>
              <c:numCache>
                <c:formatCode>General</c:formatCode>
                <c:ptCount val="35"/>
                <c:pt idx="0">
                  <c:v>1.71</c:v>
                </c:pt>
                <c:pt idx="1">
                  <c:v>1.52</c:v>
                </c:pt>
                <c:pt idx="3">
                  <c:v>2.34</c:v>
                </c:pt>
                <c:pt idx="4">
                  <c:v>1.9</c:v>
                </c:pt>
                <c:pt idx="5">
                  <c:v>1.23</c:v>
                </c:pt>
                <c:pt idx="6">
                  <c:v>0.85</c:v>
                </c:pt>
                <c:pt idx="7">
                  <c:v>0.85</c:v>
                </c:pt>
                <c:pt idx="8">
                  <c:v>3.14</c:v>
                </c:pt>
                <c:pt idx="9">
                  <c:v>3.08</c:v>
                </c:pt>
                <c:pt idx="10">
                  <c:v>2.21</c:v>
                </c:pt>
                <c:pt idx="11">
                  <c:v>0.78</c:v>
                </c:pt>
                <c:pt idx="12">
                  <c:v>0.55000000000000004</c:v>
                </c:pt>
                <c:pt idx="13">
                  <c:v>4.9800000000000004</c:v>
                </c:pt>
                <c:pt idx="14">
                  <c:v>4.22</c:v>
                </c:pt>
                <c:pt idx="15">
                  <c:v>3.97</c:v>
                </c:pt>
                <c:pt idx="16">
                  <c:v>3</c:v>
                </c:pt>
                <c:pt idx="17">
                  <c:v>0.52</c:v>
                </c:pt>
                <c:pt idx="18">
                  <c:v>6.39</c:v>
                </c:pt>
                <c:pt idx="19">
                  <c:v>5.84</c:v>
                </c:pt>
                <c:pt idx="20">
                  <c:v>4.2300000000000004</c:v>
                </c:pt>
                <c:pt idx="21">
                  <c:v>3.05</c:v>
                </c:pt>
                <c:pt idx="22">
                  <c:v>0.53</c:v>
                </c:pt>
                <c:pt idx="24">
                  <c:v>6.89</c:v>
                </c:pt>
                <c:pt idx="25">
                  <c:v>5.18</c:v>
                </c:pt>
                <c:pt idx="26">
                  <c:v>3.03</c:v>
                </c:pt>
                <c:pt idx="27">
                  <c:v>3.16</c:v>
                </c:pt>
                <c:pt idx="28">
                  <c:v>5.91</c:v>
                </c:pt>
                <c:pt idx="31">
                  <c:v>1.65</c:v>
                </c:pt>
                <c:pt idx="32">
                  <c:v>2.79</c:v>
                </c:pt>
                <c:pt idx="33">
                  <c:v>4.1100000000000003</c:v>
                </c:pt>
                <c:pt idx="34">
                  <c:v>7.09</c:v>
                </c:pt>
              </c:numCache>
            </c:numRef>
          </c:xVal>
          <c:yVal>
            <c:numRef>
              <c:f>'Shishkina 2010'!$I$5:$I$39</c:f>
              <c:numCache>
                <c:formatCode>General</c:formatCode>
                <c:ptCount val="35"/>
                <c:pt idx="0">
                  <c:v>1.59</c:v>
                </c:pt>
                <c:pt idx="1">
                  <c:v>1.43</c:v>
                </c:pt>
                <c:pt idx="2">
                  <c:v>1.1000000000000001</c:v>
                </c:pt>
                <c:pt idx="6">
                  <c:v>0.7</c:v>
                </c:pt>
                <c:pt idx="7">
                  <c:v>0.73</c:v>
                </c:pt>
                <c:pt idx="10">
                  <c:v>2.06</c:v>
                </c:pt>
                <c:pt idx="11">
                  <c:v>1.31</c:v>
                </c:pt>
                <c:pt idx="12">
                  <c:v>0.84</c:v>
                </c:pt>
                <c:pt idx="17">
                  <c:v>0.82</c:v>
                </c:pt>
                <c:pt idx="22">
                  <c:v>0.48</c:v>
                </c:pt>
                <c:pt idx="31">
                  <c:v>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703-2843-8DEB-2E08B7E2650F}"/>
            </c:ext>
          </c:extLst>
        </c:ser>
        <c:ser>
          <c:idx val="2"/>
          <c:order val="5"/>
          <c:spPr>
            <a:ln w="25400">
              <a:noFill/>
            </a:ln>
          </c:spPr>
          <c:marker>
            <c:symbol val="circle"/>
            <c:size val="12"/>
          </c:marker>
          <c:trendline>
            <c:spPr>
              <a:ln w="38100">
                <a:solidFill>
                  <a:srgbClr val="FF0000"/>
                </a:solidFill>
                <a:prstDash val="dash"/>
              </a:ln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8763133640552994"/>
                  <c:y val="0.17024085844691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 b="1"/>
                  </a:pPr>
                  <a:endParaRPr lang="en-US"/>
                </a:p>
              </c:txPr>
            </c:trendlineLbl>
          </c:trendline>
          <c:xVal>
            <c:numRef>
              <c:f>'Shishkina 2010'!$P$5:$P$39</c:f>
              <c:numCache>
                <c:formatCode>General</c:formatCode>
                <c:ptCount val="35"/>
                <c:pt idx="0">
                  <c:v>1.71</c:v>
                </c:pt>
                <c:pt idx="1">
                  <c:v>1.52</c:v>
                </c:pt>
                <c:pt idx="3">
                  <c:v>2.34</c:v>
                </c:pt>
                <c:pt idx="4">
                  <c:v>1.9</c:v>
                </c:pt>
                <c:pt idx="5">
                  <c:v>1.23</c:v>
                </c:pt>
                <c:pt idx="6">
                  <c:v>0.85</c:v>
                </c:pt>
                <c:pt idx="7">
                  <c:v>0.85</c:v>
                </c:pt>
                <c:pt idx="8">
                  <c:v>3.14</c:v>
                </c:pt>
                <c:pt idx="9">
                  <c:v>3.08</c:v>
                </c:pt>
                <c:pt idx="10">
                  <c:v>2.21</c:v>
                </c:pt>
                <c:pt idx="11">
                  <c:v>0.78</c:v>
                </c:pt>
                <c:pt idx="12">
                  <c:v>0.55000000000000004</c:v>
                </c:pt>
                <c:pt idx="13">
                  <c:v>4.9800000000000004</c:v>
                </c:pt>
                <c:pt idx="14">
                  <c:v>4.22</c:v>
                </c:pt>
                <c:pt idx="15">
                  <c:v>3.97</c:v>
                </c:pt>
                <c:pt idx="16">
                  <c:v>3</c:v>
                </c:pt>
                <c:pt idx="17">
                  <c:v>0.52</c:v>
                </c:pt>
                <c:pt idx="18">
                  <c:v>6.39</c:v>
                </c:pt>
                <c:pt idx="19">
                  <c:v>5.84</c:v>
                </c:pt>
                <c:pt idx="20">
                  <c:v>4.2300000000000004</c:v>
                </c:pt>
                <c:pt idx="21">
                  <c:v>3.05</c:v>
                </c:pt>
                <c:pt idx="22">
                  <c:v>0.53</c:v>
                </c:pt>
                <c:pt idx="24">
                  <c:v>6.89</c:v>
                </c:pt>
                <c:pt idx="25">
                  <c:v>5.18</c:v>
                </c:pt>
                <c:pt idx="26">
                  <c:v>3.03</c:v>
                </c:pt>
                <c:pt idx="27">
                  <c:v>3.16</c:v>
                </c:pt>
                <c:pt idx="28">
                  <c:v>5.91</c:v>
                </c:pt>
                <c:pt idx="31">
                  <c:v>1.65</c:v>
                </c:pt>
                <c:pt idx="32">
                  <c:v>2.79</c:v>
                </c:pt>
                <c:pt idx="33">
                  <c:v>4.1100000000000003</c:v>
                </c:pt>
                <c:pt idx="34">
                  <c:v>7.09</c:v>
                </c:pt>
              </c:numCache>
            </c:numRef>
          </c:xVal>
          <c:yVal>
            <c:numRef>
              <c:f>'Shishkina 2010'!$I$5:$I$39</c:f>
              <c:numCache>
                <c:formatCode>General</c:formatCode>
                <c:ptCount val="35"/>
                <c:pt idx="0">
                  <c:v>1.59</c:v>
                </c:pt>
                <c:pt idx="1">
                  <c:v>1.43</c:v>
                </c:pt>
                <c:pt idx="2">
                  <c:v>1.1000000000000001</c:v>
                </c:pt>
                <c:pt idx="6">
                  <c:v>0.7</c:v>
                </c:pt>
                <c:pt idx="7">
                  <c:v>0.73</c:v>
                </c:pt>
                <c:pt idx="10">
                  <c:v>2.06</c:v>
                </c:pt>
                <c:pt idx="11">
                  <c:v>1.31</c:v>
                </c:pt>
                <c:pt idx="12">
                  <c:v>0.84</c:v>
                </c:pt>
                <c:pt idx="17">
                  <c:v>0.82</c:v>
                </c:pt>
                <c:pt idx="22">
                  <c:v>0.48</c:v>
                </c:pt>
                <c:pt idx="31">
                  <c:v>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703-2843-8DEB-2E08B7E26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33103"/>
        <c:axId val="1973234735"/>
      </c:scatterChart>
      <c:valAx>
        <c:axId val="1973233103"/>
        <c:scaling>
          <c:orientation val="minMax"/>
          <c:max val="2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 H2O Total (5200 + 4500) Wt%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4735"/>
        <c:crosses val="autoZero"/>
        <c:crossBetween val="midCat"/>
      </c:valAx>
      <c:valAx>
        <c:axId val="1973234735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800" b="1" i="0" baseline="0">
                    <a:effectLst/>
                  </a:rPr>
                  <a:t> H2O Total (3500) Wt% </a:t>
                </a:r>
                <a:endParaRPr lang="en-US" sz="16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310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Shishkina</a:t>
            </a:r>
            <a:r>
              <a:rPr lang="en-US" b="1" baseline="0"/>
              <a:t> et al. 2010 Data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H2O Molecular 5200 Peak</c:v>
          </c:tx>
          <c:spPr>
            <a:ln w="25400">
              <a:noFill/>
            </a:ln>
          </c:spPr>
          <c:marker>
            <c:symbol val="square"/>
            <c:size val="9"/>
            <c:spPr>
              <a:ln>
                <a:solidFill>
                  <a:schemeClr val="tx1"/>
                </a:solidFill>
              </a:ln>
            </c:spPr>
          </c:marker>
          <c:xVal>
            <c:numRef>
              <c:f>'Shishkina 2010'!$P$5:$P$39</c:f>
              <c:numCache>
                <c:formatCode>General</c:formatCode>
                <c:ptCount val="35"/>
                <c:pt idx="0">
                  <c:v>1.71</c:v>
                </c:pt>
                <c:pt idx="1">
                  <c:v>1.52</c:v>
                </c:pt>
                <c:pt idx="3">
                  <c:v>2.34</c:v>
                </c:pt>
                <c:pt idx="4">
                  <c:v>1.9</c:v>
                </c:pt>
                <c:pt idx="5">
                  <c:v>1.23</c:v>
                </c:pt>
                <c:pt idx="6">
                  <c:v>0.85</c:v>
                </c:pt>
                <c:pt idx="7">
                  <c:v>0.85</c:v>
                </c:pt>
                <c:pt idx="8">
                  <c:v>3.14</c:v>
                </c:pt>
                <c:pt idx="9">
                  <c:v>3.08</c:v>
                </c:pt>
                <c:pt idx="10">
                  <c:v>2.21</c:v>
                </c:pt>
                <c:pt idx="11">
                  <c:v>0.78</c:v>
                </c:pt>
                <c:pt idx="12">
                  <c:v>0.55000000000000004</c:v>
                </c:pt>
                <c:pt idx="13">
                  <c:v>4.9800000000000004</c:v>
                </c:pt>
                <c:pt idx="14">
                  <c:v>4.22</c:v>
                </c:pt>
                <c:pt idx="15">
                  <c:v>3.97</c:v>
                </c:pt>
                <c:pt idx="16">
                  <c:v>3</c:v>
                </c:pt>
                <c:pt idx="17">
                  <c:v>0.52</c:v>
                </c:pt>
                <c:pt idx="18">
                  <c:v>6.39</c:v>
                </c:pt>
                <c:pt idx="19">
                  <c:v>5.84</c:v>
                </c:pt>
                <c:pt idx="20">
                  <c:v>4.2300000000000004</c:v>
                </c:pt>
                <c:pt idx="21">
                  <c:v>3.05</c:v>
                </c:pt>
                <c:pt idx="22">
                  <c:v>0.53</c:v>
                </c:pt>
                <c:pt idx="24">
                  <c:v>6.89</c:v>
                </c:pt>
                <c:pt idx="25">
                  <c:v>5.18</c:v>
                </c:pt>
                <c:pt idx="26">
                  <c:v>3.03</c:v>
                </c:pt>
                <c:pt idx="27">
                  <c:v>3.16</c:v>
                </c:pt>
                <c:pt idx="28">
                  <c:v>5.91</c:v>
                </c:pt>
                <c:pt idx="31">
                  <c:v>1.65</c:v>
                </c:pt>
                <c:pt idx="32">
                  <c:v>2.79</c:v>
                </c:pt>
                <c:pt idx="33">
                  <c:v>4.1100000000000003</c:v>
                </c:pt>
                <c:pt idx="34">
                  <c:v>7.09</c:v>
                </c:pt>
              </c:numCache>
            </c:numRef>
          </c:xVal>
          <c:yVal>
            <c:numRef>
              <c:f>'Shishkina 2010'!$L$5:$L$39</c:f>
              <c:numCache>
                <c:formatCode>General</c:formatCode>
                <c:ptCount val="35"/>
                <c:pt idx="0">
                  <c:v>0.59</c:v>
                </c:pt>
                <c:pt idx="1">
                  <c:v>0.54</c:v>
                </c:pt>
                <c:pt idx="2">
                  <c:v>0</c:v>
                </c:pt>
                <c:pt idx="3">
                  <c:v>0.96</c:v>
                </c:pt>
                <c:pt idx="4">
                  <c:v>0.73</c:v>
                </c:pt>
                <c:pt idx="5">
                  <c:v>0.44</c:v>
                </c:pt>
                <c:pt idx="6">
                  <c:v>0.34</c:v>
                </c:pt>
                <c:pt idx="7">
                  <c:v>0.34</c:v>
                </c:pt>
                <c:pt idx="8">
                  <c:v>1.46</c:v>
                </c:pt>
                <c:pt idx="9">
                  <c:v>1.49</c:v>
                </c:pt>
                <c:pt idx="10">
                  <c:v>0.94</c:v>
                </c:pt>
                <c:pt idx="11">
                  <c:v>0</c:v>
                </c:pt>
                <c:pt idx="12">
                  <c:v>0</c:v>
                </c:pt>
                <c:pt idx="13">
                  <c:v>2.92</c:v>
                </c:pt>
                <c:pt idx="14">
                  <c:v>2.31</c:v>
                </c:pt>
                <c:pt idx="15">
                  <c:v>2.09</c:v>
                </c:pt>
                <c:pt idx="16">
                  <c:v>1.36</c:v>
                </c:pt>
                <c:pt idx="17">
                  <c:v>0</c:v>
                </c:pt>
                <c:pt idx="18">
                  <c:v>4.16</c:v>
                </c:pt>
                <c:pt idx="19">
                  <c:v>3.62</c:v>
                </c:pt>
                <c:pt idx="20">
                  <c:v>2.2799999999999998</c:v>
                </c:pt>
                <c:pt idx="21">
                  <c:v>1.44</c:v>
                </c:pt>
                <c:pt idx="22">
                  <c:v>0.27</c:v>
                </c:pt>
                <c:pt idx="23">
                  <c:v>0</c:v>
                </c:pt>
                <c:pt idx="24">
                  <c:v>4.59</c:v>
                </c:pt>
                <c:pt idx="25">
                  <c:v>3.22</c:v>
                </c:pt>
                <c:pt idx="26">
                  <c:v>1.43</c:v>
                </c:pt>
                <c:pt idx="27">
                  <c:v>1.49</c:v>
                </c:pt>
                <c:pt idx="28">
                  <c:v>3.73</c:v>
                </c:pt>
                <c:pt idx="29">
                  <c:v>0</c:v>
                </c:pt>
                <c:pt idx="30">
                  <c:v>0</c:v>
                </c:pt>
                <c:pt idx="31">
                  <c:v>0.69</c:v>
                </c:pt>
                <c:pt idx="32">
                  <c:v>1.24</c:v>
                </c:pt>
                <c:pt idx="33">
                  <c:v>2.2000000000000002</c:v>
                </c:pt>
                <c:pt idx="34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CAC-8A46-90E4-100746F48FAD}"/>
            </c:ext>
          </c:extLst>
        </c:ser>
        <c:ser>
          <c:idx val="0"/>
          <c:order val="1"/>
          <c:tx>
            <c:v>OH 4500 Peak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'Shishkina 2010'!$P$5:$P$39</c:f>
              <c:numCache>
                <c:formatCode>General</c:formatCode>
                <c:ptCount val="35"/>
                <c:pt idx="0">
                  <c:v>1.71</c:v>
                </c:pt>
                <c:pt idx="1">
                  <c:v>1.52</c:v>
                </c:pt>
                <c:pt idx="3">
                  <c:v>2.34</c:v>
                </c:pt>
                <c:pt idx="4">
                  <c:v>1.9</c:v>
                </c:pt>
                <c:pt idx="5">
                  <c:v>1.23</c:v>
                </c:pt>
                <c:pt idx="6">
                  <c:v>0.85</c:v>
                </c:pt>
                <c:pt idx="7">
                  <c:v>0.85</c:v>
                </c:pt>
                <c:pt idx="8">
                  <c:v>3.14</c:v>
                </c:pt>
                <c:pt idx="9">
                  <c:v>3.08</c:v>
                </c:pt>
                <c:pt idx="10">
                  <c:v>2.21</c:v>
                </c:pt>
                <c:pt idx="11">
                  <c:v>0.78</c:v>
                </c:pt>
                <c:pt idx="12">
                  <c:v>0.55000000000000004</c:v>
                </c:pt>
                <c:pt idx="13">
                  <c:v>4.9800000000000004</c:v>
                </c:pt>
                <c:pt idx="14">
                  <c:v>4.22</c:v>
                </c:pt>
                <c:pt idx="15">
                  <c:v>3.97</c:v>
                </c:pt>
                <c:pt idx="16">
                  <c:v>3</c:v>
                </c:pt>
                <c:pt idx="17">
                  <c:v>0.52</c:v>
                </c:pt>
                <c:pt idx="18">
                  <c:v>6.39</c:v>
                </c:pt>
                <c:pt idx="19">
                  <c:v>5.84</c:v>
                </c:pt>
                <c:pt idx="20">
                  <c:v>4.2300000000000004</c:v>
                </c:pt>
                <c:pt idx="21">
                  <c:v>3.05</c:v>
                </c:pt>
                <c:pt idx="22">
                  <c:v>0.53</c:v>
                </c:pt>
                <c:pt idx="24">
                  <c:v>6.89</c:v>
                </c:pt>
                <c:pt idx="25">
                  <c:v>5.18</c:v>
                </c:pt>
                <c:pt idx="26">
                  <c:v>3.03</c:v>
                </c:pt>
                <c:pt idx="27">
                  <c:v>3.16</c:v>
                </c:pt>
                <c:pt idx="28">
                  <c:v>5.91</c:v>
                </c:pt>
                <c:pt idx="31">
                  <c:v>1.65</c:v>
                </c:pt>
                <c:pt idx="32">
                  <c:v>2.79</c:v>
                </c:pt>
                <c:pt idx="33">
                  <c:v>4.1100000000000003</c:v>
                </c:pt>
                <c:pt idx="34">
                  <c:v>7.09</c:v>
                </c:pt>
              </c:numCache>
            </c:numRef>
          </c:xVal>
          <c:yVal>
            <c:numRef>
              <c:f>'Shishkina 2010'!$N$5:$N$39</c:f>
              <c:numCache>
                <c:formatCode>General</c:formatCode>
                <c:ptCount val="35"/>
                <c:pt idx="0">
                  <c:v>1.1200000000000001</c:v>
                </c:pt>
                <c:pt idx="1">
                  <c:v>0.98</c:v>
                </c:pt>
                <c:pt idx="2">
                  <c:v>0</c:v>
                </c:pt>
                <c:pt idx="3">
                  <c:v>1.38</c:v>
                </c:pt>
                <c:pt idx="4">
                  <c:v>1.17</c:v>
                </c:pt>
                <c:pt idx="5">
                  <c:v>0.79</c:v>
                </c:pt>
                <c:pt idx="6">
                  <c:v>0.51</c:v>
                </c:pt>
                <c:pt idx="7">
                  <c:v>0.51</c:v>
                </c:pt>
                <c:pt idx="8">
                  <c:v>1.68</c:v>
                </c:pt>
                <c:pt idx="9">
                  <c:v>1.6</c:v>
                </c:pt>
                <c:pt idx="10">
                  <c:v>1.27</c:v>
                </c:pt>
                <c:pt idx="11">
                  <c:v>0.78</c:v>
                </c:pt>
                <c:pt idx="12">
                  <c:v>0.55000000000000004</c:v>
                </c:pt>
                <c:pt idx="13">
                  <c:v>2.06</c:v>
                </c:pt>
                <c:pt idx="14">
                  <c:v>1.91</c:v>
                </c:pt>
                <c:pt idx="15">
                  <c:v>1.88</c:v>
                </c:pt>
                <c:pt idx="16">
                  <c:v>1.65</c:v>
                </c:pt>
                <c:pt idx="17">
                  <c:v>0.52</c:v>
                </c:pt>
                <c:pt idx="18">
                  <c:v>2.23</c:v>
                </c:pt>
                <c:pt idx="19">
                  <c:v>2.2200000000000002</c:v>
                </c:pt>
                <c:pt idx="20">
                  <c:v>1.94</c:v>
                </c:pt>
                <c:pt idx="21">
                  <c:v>1.61</c:v>
                </c:pt>
                <c:pt idx="22">
                  <c:v>0.26</c:v>
                </c:pt>
                <c:pt idx="23">
                  <c:v>0</c:v>
                </c:pt>
                <c:pt idx="24">
                  <c:v>2.2999999999999998</c:v>
                </c:pt>
                <c:pt idx="25">
                  <c:v>1.97</c:v>
                </c:pt>
                <c:pt idx="26">
                  <c:v>1.6</c:v>
                </c:pt>
                <c:pt idx="27">
                  <c:v>1.68</c:v>
                </c:pt>
                <c:pt idx="28">
                  <c:v>2.19</c:v>
                </c:pt>
                <c:pt idx="29">
                  <c:v>0</c:v>
                </c:pt>
                <c:pt idx="30">
                  <c:v>0</c:v>
                </c:pt>
                <c:pt idx="31">
                  <c:v>0.96</c:v>
                </c:pt>
                <c:pt idx="32">
                  <c:v>1.55</c:v>
                </c:pt>
                <c:pt idx="33">
                  <c:v>1.91</c:v>
                </c:pt>
                <c:pt idx="34">
                  <c:v>2.2799999999999998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AC-8A46-90E4-100746F48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33103"/>
        <c:axId val="1973234735"/>
      </c:scatterChart>
      <c:valAx>
        <c:axId val="1973233103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Total H2O Wt%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4735"/>
        <c:crosses val="autoZero"/>
        <c:crossBetween val="midCat"/>
      </c:valAx>
      <c:valAx>
        <c:axId val="197323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Concentration H2O</a:t>
                </a:r>
                <a:r>
                  <a:rPr lang="en-US" sz="1600" baseline="0"/>
                  <a:t> or OH wt%</a:t>
                </a:r>
                <a:endParaRPr lang="en-US" sz="16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3103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Shishkina</a:t>
            </a:r>
            <a:r>
              <a:rPr lang="en-US" b="1" baseline="0"/>
              <a:t> et al. 2010 Data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>
              <a:noFill/>
            </a:ln>
          </c:spPr>
          <c:marker>
            <c:symbol val="circle"/>
            <c:size val="12"/>
          </c:marker>
          <c:trendline>
            <c:spPr>
              <a:ln w="38100">
                <a:solidFill>
                  <a:srgbClr val="FF0000"/>
                </a:solidFill>
                <a:prstDash val="dash"/>
              </a:ln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8763133640552994"/>
                  <c:y val="0.17024085844691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 b="1"/>
                  </a:pPr>
                  <a:endParaRPr lang="en-US"/>
                </a:p>
              </c:txPr>
            </c:trendlineLbl>
          </c:trendline>
          <c:xVal>
            <c:numRef>
              <c:f>'Shishkina 2010'!$X$5:$X$39</c:f>
              <c:numCache>
                <c:formatCode>General</c:formatCode>
                <c:ptCount val="35"/>
                <c:pt idx="0">
                  <c:v>1.71</c:v>
                </c:pt>
                <c:pt idx="1">
                  <c:v>1.52</c:v>
                </c:pt>
                <c:pt idx="6">
                  <c:v>0.85</c:v>
                </c:pt>
                <c:pt idx="7">
                  <c:v>0.85</c:v>
                </c:pt>
                <c:pt idx="10">
                  <c:v>2.21</c:v>
                </c:pt>
                <c:pt idx="11">
                  <c:v>0.78</c:v>
                </c:pt>
                <c:pt idx="12">
                  <c:v>0.55000000000000004</c:v>
                </c:pt>
                <c:pt idx="17">
                  <c:v>0.52</c:v>
                </c:pt>
                <c:pt idx="22">
                  <c:v>0.53</c:v>
                </c:pt>
                <c:pt idx="31">
                  <c:v>1.65</c:v>
                </c:pt>
              </c:numCache>
            </c:numRef>
          </c:xVal>
          <c:yVal>
            <c:numRef>
              <c:f>'Shishkina 2010'!$AC$5:$AC$39</c:f>
              <c:numCache>
                <c:formatCode>0.00</c:formatCode>
                <c:ptCount val="35"/>
                <c:pt idx="0">
                  <c:v>1.645914598224</c:v>
                </c:pt>
                <c:pt idx="1">
                  <c:v>1.4975020117208122</c:v>
                </c:pt>
                <c:pt idx="6">
                  <c:v>0.76987858027141964</c:v>
                </c:pt>
                <c:pt idx="7">
                  <c:v>0.80287337656876634</c:v>
                </c:pt>
                <c:pt idx="10">
                  <c:v>2.3270425981950646</c:v>
                </c:pt>
                <c:pt idx="11">
                  <c:v>0.82441040751383288</c:v>
                </c:pt>
                <c:pt idx="12">
                  <c:v>0.52862957428367896</c:v>
                </c:pt>
                <c:pt idx="17">
                  <c:v>0.51604315584835325</c:v>
                </c:pt>
                <c:pt idx="22">
                  <c:v>0.58970389406869705</c:v>
                </c:pt>
                <c:pt idx="31">
                  <c:v>1.5921226906122652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BB-824A-BBC8-E392954D6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33103"/>
        <c:axId val="1973234735"/>
      </c:scatterChart>
      <c:valAx>
        <c:axId val="1973233103"/>
        <c:scaling>
          <c:orientation val="minMax"/>
          <c:max val="2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 H2O Total (5200 + 4500) Wt%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4735"/>
        <c:crosses val="autoZero"/>
        <c:crossBetween val="midCat"/>
      </c:valAx>
      <c:valAx>
        <c:axId val="1973234735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800" b="1" i="0" baseline="0">
                    <a:effectLst/>
                  </a:rPr>
                  <a:t> Species Dependent  Total H2O (3500) Wt% </a:t>
                </a:r>
                <a:endParaRPr lang="en-US" sz="1600">
                  <a:effectLst/>
                </a:endParaRP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310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'Shishkina 2010'!$AF$5:$AF$27</c:f>
              <c:numCache>
                <c:formatCode>General</c:formatCode>
                <c:ptCount val="23"/>
                <c:pt idx="0">
                  <c:v>1.6404761904761906</c:v>
                </c:pt>
                <c:pt idx="1">
                  <c:v>1.4753968253968255</c:v>
                </c:pt>
                <c:pt idx="2">
                  <c:v>1.1349206349206349</c:v>
                </c:pt>
                <c:pt idx="6">
                  <c:v>0.72222222222222221</c:v>
                </c:pt>
                <c:pt idx="7">
                  <c:v>0.75317460317460305</c:v>
                </c:pt>
                <c:pt idx="10">
                  <c:v>2.1253968253968254</c:v>
                </c:pt>
                <c:pt idx="11">
                  <c:v>1.3515873015873017</c:v>
                </c:pt>
                <c:pt idx="12">
                  <c:v>0.8666666666666667</c:v>
                </c:pt>
                <c:pt idx="17">
                  <c:v>0.84603174603174602</c:v>
                </c:pt>
                <c:pt idx="22">
                  <c:v>0.4952380952380952</c:v>
                </c:pt>
              </c:numCache>
            </c:numRef>
          </c:xVal>
          <c:yVal>
            <c:numRef>
              <c:f>'Shishkina 2010'!$AH$5:$AH$27</c:f>
              <c:numCache>
                <c:formatCode>General</c:formatCode>
                <c:ptCount val="23"/>
                <c:pt idx="0">
                  <c:v>1.82</c:v>
                </c:pt>
                <c:pt idx="1">
                  <c:v>1.54</c:v>
                </c:pt>
                <c:pt idx="2">
                  <c:v>1.07</c:v>
                </c:pt>
                <c:pt idx="6">
                  <c:v>0.77</c:v>
                </c:pt>
                <c:pt idx="7">
                  <c:v>0.82</c:v>
                </c:pt>
                <c:pt idx="10">
                  <c:v>2.2599999999999998</c:v>
                </c:pt>
                <c:pt idx="11">
                  <c:v>1.2</c:v>
                </c:pt>
                <c:pt idx="12">
                  <c:v>0.75</c:v>
                </c:pt>
                <c:pt idx="17">
                  <c:v>0.64</c:v>
                </c:pt>
                <c:pt idx="22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4-9D4E-B847-E9FA1A433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579616"/>
        <c:axId val="1677594016"/>
      </c:scatterChart>
      <c:valAx>
        <c:axId val="154457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594016"/>
        <c:crosses val="autoZero"/>
        <c:crossBetween val="midCat"/>
      </c:valAx>
      <c:valAx>
        <c:axId val="167759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57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Shishkina</a:t>
            </a:r>
            <a:r>
              <a:rPr lang="en-US" b="1" baseline="0"/>
              <a:t> et al. 2010 Data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spPr>
            <a:ln w="25400">
              <a:noFill/>
            </a:ln>
          </c:spPr>
          <c:xVal>
            <c:numRef>
              <c:f>'Combined Solve'!$P$5:$P$39</c:f>
              <c:numCache>
                <c:formatCode>General</c:formatCode>
                <c:ptCount val="35"/>
                <c:pt idx="0">
                  <c:v>1.71</c:v>
                </c:pt>
                <c:pt idx="1">
                  <c:v>1.52</c:v>
                </c:pt>
                <c:pt idx="3">
                  <c:v>2.34</c:v>
                </c:pt>
                <c:pt idx="4">
                  <c:v>1.9</c:v>
                </c:pt>
                <c:pt idx="5">
                  <c:v>1.23</c:v>
                </c:pt>
                <c:pt idx="6">
                  <c:v>0.85</c:v>
                </c:pt>
                <c:pt idx="7">
                  <c:v>0.85</c:v>
                </c:pt>
                <c:pt idx="8">
                  <c:v>3.14</c:v>
                </c:pt>
                <c:pt idx="9">
                  <c:v>3.08</c:v>
                </c:pt>
                <c:pt idx="10">
                  <c:v>2.21</c:v>
                </c:pt>
                <c:pt idx="11">
                  <c:v>0.78</c:v>
                </c:pt>
                <c:pt idx="12">
                  <c:v>0.55000000000000004</c:v>
                </c:pt>
                <c:pt idx="13">
                  <c:v>4.9800000000000004</c:v>
                </c:pt>
                <c:pt idx="14">
                  <c:v>4.22</c:v>
                </c:pt>
                <c:pt idx="15">
                  <c:v>3.97</c:v>
                </c:pt>
                <c:pt idx="16">
                  <c:v>3</c:v>
                </c:pt>
                <c:pt idx="17">
                  <c:v>0.52</c:v>
                </c:pt>
                <c:pt idx="18">
                  <c:v>6.39</c:v>
                </c:pt>
                <c:pt idx="19">
                  <c:v>5.84</c:v>
                </c:pt>
                <c:pt idx="20">
                  <c:v>4.2300000000000004</c:v>
                </c:pt>
                <c:pt idx="21">
                  <c:v>3.05</c:v>
                </c:pt>
                <c:pt idx="22">
                  <c:v>0.53</c:v>
                </c:pt>
                <c:pt idx="24">
                  <c:v>6.89</c:v>
                </c:pt>
                <c:pt idx="25">
                  <c:v>5.18</c:v>
                </c:pt>
                <c:pt idx="26">
                  <c:v>3.03</c:v>
                </c:pt>
                <c:pt idx="27">
                  <c:v>3.16</c:v>
                </c:pt>
                <c:pt idx="28">
                  <c:v>5.91</c:v>
                </c:pt>
                <c:pt idx="31">
                  <c:v>1.65</c:v>
                </c:pt>
                <c:pt idx="32">
                  <c:v>2.79</c:v>
                </c:pt>
                <c:pt idx="33">
                  <c:v>4.1100000000000003</c:v>
                </c:pt>
                <c:pt idx="34">
                  <c:v>7.09</c:v>
                </c:pt>
              </c:numCache>
            </c:numRef>
          </c:xVal>
          <c:yVal>
            <c:numRef>
              <c:f>'Combined Solve'!$I$5:$I$39</c:f>
              <c:numCache>
                <c:formatCode>General</c:formatCode>
                <c:ptCount val="35"/>
                <c:pt idx="0">
                  <c:v>1.59</c:v>
                </c:pt>
                <c:pt idx="1">
                  <c:v>1.43</c:v>
                </c:pt>
                <c:pt idx="2">
                  <c:v>1.1000000000000001</c:v>
                </c:pt>
                <c:pt idx="6">
                  <c:v>0.7</c:v>
                </c:pt>
                <c:pt idx="7">
                  <c:v>0.73</c:v>
                </c:pt>
                <c:pt idx="10">
                  <c:v>2.06</c:v>
                </c:pt>
                <c:pt idx="11">
                  <c:v>1.31</c:v>
                </c:pt>
                <c:pt idx="12">
                  <c:v>0.84</c:v>
                </c:pt>
                <c:pt idx="17">
                  <c:v>0.82</c:v>
                </c:pt>
                <c:pt idx="22">
                  <c:v>0.48</c:v>
                </c:pt>
                <c:pt idx="31">
                  <c:v>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E7-224A-BDF3-90DDE8E9ADF9}"/>
            </c:ext>
          </c:extLst>
        </c:ser>
        <c:ser>
          <c:idx val="4"/>
          <c:order val="1"/>
          <c:spPr>
            <a:ln w="25400">
              <a:noFill/>
            </a:ln>
          </c:spPr>
          <c:xVal>
            <c:numRef>
              <c:f>'Combined Solve'!$P$5:$P$39</c:f>
              <c:numCache>
                <c:formatCode>General</c:formatCode>
                <c:ptCount val="35"/>
                <c:pt idx="0">
                  <c:v>1.71</c:v>
                </c:pt>
                <c:pt idx="1">
                  <c:v>1.52</c:v>
                </c:pt>
                <c:pt idx="3">
                  <c:v>2.34</c:v>
                </c:pt>
                <c:pt idx="4">
                  <c:v>1.9</c:v>
                </c:pt>
                <c:pt idx="5">
                  <c:v>1.23</c:v>
                </c:pt>
                <c:pt idx="6">
                  <c:v>0.85</c:v>
                </c:pt>
                <c:pt idx="7">
                  <c:v>0.85</c:v>
                </c:pt>
                <c:pt idx="8">
                  <c:v>3.14</c:v>
                </c:pt>
                <c:pt idx="9">
                  <c:v>3.08</c:v>
                </c:pt>
                <c:pt idx="10">
                  <c:v>2.21</c:v>
                </c:pt>
                <c:pt idx="11">
                  <c:v>0.78</c:v>
                </c:pt>
                <c:pt idx="12">
                  <c:v>0.55000000000000004</c:v>
                </c:pt>
                <c:pt idx="13">
                  <c:v>4.9800000000000004</c:v>
                </c:pt>
                <c:pt idx="14">
                  <c:v>4.22</c:v>
                </c:pt>
                <c:pt idx="15">
                  <c:v>3.97</c:v>
                </c:pt>
                <c:pt idx="16">
                  <c:v>3</c:v>
                </c:pt>
                <c:pt idx="17">
                  <c:v>0.52</c:v>
                </c:pt>
                <c:pt idx="18">
                  <c:v>6.39</c:v>
                </c:pt>
                <c:pt idx="19">
                  <c:v>5.84</c:v>
                </c:pt>
                <c:pt idx="20">
                  <c:v>4.2300000000000004</c:v>
                </c:pt>
                <c:pt idx="21">
                  <c:v>3.05</c:v>
                </c:pt>
                <c:pt idx="22">
                  <c:v>0.53</c:v>
                </c:pt>
                <c:pt idx="24">
                  <c:v>6.89</c:v>
                </c:pt>
                <c:pt idx="25">
                  <c:v>5.18</c:v>
                </c:pt>
                <c:pt idx="26">
                  <c:v>3.03</c:v>
                </c:pt>
                <c:pt idx="27">
                  <c:v>3.16</c:v>
                </c:pt>
                <c:pt idx="28">
                  <c:v>5.91</c:v>
                </c:pt>
                <c:pt idx="31">
                  <c:v>1.65</c:v>
                </c:pt>
                <c:pt idx="32">
                  <c:v>2.79</c:v>
                </c:pt>
                <c:pt idx="33">
                  <c:v>4.1100000000000003</c:v>
                </c:pt>
                <c:pt idx="34">
                  <c:v>7.09</c:v>
                </c:pt>
              </c:numCache>
            </c:numRef>
          </c:xVal>
          <c:yVal>
            <c:numRef>
              <c:f>'Combined Solve'!$I$5:$I$39</c:f>
              <c:numCache>
                <c:formatCode>General</c:formatCode>
                <c:ptCount val="35"/>
                <c:pt idx="0">
                  <c:v>1.59</c:v>
                </c:pt>
                <c:pt idx="1">
                  <c:v>1.43</c:v>
                </c:pt>
                <c:pt idx="2">
                  <c:v>1.1000000000000001</c:v>
                </c:pt>
                <c:pt idx="6">
                  <c:v>0.7</c:v>
                </c:pt>
                <c:pt idx="7">
                  <c:v>0.73</c:v>
                </c:pt>
                <c:pt idx="10">
                  <c:v>2.06</c:v>
                </c:pt>
                <c:pt idx="11">
                  <c:v>1.31</c:v>
                </c:pt>
                <c:pt idx="12">
                  <c:v>0.84</c:v>
                </c:pt>
                <c:pt idx="17">
                  <c:v>0.82</c:v>
                </c:pt>
                <c:pt idx="22">
                  <c:v>0.48</c:v>
                </c:pt>
                <c:pt idx="31">
                  <c:v>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E7-224A-BDF3-90DDE8E9ADF9}"/>
            </c:ext>
          </c:extLst>
        </c:ser>
        <c:ser>
          <c:idx val="5"/>
          <c:order val="2"/>
          <c:spPr>
            <a:ln w="25400">
              <a:noFill/>
            </a:ln>
          </c:spPr>
          <c:xVal>
            <c:numRef>
              <c:f>'Combined Solve'!$P$5:$P$39</c:f>
              <c:numCache>
                <c:formatCode>General</c:formatCode>
                <c:ptCount val="35"/>
                <c:pt idx="0">
                  <c:v>1.71</c:v>
                </c:pt>
                <c:pt idx="1">
                  <c:v>1.52</c:v>
                </c:pt>
                <c:pt idx="3">
                  <c:v>2.34</c:v>
                </c:pt>
                <c:pt idx="4">
                  <c:v>1.9</c:v>
                </c:pt>
                <c:pt idx="5">
                  <c:v>1.23</c:v>
                </c:pt>
                <c:pt idx="6">
                  <c:v>0.85</c:v>
                </c:pt>
                <c:pt idx="7">
                  <c:v>0.85</c:v>
                </c:pt>
                <c:pt idx="8">
                  <c:v>3.14</c:v>
                </c:pt>
                <c:pt idx="9">
                  <c:v>3.08</c:v>
                </c:pt>
                <c:pt idx="10">
                  <c:v>2.21</c:v>
                </c:pt>
                <c:pt idx="11">
                  <c:v>0.78</c:v>
                </c:pt>
                <c:pt idx="12">
                  <c:v>0.55000000000000004</c:v>
                </c:pt>
                <c:pt idx="13">
                  <c:v>4.9800000000000004</c:v>
                </c:pt>
                <c:pt idx="14">
                  <c:v>4.22</c:v>
                </c:pt>
                <c:pt idx="15">
                  <c:v>3.97</c:v>
                </c:pt>
                <c:pt idx="16">
                  <c:v>3</c:v>
                </c:pt>
                <c:pt idx="17">
                  <c:v>0.52</c:v>
                </c:pt>
                <c:pt idx="18">
                  <c:v>6.39</c:v>
                </c:pt>
                <c:pt idx="19">
                  <c:v>5.84</c:v>
                </c:pt>
                <c:pt idx="20">
                  <c:v>4.2300000000000004</c:v>
                </c:pt>
                <c:pt idx="21">
                  <c:v>3.05</c:v>
                </c:pt>
                <c:pt idx="22">
                  <c:v>0.53</c:v>
                </c:pt>
                <c:pt idx="24">
                  <c:v>6.89</c:v>
                </c:pt>
                <c:pt idx="25">
                  <c:v>5.18</c:v>
                </c:pt>
                <c:pt idx="26">
                  <c:v>3.03</c:v>
                </c:pt>
                <c:pt idx="27">
                  <c:v>3.16</c:v>
                </c:pt>
                <c:pt idx="28">
                  <c:v>5.91</c:v>
                </c:pt>
                <c:pt idx="31">
                  <c:v>1.65</c:v>
                </c:pt>
                <c:pt idx="32">
                  <c:v>2.79</c:v>
                </c:pt>
                <c:pt idx="33">
                  <c:v>4.1100000000000003</c:v>
                </c:pt>
                <c:pt idx="34">
                  <c:v>7.09</c:v>
                </c:pt>
              </c:numCache>
            </c:numRef>
          </c:xVal>
          <c:yVal>
            <c:numRef>
              <c:f>'Combined Solve'!$I$5:$I$39</c:f>
              <c:numCache>
                <c:formatCode>General</c:formatCode>
                <c:ptCount val="35"/>
                <c:pt idx="0">
                  <c:v>1.59</c:v>
                </c:pt>
                <c:pt idx="1">
                  <c:v>1.43</c:v>
                </c:pt>
                <c:pt idx="2">
                  <c:v>1.1000000000000001</c:v>
                </c:pt>
                <c:pt idx="6">
                  <c:v>0.7</c:v>
                </c:pt>
                <c:pt idx="7">
                  <c:v>0.73</c:v>
                </c:pt>
                <c:pt idx="10">
                  <c:v>2.06</c:v>
                </c:pt>
                <c:pt idx="11">
                  <c:v>1.31</c:v>
                </c:pt>
                <c:pt idx="12">
                  <c:v>0.84</c:v>
                </c:pt>
                <c:pt idx="17">
                  <c:v>0.82</c:v>
                </c:pt>
                <c:pt idx="22">
                  <c:v>0.48</c:v>
                </c:pt>
                <c:pt idx="31">
                  <c:v>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E7-224A-BDF3-90DDE8E9ADF9}"/>
            </c:ext>
          </c:extLst>
        </c:ser>
        <c:ser>
          <c:idx val="0"/>
          <c:order val="3"/>
          <c:spPr>
            <a:ln w="25400">
              <a:noFill/>
            </a:ln>
          </c:spPr>
          <c:xVal>
            <c:numRef>
              <c:f>'Combined Solve'!$P$5:$P$39</c:f>
              <c:numCache>
                <c:formatCode>General</c:formatCode>
                <c:ptCount val="35"/>
                <c:pt idx="0">
                  <c:v>1.71</c:v>
                </c:pt>
                <c:pt idx="1">
                  <c:v>1.52</c:v>
                </c:pt>
                <c:pt idx="3">
                  <c:v>2.34</c:v>
                </c:pt>
                <c:pt idx="4">
                  <c:v>1.9</c:v>
                </c:pt>
                <c:pt idx="5">
                  <c:v>1.23</c:v>
                </c:pt>
                <c:pt idx="6">
                  <c:v>0.85</c:v>
                </c:pt>
                <c:pt idx="7">
                  <c:v>0.85</c:v>
                </c:pt>
                <c:pt idx="8">
                  <c:v>3.14</c:v>
                </c:pt>
                <c:pt idx="9">
                  <c:v>3.08</c:v>
                </c:pt>
                <c:pt idx="10">
                  <c:v>2.21</c:v>
                </c:pt>
                <c:pt idx="11">
                  <c:v>0.78</c:v>
                </c:pt>
                <c:pt idx="12">
                  <c:v>0.55000000000000004</c:v>
                </c:pt>
                <c:pt idx="13">
                  <c:v>4.9800000000000004</c:v>
                </c:pt>
                <c:pt idx="14">
                  <c:v>4.22</c:v>
                </c:pt>
                <c:pt idx="15">
                  <c:v>3.97</c:v>
                </c:pt>
                <c:pt idx="16">
                  <c:v>3</c:v>
                </c:pt>
                <c:pt idx="17">
                  <c:v>0.52</c:v>
                </c:pt>
                <c:pt idx="18">
                  <c:v>6.39</c:v>
                </c:pt>
                <c:pt idx="19">
                  <c:v>5.84</c:v>
                </c:pt>
                <c:pt idx="20">
                  <c:v>4.2300000000000004</c:v>
                </c:pt>
                <c:pt idx="21">
                  <c:v>3.05</c:v>
                </c:pt>
                <c:pt idx="22">
                  <c:v>0.53</c:v>
                </c:pt>
                <c:pt idx="24">
                  <c:v>6.89</c:v>
                </c:pt>
                <c:pt idx="25">
                  <c:v>5.18</c:v>
                </c:pt>
                <c:pt idx="26">
                  <c:v>3.03</c:v>
                </c:pt>
                <c:pt idx="27">
                  <c:v>3.16</c:v>
                </c:pt>
                <c:pt idx="28">
                  <c:v>5.91</c:v>
                </c:pt>
                <c:pt idx="31">
                  <c:v>1.65</c:v>
                </c:pt>
                <c:pt idx="32">
                  <c:v>2.79</c:v>
                </c:pt>
                <c:pt idx="33">
                  <c:v>4.1100000000000003</c:v>
                </c:pt>
                <c:pt idx="34">
                  <c:v>7.09</c:v>
                </c:pt>
              </c:numCache>
            </c:numRef>
          </c:xVal>
          <c:yVal>
            <c:numRef>
              <c:f>'Combined Solve'!$I$5:$I$39</c:f>
              <c:numCache>
                <c:formatCode>General</c:formatCode>
                <c:ptCount val="35"/>
                <c:pt idx="0">
                  <c:v>1.59</c:v>
                </c:pt>
                <c:pt idx="1">
                  <c:v>1.43</c:v>
                </c:pt>
                <c:pt idx="2">
                  <c:v>1.1000000000000001</c:v>
                </c:pt>
                <c:pt idx="6">
                  <c:v>0.7</c:v>
                </c:pt>
                <c:pt idx="7">
                  <c:v>0.73</c:v>
                </c:pt>
                <c:pt idx="10">
                  <c:v>2.06</c:v>
                </c:pt>
                <c:pt idx="11">
                  <c:v>1.31</c:v>
                </c:pt>
                <c:pt idx="12">
                  <c:v>0.84</c:v>
                </c:pt>
                <c:pt idx="17">
                  <c:v>0.82</c:v>
                </c:pt>
                <c:pt idx="22">
                  <c:v>0.48</c:v>
                </c:pt>
                <c:pt idx="31">
                  <c:v>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E7-224A-BDF3-90DDE8E9ADF9}"/>
            </c:ext>
          </c:extLst>
        </c:ser>
        <c:ser>
          <c:idx val="1"/>
          <c:order val="4"/>
          <c:spPr>
            <a:ln w="25400">
              <a:noFill/>
            </a:ln>
          </c:spPr>
          <c:xVal>
            <c:numRef>
              <c:f>'Combined Solve'!$P$5:$P$39</c:f>
              <c:numCache>
                <c:formatCode>General</c:formatCode>
                <c:ptCount val="35"/>
                <c:pt idx="0">
                  <c:v>1.71</c:v>
                </c:pt>
                <c:pt idx="1">
                  <c:v>1.52</c:v>
                </c:pt>
                <c:pt idx="3">
                  <c:v>2.34</c:v>
                </c:pt>
                <c:pt idx="4">
                  <c:v>1.9</c:v>
                </c:pt>
                <c:pt idx="5">
                  <c:v>1.23</c:v>
                </c:pt>
                <c:pt idx="6">
                  <c:v>0.85</c:v>
                </c:pt>
                <c:pt idx="7">
                  <c:v>0.85</c:v>
                </c:pt>
                <c:pt idx="8">
                  <c:v>3.14</c:v>
                </c:pt>
                <c:pt idx="9">
                  <c:v>3.08</c:v>
                </c:pt>
                <c:pt idx="10">
                  <c:v>2.21</c:v>
                </c:pt>
                <c:pt idx="11">
                  <c:v>0.78</c:v>
                </c:pt>
                <c:pt idx="12">
                  <c:v>0.55000000000000004</c:v>
                </c:pt>
                <c:pt idx="13">
                  <c:v>4.9800000000000004</c:v>
                </c:pt>
                <c:pt idx="14">
                  <c:v>4.22</c:v>
                </c:pt>
                <c:pt idx="15">
                  <c:v>3.97</c:v>
                </c:pt>
                <c:pt idx="16">
                  <c:v>3</c:v>
                </c:pt>
                <c:pt idx="17">
                  <c:v>0.52</c:v>
                </c:pt>
                <c:pt idx="18">
                  <c:v>6.39</c:v>
                </c:pt>
                <c:pt idx="19">
                  <c:v>5.84</c:v>
                </c:pt>
                <c:pt idx="20">
                  <c:v>4.2300000000000004</c:v>
                </c:pt>
                <c:pt idx="21">
                  <c:v>3.05</c:v>
                </c:pt>
                <c:pt idx="22">
                  <c:v>0.53</c:v>
                </c:pt>
                <c:pt idx="24">
                  <c:v>6.89</c:v>
                </c:pt>
                <c:pt idx="25">
                  <c:v>5.18</c:v>
                </c:pt>
                <c:pt idx="26">
                  <c:v>3.03</c:v>
                </c:pt>
                <c:pt idx="27">
                  <c:v>3.16</c:v>
                </c:pt>
                <c:pt idx="28">
                  <c:v>5.91</c:v>
                </c:pt>
                <c:pt idx="31">
                  <c:v>1.65</c:v>
                </c:pt>
                <c:pt idx="32">
                  <c:v>2.79</c:v>
                </c:pt>
                <c:pt idx="33">
                  <c:v>4.1100000000000003</c:v>
                </c:pt>
                <c:pt idx="34">
                  <c:v>7.09</c:v>
                </c:pt>
              </c:numCache>
            </c:numRef>
          </c:xVal>
          <c:yVal>
            <c:numRef>
              <c:f>'Combined Solve'!$I$5:$I$39</c:f>
              <c:numCache>
                <c:formatCode>General</c:formatCode>
                <c:ptCount val="35"/>
                <c:pt idx="0">
                  <c:v>1.59</c:v>
                </c:pt>
                <c:pt idx="1">
                  <c:v>1.43</c:v>
                </c:pt>
                <c:pt idx="2">
                  <c:v>1.1000000000000001</c:v>
                </c:pt>
                <c:pt idx="6">
                  <c:v>0.7</c:v>
                </c:pt>
                <c:pt idx="7">
                  <c:v>0.73</c:v>
                </c:pt>
                <c:pt idx="10">
                  <c:v>2.06</c:v>
                </c:pt>
                <c:pt idx="11">
                  <c:v>1.31</c:v>
                </c:pt>
                <c:pt idx="12">
                  <c:v>0.84</c:v>
                </c:pt>
                <c:pt idx="17">
                  <c:v>0.82</c:v>
                </c:pt>
                <c:pt idx="22">
                  <c:v>0.48</c:v>
                </c:pt>
                <c:pt idx="31">
                  <c:v>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E7-224A-BDF3-90DDE8E9ADF9}"/>
            </c:ext>
          </c:extLst>
        </c:ser>
        <c:ser>
          <c:idx val="2"/>
          <c:order val="5"/>
          <c:spPr>
            <a:ln w="25400">
              <a:noFill/>
            </a:ln>
          </c:spPr>
          <c:marker>
            <c:symbol val="circle"/>
            <c:size val="12"/>
          </c:marker>
          <c:trendline>
            <c:spPr>
              <a:ln w="38100">
                <a:solidFill>
                  <a:srgbClr val="FF0000"/>
                </a:solidFill>
                <a:prstDash val="dash"/>
              </a:ln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8763133640552994"/>
                  <c:y val="0.17024085844691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 b="1"/>
                  </a:pPr>
                  <a:endParaRPr lang="en-US"/>
                </a:p>
              </c:txPr>
            </c:trendlineLbl>
          </c:trendline>
          <c:xVal>
            <c:numRef>
              <c:f>'Combined Solve'!$P$5:$P$39</c:f>
              <c:numCache>
                <c:formatCode>General</c:formatCode>
                <c:ptCount val="35"/>
                <c:pt idx="0">
                  <c:v>1.71</c:v>
                </c:pt>
                <c:pt idx="1">
                  <c:v>1.52</c:v>
                </c:pt>
                <c:pt idx="3">
                  <c:v>2.34</c:v>
                </c:pt>
                <c:pt idx="4">
                  <c:v>1.9</c:v>
                </c:pt>
                <c:pt idx="5">
                  <c:v>1.23</c:v>
                </c:pt>
                <c:pt idx="6">
                  <c:v>0.85</c:v>
                </c:pt>
                <c:pt idx="7">
                  <c:v>0.85</c:v>
                </c:pt>
                <c:pt idx="8">
                  <c:v>3.14</c:v>
                </c:pt>
                <c:pt idx="9">
                  <c:v>3.08</c:v>
                </c:pt>
                <c:pt idx="10">
                  <c:v>2.21</c:v>
                </c:pt>
                <c:pt idx="11">
                  <c:v>0.78</c:v>
                </c:pt>
                <c:pt idx="12">
                  <c:v>0.55000000000000004</c:v>
                </c:pt>
                <c:pt idx="13">
                  <c:v>4.9800000000000004</c:v>
                </c:pt>
                <c:pt idx="14">
                  <c:v>4.22</c:v>
                </c:pt>
                <c:pt idx="15">
                  <c:v>3.97</c:v>
                </c:pt>
                <c:pt idx="16">
                  <c:v>3</c:v>
                </c:pt>
                <c:pt idx="17">
                  <c:v>0.52</c:v>
                </c:pt>
                <c:pt idx="18">
                  <c:v>6.39</c:v>
                </c:pt>
                <c:pt idx="19">
                  <c:v>5.84</c:v>
                </c:pt>
                <c:pt idx="20">
                  <c:v>4.2300000000000004</c:v>
                </c:pt>
                <c:pt idx="21">
                  <c:v>3.05</c:v>
                </c:pt>
                <c:pt idx="22">
                  <c:v>0.53</c:v>
                </c:pt>
                <c:pt idx="24">
                  <c:v>6.89</c:v>
                </c:pt>
                <c:pt idx="25">
                  <c:v>5.18</c:v>
                </c:pt>
                <c:pt idx="26">
                  <c:v>3.03</c:v>
                </c:pt>
                <c:pt idx="27">
                  <c:v>3.16</c:v>
                </c:pt>
                <c:pt idx="28">
                  <c:v>5.91</c:v>
                </c:pt>
                <c:pt idx="31">
                  <c:v>1.65</c:v>
                </c:pt>
                <c:pt idx="32">
                  <c:v>2.79</c:v>
                </c:pt>
                <c:pt idx="33">
                  <c:v>4.1100000000000003</c:v>
                </c:pt>
                <c:pt idx="34">
                  <c:v>7.09</c:v>
                </c:pt>
              </c:numCache>
            </c:numRef>
          </c:xVal>
          <c:yVal>
            <c:numRef>
              <c:f>'Combined Solve'!$I$5:$I$39</c:f>
              <c:numCache>
                <c:formatCode>General</c:formatCode>
                <c:ptCount val="35"/>
                <c:pt idx="0">
                  <c:v>1.59</c:v>
                </c:pt>
                <c:pt idx="1">
                  <c:v>1.43</c:v>
                </c:pt>
                <c:pt idx="2">
                  <c:v>1.1000000000000001</c:v>
                </c:pt>
                <c:pt idx="6">
                  <c:v>0.7</c:v>
                </c:pt>
                <c:pt idx="7">
                  <c:v>0.73</c:v>
                </c:pt>
                <c:pt idx="10">
                  <c:v>2.06</c:v>
                </c:pt>
                <c:pt idx="11">
                  <c:v>1.31</c:v>
                </c:pt>
                <c:pt idx="12">
                  <c:v>0.84</c:v>
                </c:pt>
                <c:pt idx="17">
                  <c:v>0.82</c:v>
                </c:pt>
                <c:pt idx="22">
                  <c:v>0.48</c:v>
                </c:pt>
                <c:pt idx="31">
                  <c:v>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1E7-224A-BDF3-90DDE8E9A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33103"/>
        <c:axId val="1973234735"/>
      </c:scatterChart>
      <c:valAx>
        <c:axId val="1973233103"/>
        <c:scaling>
          <c:orientation val="minMax"/>
          <c:max val="2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 H2O Total (5200 + 4500) Wt%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4735"/>
        <c:crosses val="autoZero"/>
        <c:crossBetween val="midCat"/>
      </c:valAx>
      <c:valAx>
        <c:axId val="1973234735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800" b="1" i="0" baseline="0">
                    <a:effectLst/>
                  </a:rPr>
                  <a:t> H2O Total (3500) Wt% </a:t>
                </a:r>
                <a:endParaRPr lang="en-US" sz="16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310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Shishkina</a:t>
            </a:r>
            <a:r>
              <a:rPr lang="en-US" b="1" baseline="0"/>
              <a:t> et al. 2010 Data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H2O Molecular 5200 Peak</c:v>
          </c:tx>
          <c:spPr>
            <a:ln w="25400">
              <a:noFill/>
            </a:ln>
          </c:spPr>
          <c:xVal>
            <c:numRef>
              <c:f>'Combined Solve'!$P$5:$P$39</c:f>
              <c:numCache>
                <c:formatCode>General</c:formatCode>
                <c:ptCount val="35"/>
                <c:pt idx="0">
                  <c:v>1.71</c:v>
                </c:pt>
                <c:pt idx="1">
                  <c:v>1.52</c:v>
                </c:pt>
                <c:pt idx="3">
                  <c:v>2.34</c:v>
                </c:pt>
                <c:pt idx="4">
                  <c:v>1.9</c:v>
                </c:pt>
                <c:pt idx="5">
                  <c:v>1.23</c:v>
                </c:pt>
                <c:pt idx="6">
                  <c:v>0.85</c:v>
                </c:pt>
                <c:pt idx="7">
                  <c:v>0.85</c:v>
                </c:pt>
                <c:pt idx="8">
                  <c:v>3.14</c:v>
                </c:pt>
                <c:pt idx="9">
                  <c:v>3.08</c:v>
                </c:pt>
                <c:pt idx="10">
                  <c:v>2.21</c:v>
                </c:pt>
                <c:pt idx="11">
                  <c:v>0.78</c:v>
                </c:pt>
                <c:pt idx="12">
                  <c:v>0.55000000000000004</c:v>
                </c:pt>
                <c:pt idx="13">
                  <c:v>4.9800000000000004</c:v>
                </c:pt>
                <c:pt idx="14">
                  <c:v>4.22</c:v>
                </c:pt>
                <c:pt idx="15">
                  <c:v>3.97</c:v>
                </c:pt>
                <c:pt idx="16">
                  <c:v>3</c:v>
                </c:pt>
                <c:pt idx="17">
                  <c:v>0.52</c:v>
                </c:pt>
                <c:pt idx="18">
                  <c:v>6.39</c:v>
                </c:pt>
                <c:pt idx="19">
                  <c:v>5.84</c:v>
                </c:pt>
                <c:pt idx="20">
                  <c:v>4.2300000000000004</c:v>
                </c:pt>
                <c:pt idx="21">
                  <c:v>3.05</c:v>
                </c:pt>
                <c:pt idx="22">
                  <c:v>0.53</c:v>
                </c:pt>
                <c:pt idx="24">
                  <c:v>6.89</c:v>
                </c:pt>
                <c:pt idx="25">
                  <c:v>5.18</c:v>
                </c:pt>
                <c:pt idx="26">
                  <c:v>3.03</c:v>
                </c:pt>
                <c:pt idx="27">
                  <c:v>3.16</c:v>
                </c:pt>
                <c:pt idx="28">
                  <c:v>5.91</c:v>
                </c:pt>
                <c:pt idx="31">
                  <c:v>1.65</c:v>
                </c:pt>
                <c:pt idx="32">
                  <c:v>2.79</c:v>
                </c:pt>
                <c:pt idx="33">
                  <c:v>4.1100000000000003</c:v>
                </c:pt>
                <c:pt idx="34">
                  <c:v>7.09</c:v>
                </c:pt>
              </c:numCache>
            </c:numRef>
          </c:xVal>
          <c:yVal>
            <c:numRef>
              <c:f>'Combined Solve'!$L$5:$L$39</c:f>
              <c:numCache>
                <c:formatCode>General</c:formatCode>
                <c:ptCount val="35"/>
                <c:pt idx="0">
                  <c:v>0.59</c:v>
                </c:pt>
                <c:pt idx="1">
                  <c:v>0.54</c:v>
                </c:pt>
                <c:pt idx="2">
                  <c:v>0</c:v>
                </c:pt>
                <c:pt idx="3">
                  <c:v>0.96</c:v>
                </c:pt>
                <c:pt idx="4">
                  <c:v>0.73</c:v>
                </c:pt>
                <c:pt idx="5">
                  <c:v>0.44</c:v>
                </c:pt>
                <c:pt idx="6">
                  <c:v>0.34</c:v>
                </c:pt>
                <c:pt idx="7">
                  <c:v>0.34</c:v>
                </c:pt>
                <c:pt idx="8">
                  <c:v>1.46</c:v>
                </c:pt>
                <c:pt idx="9">
                  <c:v>1.49</c:v>
                </c:pt>
                <c:pt idx="10">
                  <c:v>0.94</c:v>
                </c:pt>
                <c:pt idx="11">
                  <c:v>0</c:v>
                </c:pt>
                <c:pt idx="12">
                  <c:v>0</c:v>
                </c:pt>
                <c:pt idx="13">
                  <c:v>2.92</c:v>
                </c:pt>
                <c:pt idx="14">
                  <c:v>2.31</c:v>
                </c:pt>
                <c:pt idx="15">
                  <c:v>2.09</c:v>
                </c:pt>
                <c:pt idx="16">
                  <c:v>1.36</c:v>
                </c:pt>
                <c:pt idx="17">
                  <c:v>0</c:v>
                </c:pt>
                <c:pt idx="18">
                  <c:v>4.16</c:v>
                </c:pt>
                <c:pt idx="19">
                  <c:v>3.62</c:v>
                </c:pt>
                <c:pt idx="20">
                  <c:v>2.2799999999999998</c:v>
                </c:pt>
                <c:pt idx="21">
                  <c:v>1.44</c:v>
                </c:pt>
                <c:pt idx="22">
                  <c:v>0.27</c:v>
                </c:pt>
                <c:pt idx="23">
                  <c:v>0</c:v>
                </c:pt>
                <c:pt idx="24">
                  <c:v>4.59</c:v>
                </c:pt>
                <c:pt idx="25">
                  <c:v>3.22</c:v>
                </c:pt>
                <c:pt idx="26">
                  <c:v>1.43</c:v>
                </c:pt>
                <c:pt idx="27">
                  <c:v>1.49</c:v>
                </c:pt>
                <c:pt idx="28">
                  <c:v>3.73</c:v>
                </c:pt>
                <c:pt idx="29">
                  <c:v>0</c:v>
                </c:pt>
                <c:pt idx="30">
                  <c:v>0</c:v>
                </c:pt>
                <c:pt idx="31">
                  <c:v>0.69</c:v>
                </c:pt>
                <c:pt idx="32">
                  <c:v>1.24</c:v>
                </c:pt>
                <c:pt idx="33">
                  <c:v>2.2000000000000002</c:v>
                </c:pt>
                <c:pt idx="34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2C-6846-8B22-330FCC72A7E9}"/>
            </c:ext>
          </c:extLst>
        </c:ser>
        <c:ser>
          <c:idx val="0"/>
          <c:order val="1"/>
          <c:tx>
            <c:v>OH 4500 Peak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'Combined Solve'!$P$5:$P$39</c:f>
              <c:numCache>
                <c:formatCode>General</c:formatCode>
                <c:ptCount val="35"/>
                <c:pt idx="0">
                  <c:v>1.71</c:v>
                </c:pt>
                <c:pt idx="1">
                  <c:v>1.52</c:v>
                </c:pt>
                <c:pt idx="3">
                  <c:v>2.34</c:v>
                </c:pt>
                <c:pt idx="4">
                  <c:v>1.9</c:v>
                </c:pt>
                <c:pt idx="5">
                  <c:v>1.23</c:v>
                </c:pt>
                <c:pt idx="6">
                  <c:v>0.85</c:v>
                </c:pt>
                <c:pt idx="7">
                  <c:v>0.85</c:v>
                </c:pt>
                <c:pt idx="8">
                  <c:v>3.14</c:v>
                </c:pt>
                <c:pt idx="9">
                  <c:v>3.08</c:v>
                </c:pt>
                <c:pt idx="10">
                  <c:v>2.21</c:v>
                </c:pt>
                <c:pt idx="11">
                  <c:v>0.78</c:v>
                </c:pt>
                <c:pt idx="12">
                  <c:v>0.55000000000000004</c:v>
                </c:pt>
                <c:pt idx="13">
                  <c:v>4.9800000000000004</c:v>
                </c:pt>
                <c:pt idx="14">
                  <c:v>4.22</c:v>
                </c:pt>
                <c:pt idx="15">
                  <c:v>3.97</c:v>
                </c:pt>
                <c:pt idx="16">
                  <c:v>3</c:v>
                </c:pt>
                <c:pt idx="17">
                  <c:v>0.52</c:v>
                </c:pt>
                <c:pt idx="18">
                  <c:v>6.39</c:v>
                </c:pt>
                <c:pt idx="19">
                  <c:v>5.84</c:v>
                </c:pt>
                <c:pt idx="20">
                  <c:v>4.2300000000000004</c:v>
                </c:pt>
                <c:pt idx="21">
                  <c:v>3.05</c:v>
                </c:pt>
                <c:pt idx="22">
                  <c:v>0.53</c:v>
                </c:pt>
                <c:pt idx="24">
                  <c:v>6.89</c:v>
                </c:pt>
                <c:pt idx="25">
                  <c:v>5.18</c:v>
                </c:pt>
                <c:pt idx="26">
                  <c:v>3.03</c:v>
                </c:pt>
                <c:pt idx="27">
                  <c:v>3.16</c:v>
                </c:pt>
                <c:pt idx="28">
                  <c:v>5.91</c:v>
                </c:pt>
                <c:pt idx="31">
                  <c:v>1.65</c:v>
                </c:pt>
                <c:pt idx="32">
                  <c:v>2.79</c:v>
                </c:pt>
                <c:pt idx="33">
                  <c:v>4.1100000000000003</c:v>
                </c:pt>
                <c:pt idx="34">
                  <c:v>7.09</c:v>
                </c:pt>
              </c:numCache>
            </c:numRef>
          </c:xVal>
          <c:yVal>
            <c:numRef>
              <c:f>'Combined Solve'!$N$5:$N$39</c:f>
              <c:numCache>
                <c:formatCode>General</c:formatCode>
                <c:ptCount val="35"/>
                <c:pt idx="0">
                  <c:v>1.1200000000000001</c:v>
                </c:pt>
                <c:pt idx="1">
                  <c:v>0.98</c:v>
                </c:pt>
                <c:pt idx="2">
                  <c:v>0</c:v>
                </c:pt>
                <c:pt idx="3">
                  <c:v>1.38</c:v>
                </c:pt>
                <c:pt idx="4">
                  <c:v>1.17</c:v>
                </c:pt>
                <c:pt idx="5">
                  <c:v>0.79</c:v>
                </c:pt>
                <c:pt idx="6">
                  <c:v>0.51</c:v>
                </c:pt>
                <c:pt idx="7">
                  <c:v>0.51</c:v>
                </c:pt>
                <c:pt idx="8">
                  <c:v>1.68</c:v>
                </c:pt>
                <c:pt idx="9">
                  <c:v>1.6</c:v>
                </c:pt>
                <c:pt idx="10">
                  <c:v>1.27</c:v>
                </c:pt>
                <c:pt idx="11">
                  <c:v>0.78</c:v>
                </c:pt>
                <c:pt idx="12">
                  <c:v>0.55000000000000004</c:v>
                </c:pt>
                <c:pt idx="13">
                  <c:v>2.06</c:v>
                </c:pt>
                <c:pt idx="14">
                  <c:v>1.91</c:v>
                </c:pt>
                <c:pt idx="15">
                  <c:v>1.88</c:v>
                </c:pt>
                <c:pt idx="16">
                  <c:v>1.65</c:v>
                </c:pt>
                <c:pt idx="17">
                  <c:v>0.52</c:v>
                </c:pt>
                <c:pt idx="18">
                  <c:v>2.23</c:v>
                </c:pt>
                <c:pt idx="19">
                  <c:v>2.2200000000000002</c:v>
                </c:pt>
                <c:pt idx="20">
                  <c:v>1.94</c:v>
                </c:pt>
                <c:pt idx="21">
                  <c:v>1.61</c:v>
                </c:pt>
                <c:pt idx="22">
                  <c:v>0.26</c:v>
                </c:pt>
                <c:pt idx="23">
                  <c:v>0</c:v>
                </c:pt>
                <c:pt idx="24">
                  <c:v>2.2999999999999998</c:v>
                </c:pt>
                <c:pt idx="25">
                  <c:v>1.97</c:v>
                </c:pt>
                <c:pt idx="26">
                  <c:v>1.6</c:v>
                </c:pt>
                <c:pt idx="27">
                  <c:v>1.68</c:v>
                </c:pt>
                <c:pt idx="28">
                  <c:v>2.19</c:v>
                </c:pt>
                <c:pt idx="29">
                  <c:v>0</c:v>
                </c:pt>
                <c:pt idx="30">
                  <c:v>0</c:v>
                </c:pt>
                <c:pt idx="31">
                  <c:v>0.96</c:v>
                </c:pt>
                <c:pt idx="32">
                  <c:v>1.55</c:v>
                </c:pt>
                <c:pt idx="33">
                  <c:v>1.91</c:v>
                </c:pt>
                <c:pt idx="34">
                  <c:v>2.2799999999999998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2C-6846-8B22-330FCC72A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33103"/>
        <c:axId val="1973234735"/>
      </c:scatterChart>
      <c:valAx>
        <c:axId val="1973233103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Total H2O Wt%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4735"/>
        <c:crosses val="autoZero"/>
        <c:crossBetween val="midCat"/>
      </c:valAx>
      <c:valAx>
        <c:axId val="197323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Concentration H2O</a:t>
                </a:r>
                <a:r>
                  <a:rPr lang="en-US" sz="1600" baseline="0"/>
                  <a:t> or OH wt%</a:t>
                </a:r>
                <a:endParaRPr lang="en-US" sz="16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3103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Allison et al 2019 + Shishkina</a:t>
            </a:r>
            <a:r>
              <a:rPr lang="en-US" b="1" baseline="0"/>
              <a:t> et al. 2010 Data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744744364794349"/>
          <c:y val="9.1687927011867412E-2"/>
          <c:w val="0.78196783299362649"/>
          <c:h val="0.75220647218249892"/>
        </c:manualLayout>
      </c:layout>
      <c:scatterChart>
        <c:scatterStyle val="lineMarker"/>
        <c:varyColors val="0"/>
        <c:ser>
          <c:idx val="2"/>
          <c:order val="0"/>
          <c:tx>
            <c:v>Combined Data</c:v>
          </c:tx>
          <c:spPr>
            <a:ln w="19050">
              <a:noFill/>
            </a:ln>
          </c:spPr>
          <c:marker>
            <c:symbol val="circle"/>
            <c:size val="12"/>
            <c:spPr>
              <a:solidFill>
                <a:srgbClr val="FFFF00"/>
              </a:solidFill>
            </c:spPr>
          </c:marker>
          <c:trendline>
            <c:spPr>
              <a:ln w="38100">
                <a:solidFill>
                  <a:srgbClr val="FF0000"/>
                </a:solidFill>
                <a:prstDash val="dash"/>
              </a:ln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8763133640552994"/>
                  <c:y val="0.17024085844691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 b="1"/>
                  </a:pPr>
                  <a:endParaRPr lang="en-US"/>
                </a:p>
              </c:txPr>
            </c:trendlineLbl>
          </c:trendline>
          <c:xVal>
            <c:numRef>
              <c:f>'Combined Solve'!$X$5:$X$90</c:f>
              <c:numCache>
                <c:formatCode>General</c:formatCode>
                <c:ptCount val="86"/>
                <c:pt idx="0">
                  <c:v>1.71</c:v>
                </c:pt>
                <c:pt idx="1">
                  <c:v>1.52</c:v>
                </c:pt>
                <c:pt idx="6">
                  <c:v>0.85</c:v>
                </c:pt>
                <c:pt idx="7">
                  <c:v>0.85</c:v>
                </c:pt>
                <c:pt idx="10">
                  <c:v>2.21</c:v>
                </c:pt>
                <c:pt idx="11">
                  <c:v>0.78</c:v>
                </c:pt>
                <c:pt idx="12">
                  <c:v>0.55000000000000004</c:v>
                </c:pt>
                <c:pt idx="17">
                  <c:v>0.52</c:v>
                </c:pt>
                <c:pt idx="22">
                  <c:v>0.53</c:v>
                </c:pt>
                <c:pt idx="31">
                  <c:v>1.65</c:v>
                </c:pt>
                <c:pt idx="42">
                  <c:v>5.27</c:v>
                </c:pt>
                <c:pt idx="43">
                  <c:v>5.26</c:v>
                </c:pt>
                <c:pt idx="44">
                  <c:v>2.39</c:v>
                </c:pt>
                <c:pt idx="45">
                  <c:v>2.39</c:v>
                </c:pt>
                <c:pt idx="46">
                  <c:v>4.7699999999999996</c:v>
                </c:pt>
                <c:pt idx="47">
                  <c:v>4.76</c:v>
                </c:pt>
                <c:pt idx="48">
                  <c:v>3.9</c:v>
                </c:pt>
                <c:pt idx="49">
                  <c:v>3.9</c:v>
                </c:pt>
                <c:pt idx="50">
                  <c:v>2.61</c:v>
                </c:pt>
                <c:pt idx="51">
                  <c:v>2.64</c:v>
                </c:pt>
                <c:pt idx="52">
                  <c:v>3.32</c:v>
                </c:pt>
                <c:pt idx="53">
                  <c:v>3.39</c:v>
                </c:pt>
                <c:pt idx="54">
                  <c:v>4.12</c:v>
                </c:pt>
                <c:pt idx="55">
                  <c:v>4.1100000000000003</c:v>
                </c:pt>
                <c:pt idx="56">
                  <c:v>2.52</c:v>
                </c:pt>
                <c:pt idx="57">
                  <c:v>2.5499999999999998</c:v>
                </c:pt>
                <c:pt idx="58">
                  <c:v>2.3199999999999998</c:v>
                </c:pt>
                <c:pt idx="59">
                  <c:v>2.35</c:v>
                </c:pt>
                <c:pt idx="60">
                  <c:v>2.12</c:v>
                </c:pt>
                <c:pt idx="61">
                  <c:v>2.13</c:v>
                </c:pt>
                <c:pt idx="62">
                  <c:v>3.43</c:v>
                </c:pt>
                <c:pt idx="63">
                  <c:v>3.4</c:v>
                </c:pt>
                <c:pt idx="64">
                  <c:v>2.74</c:v>
                </c:pt>
                <c:pt idx="65">
                  <c:v>2.75</c:v>
                </c:pt>
                <c:pt idx="66">
                  <c:v>3.95</c:v>
                </c:pt>
                <c:pt idx="67">
                  <c:v>3.95</c:v>
                </c:pt>
                <c:pt idx="68">
                  <c:v>4.62</c:v>
                </c:pt>
                <c:pt idx="69">
                  <c:v>4.58</c:v>
                </c:pt>
                <c:pt idx="70">
                  <c:v>2.68</c:v>
                </c:pt>
                <c:pt idx="71">
                  <c:v>2.67</c:v>
                </c:pt>
                <c:pt idx="72">
                  <c:v>3.35</c:v>
                </c:pt>
                <c:pt idx="73">
                  <c:v>3.31</c:v>
                </c:pt>
                <c:pt idx="74">
                  <c:v>4.24</c:v>
                </c:pt>
                <c:pt idx="75">
                  <c:v>4.25</c:v>
                </c:pt>
                <c:pt idx="76">
                  <c:v>5.19</c:v>
                </c:pt>
                <c:pt idx="77">
                  <c:v>5.2</c:v>
                </c:pt>
                <c:pt idx="78">
                  <c:v>4.53</c:v>
                </c:pt>
                <c:pt idx="79">
                  <c:v>4.55</c:v>
                </c:pt>
                <c:pt idx="80">
                  <c:v>2.33</c:v>
                </c:pt>
                <c:pt idx="81">
                  <c:v>2.37</c:v>
                </c:pt>
                <c:pt idx="82">
                  <c:v>2.64</c:v>
                </c:pt>
                <c:pt idx="83">
                  <c:v>2.65</c:v>
                </c:pt>
                <c:pt idx="84">
                  <c:v>4.16</c:v>
                </c:pt>
                <c:pt idx="85">
                  <c:v>4.0999999999999996</c:v>
                </c:pt>
              </c:numCache>
            </c:numRef>
          </c:xVal>
          <c:yVal>
            <c:numRef>
              <c:f>'Combined Solve'!$AC$5:$AC$90</c:f>
              <c:numCache>
                <c:formatCode>0.00</c:formatCode>
                <c:ptCount val="86"/>
                <c:pt idx="0">
                  <c:v>2.0115363905790717</c:v>
                </c:pt>
                <c:pt idx="1">
                  <c:v>1.8199285150205515</c:v>
                </c:pt>
                <c:pt idx="6">
                  <c:v>0.91400787100451386</c:v>
                </c:pt>
                <c:pt idx="7">
                  <c:v>0.95317963690470742</c:v>
                </c:pt>
                <c:pt idx="10">
                  <c:v>2.7283553952266235</c:v>
                </c:pt>
                <c:pt idx="11">
                  <c:v>1.3234082738439505</c:v>
                </c:pt>
                <c:pt idx="12">
                  <c:v>0.84859767177780032</c:v>
                </c:pt>
                <c:pt idx="17">
                  <c:v>0.82839296530690032</c:v>
                </c:pt>
                <c:pt idx="22">
                  <c:v>0.66555225132708906</c:v>
                </c:pt>
                <c:pt idx="31">
                  <c:v>1.8732028022989409</c:v>
                </c:pt>
                <c:pt idx="45" formatCode="General">
                  <c:v>2.1155582883602539</c:v>
                </c:pt>
                <c:pt idx="47" formatCode="General">
                  <c:v>4.3174978136608475</c:v>
                </c:pt>
                <c:pt idx="49" formatCode="General">
                  <c:v>3.6039762217818767</c:v>
                </c:pt>
                <c:pt idx="51" formatCode="General">
                  <c:v>2.5888322662439252</c:v>
                </c:pt>
                <c:pt idx="53" formatCode="General">
                  <c:v>3.9553818760406476</c:v>
                </c:pt>
                <c:pt idx="55" formatCode="General">
                  <c:v>3.9846915513776429</c:v>
                </c:pt>
                <c:pt idx="57" formatCode="General">
                  <c:v>2.6208642168407836</c:v>
                </c:pt>
                <c:pt idx="59" formatCode="General">
                  <c:v>2.4582963336570627</c:v>
                </c:pt>
                <c:pt idx="61" formatCode="General">
                  <c:v>2.0427197555894825</c:v>
                </c:pt>
                <c:pt idx="63" formatCode="General">
                  <c:v>2.9733099057657482</c:v>
                </c:pt>
                <c:pt idx="65" formatCode="General">
                  <c:v>2.3110005064984058</c:v>
                </c:pt>
                <c:pt idx="67" formatCode="General">
                  <c:v>4.3703052594061749</c:v>
                </c:pt>
                <c:pt idx="69" formatCode="General">
                  <c:v>4.6720256010345365</c:v>
                </c:pt>
                <c:pt idx="71" formatCode="General">
                  <c:v>2.4850249814195307</c:v>
                </c:pt>
                <c:pt idx="75" formatCode="General">
                  <c:v>3.4395647281423765</c:v>
                </c:pt>
                <c:pt idx="77" formatCode="General">
                  <c:v>5.1423820733228673</c:v>
                </c:pt>
                <c:pt idx="78" formatCode="General">
                  <c:v>4.4527921809633177</c:v>
                </c:pt>
                <c:pt idx="79" formatCode="General">
                  <c:v>4.9104717133793887</c:v>
                </c:pt>
                <c:pt idx="81" formatCode="General">
                  <c:v>2.4992296642092997</c:v>
                </c:pt>
                <c:pt idx="83" formatCode="General">
                  <c:v>3.0404451450212306</c:v>
                </c:pt>
                <c:pt idx="85" formatCode="General">
                  <c:v>3.4803693078878144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86-604A-8E27-1E73CAEE9E57}"/>
            </c:ext>
          </c:extLst>
        </c:ser>
        <c:ser>
          <c:idx val="0"/>
          <c:order val="1"/>
          <c:tx>
            <c:v>Shishkina</c:v>
          </c:tx>
          <c:spPr>
            <a:ln w="19050">
              <a:noFill/>
            </a:ln>
          </c:spPr>
          <c:marker>
            <c:symbol val="diamond"/>
            <c:size val="9"/>
          </c:marker>
          <c:xVal>
            <c:numRef>
              <c:f>'Combined Solve'!$X$5:$X$36</c:f>
              <c:numCache>
                <c:formatCode>General</c:formatCode>
                <c:ptCount val="32"/>
                <c:pt idx="0">
                  <c:v>1.71</c:v>
                </c:pt>
                <c:pt idx="1">
                  <c:v>1.52</c:v>
                </c:pt>
                <c:pt idx="6">
                  <c:v>0.85</c:v>
                </c:pt>
                <c:pt idx="7">
                  <c:v>0.85</c:v>
                </c:pt>
                <c:pt idx="10">
                  <c:v>2.21</c:v>
                </c:pt>
                <c:pt idx="11">
                  <c:v>0.78</c:v>
                </c:pt>
                <c:pt idx="12">
                  <c:v>0.55000000000000004</c:v>
                </c:pt>
                <c:pt idx="17">
                  <c:v>0.52</c:v>
                </c:pt>
                <c:pt idx="22">
                  <c:v>0.53</c:v>
                </c:pt>
                <c:pt idx="31">
                  <c:v>1.65</c:v>
                </c:pt>
              </c:numCache>
            </c:numRef>
          </c:xVal>
          <c:yVal>
            <c:numRef>
              <c:f>'Combined Solve'!$AC$5:$AC$36</c:f>
              <c:numCache>
                <c:formatCode>0.00</c:formatCode>
                <c:ptCount val="32"/>
                <c:pt idx="0">
                  <c:v>2.0115363905790717</c:v>
                </c:pt>
                <c:pt idx="1">
                  <c:v>1.8199285150205515</c:v>
                </c:pt>
                <c:pt idx="6">
                  <c:v>0.91400787100451386</c:v>
                </c:pt>
                <c:pt idx="7">
                  <c:v>0.95317963690470742</c:v>
                </c:pt>
                <c:pt idx="10">
                  <c:v>2.7283553952266235</c:v>
                </c:pt>
                <c:pt idx="11">
                  <c:v>1.3234082738439505</c:v>
                </c:pt>
                <c:pt idx="12">
                  <c:v>0.84859767177780032</c:v>
                </c:pt>
                <c:pt idx="17">
                  <c:v>0.82839296530690032</c:v>
                </c:pt>
                <c:pt idx="22">
                  <c:v>0.66555225132708906</c:v>
                </c:pt>
                <c:pt idx="31">
                  <c:v>1.8732028022989409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86-604A-8E27-1E73CAEE9E57}"/>
            </c:ext>
          </c:extLst>
        </c:ser>
        <c:ser>
          <c:idx val="1"/>
          <c:order val="2"/>
          <c:tx>
            <c:v>Allison</c:v>
          </c:tx>
          <c:spPr>
            <a:ln w="19050">
              <a:noFill/>
            </a:ln>
          </c:spPr>
          <c:marker>
            <c:symbol val="square"/>
            <c:size val="8"/>
          </c:marker>
          <c:xVal>
            <c:numRef>
              <c:f>'Combined Solve'!$X$50:$X$90</c:f>
              <c:numCache>
                <c:formatCode>General</c:formatCode>
                <c:ptCount val="41"/>
                <c:pt idx="0">
                  <c:v>2.39</c:v>
                </c:pt>
                <c:pt idx="1">
                  <c:v>4.7699999999999996</c:v>
                </c:pt>
                <c:pt idx="2">
                  <c:v>4.76</c:v>
                </c:pt>
                <c:pt idx="3">
                  <c:v>3.9</c:v>
                </c:pt>
                <c:pt idx="4">
                  <c:v>3.9</c:v>
                </c:pt>
                <c:pt idx="5">
                  <c:v>2.61</c:v>
                </c:pt>
                <c:pt idx="6">
                  <c:v>2.64</c:v>
                </c:pt>
                <c:pt idx="7">
                  <c:v>3.32</c:v>
                </c:pt>
                <c:pt idx="8">
                  <c:v>3.39</c:v>
                </c:pt>
                <c:pt idx="9">
                  <c:v>4.12</c:v>
                </c:pt>
                <c:pt idx="10">
                  <c:v>4.1100000000000003</c:v>
                </c:pt>
                <c:pt idx="11">
                  <c:v>2.52</c:v>
                </c:pt>
                <c:pt idx="12">
                  <c:v>2.5499999999999998</c:v>
                </c:pt>
                <c:pt idx="13">
                  <c:v>2.3199999999999998</c:v>
                </c:pt>
                <c:pt idx="14">
                  <c:v>2.35</c:v>
                </c:pt>
                <c:pt idx="15">
                  <c:v>2.12</c:v>
                </c:pt>
                <c:pt idx="16">
                  <c:v>2.13</c:v>
                </c:pt>
                <c:pt idx="17">
                  <c:v>3.43</c:v>
                </c:pt>
                <c:pt idx="18">
                  <c:v>3.4</c:v>
                </c:pt>
                <c:pt idx="19">
                  <c:v>2.74</c:v>
                </c:pt>
                <c:pt idx="20">
                  <c:v>2.75</c:v>
                </c:pt>
                <c:pt idx="21">
                  <c:v>3.95</c:v>
                </c:pt>
                <c:pt idx="22">
                  <c:v>3.95</c:v>
                </c:pt>
                <c:pt idx="23">
                  <c:v>4.62</c:v>
                </c:pt>
                <c:pt idx="24">
                  <c:v>4.58</c:v>
                </c:pt>
                <c:pt idx="25">
                  <c:v>2.68</c:v>
                </c:pt>
                <c:pt idx="26">
                  <c:v>2.67</c:v>
                </c:pt>
                <c:pt idx="27">
                  <c:v>3.35</c:v>
                </c:pt>
                <c:pt idx="28">
                  <c:v>3.31</c:v>
                </c:pt>
                <c:pt idx="29">
                  <c:v>4.24</c:v>
                </c:pt>
                <c:pt idx="30">
                  <c:v>4.25</c:v>
                </c:pt>
                <c:pt idx="31">
                  <c:v>5.19</c:v>
                </c:pt>
                <c:pt idx="32">
                  <c:v>5.2</c:v>
                </c:pt>
                <c:pt idx="33">
                  <c:v>4.53</c:v>
                </c:pt>
                <c:pt idx="34">
                  <c:v>4.55</c:v>
                </c:pt>
                <c:pt idx="35">
                  <c:v>2.33</c:v>
                </c:pt>
                <c:pt idx="36">
                  <c:v>2.37</c:v>
                </c:pt>
                <c:pt idx="37">
                  <c:v>2.64</c:v>
                </c:pt>
                <c:pt idx="38">
                  <c:v>2.65</c:v>
                </c:pt>
                <c:pt idx="39">
                  <c:v>4.16</c:v>
                </c:pt>
                <c:pt idx="40">
                  <c:v>4.0999999999999996</c:v>
                </c:pt>
              </c:numCache>
            </c:numRef>
          </c:xVal>
          <c:yVal>
            <c:numRef>
              <c:f>'Combined Solve'!$AC$50:$AC$90</c:f>
              <c:numCache>
                <c:formatCode>General</c:formatCode>
                <c:ptCount val="41"/>
                <c:pt idx="0">
                  <c:v>2.1155582883602539</c:v>
                </c:pt>
                <c:pt idx="2">
                  <c:v>4.3174978136608475</c:v>
                </c:pt>
                <c:pt idx="4">
                  <c:v>3.6039762217818767</c:v>
                </c:pt>
                <c:pt idx="6">
                  <c:v>2.5888322662439252</c:v>
                </c:pt>
                <c:pt idx="8">
                  <c:v>3.9553818760406476</c:v>
                </c:pt>
                <c:pt idx="10">
                  <c:v>3.9846915513776429</c:v>
                </c:pt>
                <c:pt idx="12">
                  <c:v>2.6208642168407836</c:v>
                </c:pt>
                <c:pt idx="14">
                  <c:v>2.4582963336570627</c:v>
                </c:pt>
                <c:pt idx="16">
                  <c:v>2.0427197555894825</c:v>
                </c:pt>
                <c:pt idx="18">
                  <c:v>2.9733099057657482</c:v>
                </c:pt>
                <c:pt idx="20">
                  <c:v>2.3110005064984058</c:v>
                </c:pt>
                <c:pt idx="22">
                  <c:v>4.3703052594061749</c:v>
                </c:pt>
                <c:pt idx="24">
                  <c:v>4.6720256010345365</c:v>
                </c:pt>
                <c:pt idx="26">
                  <c:v>2.4850249814195307</c:v>
                </c:pt>
                <c:pt idx="30">
                  <c:v>3.4395647281423765</c:v>
                </c:pt>
                <c:pt idx="32">
                  <c:v>5.1423820733228673</c:v>
                </c:pt>
                <c:pt idx="33">
                  <c:v>4.4527921809633177</c:v>
                </c:pt>
                <c:pt idx="34">
                  <c:v>4.9104717133793887</c:v>
                </c:pt>
                <c:pt idx="36">
                  <c:v>2.4992296642092997</c:v>
                </c:pt>
                <c:pt idx="38">
                  <c:v>3.0404451450212306</c:v>
                </c:pt>
                <c:pt idx="40">
                  <c:v>3.4803693078878144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86-604A-8E27-1E73CAEE9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33103"/>
        <c:axId val="1973234735"/>
      </c:scatterChart>
      <c:valAx>
        <c:axId val="1973233103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 H2O Total (5200 + 4500) Wt%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4735"/>
        <c:crosses val="autoZero"/>
        <c:crossBetween val="midCat"/>
      </c:valAx>
      <c:valAx>
        <c:axId val="19732347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800" b="1" i="0" baseline="0">
                    <a:effectLst/>
                  </a:rPr>
                  <a:t> Species Dependent  Total H2O (3500) Wt% </a:t>
                </a:r>
                <a:endParaRPr lang="en-US" sz="1600">
                  <a:effectLst/>
                </a:endParaRP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3103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588116960848201"/>
          <c:y val="0.58512268484778684"/>
          <c:w val="0.24662752639790994"/>
          <c:h val="0.18041283479341566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Allison et al 2019 + Shishkina</a:t>
            </a:r>
            <a:r>
              <a:rPr lang="en-US" b="1" baseline="0"/>
              <a:t> et al. 2010 Data</a:t>
            </a:r>
            <a:endParaRPr lang="en-US" b="1"/>
          </a:p>
        </c:rich>
      </c:tx>
      <c:layout>
        <c:manualLayout>
          <c:xMode val="edge"/>
          <c:yMode val="edge"/>
          <c:x val="0.31911864189494982"/>
          <c:y val="3.6542841651933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922925557129233"/>
          <c:y val="0.16419023373077268"/>
          <c:w val="0.78682849311776726"/>
          <c:h val="0.75017269476382897"/>
        </c:manualLayout>
      </c:layout>
      <c:scatterChart>
        <c:scatterStyle val="lineMarker"/>
        <c:varyColors val="0"/>
        <c:ser>
          <c:idx val="2"/>
          <c:order val="0"/>
          <c:spPr>
            <a:ln w="19050">
              <a:noFill/>
            </a:ln>
          </c:spPr>
          <c:marker>
            <c:symbol val="circle"/>
            <c:size val="12"/>
            <c:spPr>
              <a:solidFill>
                <a:srgbClr val="FFFF00"/>
              </a:solidFill>
            </c:spPr>
          </c:marker>
          <c:trendline>
            <c:spPr>
              <a:ln w="38100">
                <a:solidFill>
                  <a:srgbClr val="FF0000"/>
                </a:solidFill>
                <a:prstDash val="dash"/>
              </a:ln>
            </c:spPr>
            <c:trendlineType val="linear"/>
            <c:dispRSqr val="1"/>
            <c:dispEq val="1"/>
            <c:trendlineLbl>
              <c:layout>
                <c:manualLayout>
                  <c:x val="-0.47246771846742558"/>
                  <c:y val="3.875766346386348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 b="1"/>
                  </a:pPr>
                  <a:endParaRPr lang="en-US"/>
                </a:p>
              </c:txPr>
            </c:trendlineLbl>
          </c:trendline>
          <c:xVal>
            <c:numRef>
              <c:f>'Combined Solve'!$AX$5:$AX$90</c:f>
              <c:numCache>
                <c:formatCode>0.00</c:formatCode>
                <c:ptCount val="86"/>
                <c:pt idx="0">
                  <c:v>0.5821736842101255</c:v>
                </c:pt>
                <c:pt idx="1">
                  <c:v>0.58747607104105293</c:v>
                </c:pt>
                <c:pt idx="3">
                  <c:v>0.58069223965647299</c:v>
                </c:pt>
                <c:pt idx="4">
                  <c:v>0.58706444941830915</c:v>
                </c:pt>
                <c:pt idx="5">
                  <c:v>0.59739235804467006</c:v>
                </c:pt>
                <c:pt idx="6">
                  <c:v>0.61181989935885839</c:v>
                </c:pt>
                <c:pt idx="7">
                  <c:v>0.60745550284143845</c:v>
                </c:pt>
                <c:pt idx="8">
                  <c:v>0.58925500342853177</c:v>
                </c:pt>
                <c:pt idx="9">
                  <c:v>0.57950917417992209</c:v>
                </c:pt>
                <c:pt idx="10">
                  <c:v>0.57901710938344619</c:v>
                </c:pt>
                <c:pt idx="11">
                  <c:v>0.61155213232858741</c:v>
                </c:pt>
                <c:pt idx="12">
                  <c:v>0.63050429681784348</c:v>
                </c:pt>
                <c:pt idx="13">
                  <c:v>0.59264284015686242</c:v>
                </c:pt>
                <c:pt idx="14">
                  <c:v>0.5735420836805124</c:v>
                </c:pt>
                <c:pt idx="15">
                  <c:v>0.5807325762697455</c:v>
                </c:pt>
                <c:pt idx="16">
                  <c:v>0.57753092531386496</c:v>
                </c:pt>
                <c:pt idx="17">
                  <c:v>0.60939519979788148</c:v>
                </c:pt>
                <c:pt idx="18">
                  <c:v>1</c:v>
                </c:pt>
                <c:pt idx="19">
                  <c:v>0.57458949122132941</c:v>
                </c:pt>
                <c:pt idx="20">
                  <c:v>0.5935746426874916</c:v>
                </c:pt>
                <c:pt idx="21">
                  <c:v>0.57179191146424335</c:v>
                </c:pt>
                <c:pt idx="22">
                  <c:v>0.66228049544179002</c:v>
                </c:pt>
                <c:pt idx="24">
                  <c:v>0.5798803867032386</c:v>
                </c:pt>
                <c:pt idx="25">
                  <c:v>0.5790842938578421</c:v>
                </c:pt>
                <c:pt idx="26">
                  <c:v>0.57955389424420589</c:v>
                </c:pt>
                <c:pt idx="27">
                  <c:v>0.58076523012847381</c:v>
                </c:pt>
                <c:pt idx="28">
                  <c:v>0.58265101094143212</c:v>
                </c:pt>
                <c:pt idx="31">
                  <c:v>0.59206865210833026</c:v>
                </c:pt>
                <c:pt idx="32">
                  <c:v>0.58162248542178752</c:v>
                </c:pt>
                <c:pt idx="33">
                  <c:v>0.58353265455966119</c:v>
                </c:pt>
                <c:pt idx="34">
                  <c:v>0.58208077008983361</c:v>
                </c:pt>
                <c:pt idx="42">
                  <c:v>0.57000171696757795</c:v>
                </c:pt>
                <c:pt idx="43">
                  <c:v>0.57000171696757784</c:v>
                </c:pt>
                <c:pt idx="44">
                  <c:v>0.57000171696757795</c:v>
                </c:pt>
                <c:pt idx="45">
                  <c:v>0.57000171696757795</c:v>
                </c:pt>
                <c:pt idx="46">
                  <c:v>0.57000171696757795</c:v>
                </c:pt>
                <c:pt idx="47">
                  <c:v>0.57000171696757795</c:v>
                </c:pt>
                <c:pt idx="48">
                  <c:v>0.57000171696757784</c:v>
                </c:pt>
                <c:pt idx="49">
                  <c:v>0.57000171696757784</c:v>
                </c:pt>
                <c:pt idx="50">
                  <c:v>0.58347117330041698</c:v>
                </c:pt>
                <c:pt idx="51">
                  <c:v>0.58347117330041698</c:v>
                </c:pt>
                <c:pt idx="52">
                  <c:v>0.58347117330041687</c:v>
                </c:pt>
                <c:pt idx="53">
                  <c:v>0.58347117330041687</c:v>
                </c:pt>
                <c:pt idx="54">
                  <c:v>0.58347117330041698</c:v>
                </c:pt>
                <c:pt idx="55">
                  <c:v>0.58347117330041687</c:v>
                </c:pt>
                <c:pt idx="56">
                  <c:v>0.36286109512695325</c:v>
                </c:pt>
                <c:pt idx="57">
                  <c:v>0.36286109512695325</c:v>
                </c:pt>
                <c:pt idx="58">
                  <c:v>0.36286109512695325</c:v>
                </c:pt>
                <c:pt idx="59">
                  <c:v>0.36286109512695319</c:v>
                </c:pt>
                <c:pt idx="60">
                  <c:v>0.36286109512695325</c:v>
                </c:pt>
                <c:pt idx="61">
                  <c:v>0.36286109512695325</c:v>
                </c:pt>
                <c:pt idx="62">
                  <c:v>0.59366482467972059</c:v>
                </c:pt>
                <c:pt idx="63">
                  <c:v>0.59366482467972048</c:v>
                </c:pt>
                <c:pt idx="64">
                  <c:v>0.59366482467972048</c:v>
                </c:pt>
                <c:pt idx="65">
                  <c:v>0.59366482467972048</c:v>
                </c:pt>
                <c:pt idx="66">
                  <c:v>0.59366482467972059</c:v>
                </c:pt>
                <c:pt idx="67">
                  <c:v>0.59366482467972059</c:v>
                </c:pt>
                <c:pt idx="68">
                  <c:v>0.59366482467972059</c:v>
                </c:pt>
                <c:pt idx="69">
                  <c:v>0.59366482467972048</c:v>
                </c:pt>
                <c:pt idx="70">
                  <c:v>0.53434143600975281</c:v>
                </c:pt>
                <c:pt idx="71">
                  <c:v>0.5343414360097527</c:v>
                </c:pt>
                <c:pt idx="72">
                  <c:v>0.53434143600975281</c:v>
                </c:pt>
                <c:pt idx="73">
                  <c:v>0.53434143600975281</c:v>
                </c:pt>
                <c:pt idx="74">
                  <c:v>0.53434143600975281</c:v>
                </c:pt>
                <c:pt idx="75">
                  <c:v>0.53434143600975281</c:v>
                </c:pt>
                <c:pt idx="76">
                  <c:v>0.53434143600975281</c:v>
                </c:pt>
                <c:pt idx="77">
                  <c:v>0.53434143600975281</c:v>
                </c:pt>
                <c:pt idx="78">
                  <c:v>0.53434143600975292</c:v>
                </c:pt>
                <c:pt idx="79">
                  <c:v>0.53434143600975281</c:v>
                </c:pt>
                <c:pt idx="80">
                  <c:v>0.63074716510273066</c:v>
                </c:pt>
                <c:pt idx="81">
                  <c:v>0.63074716510273077</c:v>
                </c:pt>
                <c:pt idx="82">
                  <c:v>0.63074716510273077</c:v>
                </c:pt>
                <c:pt idx="83">
                  <c:v>0.63074716510273066</c:v>
                </c:pt>
                <c:pt idx="84">
                  <c:v>0.63074716510273077</c:v>
                </c:pt>
                <c:pt idx="85">
                  <c:v>0.63074716510273077</c:v>
                </c:pt>
              </c:numCache>
            </c:numRef>
          </c:xVal>
          <c:yVal>
            <c:numRef>
              <c:f>'Combined Solve'!$AW$5:$AW$90</c:f>
              <c:numCache>
                <c:formatCode>0.00</c:formatCode>
                <c:ptCount val="86"/>
                <c:pt idx="0">
                  <c:v>0.30153639057907178</c:v>
                </c:pt>
                <c:pt idx="1">
                  <c:v>0.29992851502055151</c:v>
                </c:pt>
                <c:pt idx="6">
                  <c:v>6.4007871004513883E-2</c:v>
                </c:pt>
                <c:pt idx="7">
                  <c:v>0.10317963690470744</c:v>
                </c:pt>
                <c:pt idx="10">
                  <c:v>0.51835539522662355</c:v>
                </c:pt>
                <c:pt idx="11">
                  <c:v>0.54340827384395052</c:v>
                </c:pt>
                <c:pt idx="12">
                  <c:v>0.29859767177780028</c:v>
                </c:pt>
                <c:pt idx="17">
                  <c:v>0.3083929653069003</c:v>
                </c:pt>
                <c:pt idx="22">
                  <c:v>0.13555225132708904</c:v>
                </c:pt>
                <c:pt idx="31">
                  <c:v>0.22320280229894096</c:v>
                </c:pt>
                <c:pt idx="45">
                  <c:v>-0.27444171163974618</c:v>
                </c:pt>
                <c:pt idx="47">
                  <c:v>-0.44250218633915228</c:v>
                </c:pt>
                <c:pt idx="49">
                  <c:v>-0.2960237782181232</c:v>
                </c:pt>
                <c:pt idx="51">
                  <c:v>-5.1167733756074973E-2</c:v>
                </c:pt>
                <c:pt idx="53">
                  <c:v>0.56538187604064749</c:v>
                </c:pt>
                <c:pt idx="55">
                  <c:v>-0.12530844862235746</c:v>
                </c:pt>
                <c:pt idx="57">
                  <c:v>7.0864216840783811E-2</c:v>
                </c:pt>
                <c:pt idx="59">
                  <c:v>0.10829633365706259</c:v>
                </c:pt>
                <c:pt idx="61">
                  <c:v>-8.7280244410517405E-2</c:v>
                </c:pt>
                <c:pt idx="63">
                  <c:v>-0.42669009423425175</c:v>
                </c:pt>
                <c:pt idx="65">
                  <c:v>-0.43899949350159417</c:v>
                </c:pt>
                <c:pt idx="67">
                  <c:v>0.42030525940617469</c:v>
                </c:pt>
                <c:pt idx="69">
                  <c:v>9.2025601034536386E-2</c:v>
                </c:pt>
                <c:pt idx="71">
                  <c:v>-0.18497501858046927</c:v>
                </c:pt>
                <c:pt idx="75">
                  <c:v>-0.81043527185762354</c:v>
                </c:pt>
                <c:pt idx="77">
                  <c:v>-5.7617926677132836E-2</c:v>
                </c:pt>
                <c:pt idx="78">
                  <c:v>-7.7207819036682501E-2</c:v>
                </c:pt>
                <c:pt idx="79">
                  <c:v>0.36047171337938888</c:v>
                </c:pt>
                <c:pt idx="81">
                  <c:v>0.1292296642092996</c:v>
                </c:pt>
                <c:pt idx="83">
                  <c:v>0.39044514502123073</c:v>
                </c:pt>
                <c:pt idx="85">
                  <c:v>-0.61963069211218524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D7-0C44-A125-3B07C41F9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33103"/>
        <c:axId val="1973234735"/>
      </c:scatterChart>
      <c:valAx>
        <c:axId val="1973233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MgO</a:t>
                </a:r>
                <a:r>
                  <a:rPr lang="en-US" sz="1600" baseline="0"/>
                  <a:t> </a:t>
                </a:r>
                <a:r>
                  <a:rPr lang="en-US" sz="1600"/>
                  <a:t>Wt% 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4735"/>
        <c:crosses val="autoZero"/>
        <c:crossBetween val="midCat"/>
      </c:valAx>
      <c:valAx>
        <c:axId val="197323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800" b="1" i="0" baseline="0">
                    <a:effectLst/>
                  </a:rPr>
                  <a:t> Species Dependent  Total H2O (3500) Wt% </a:t>
                </a:r>
                <a:endParaRPr lang="en-US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3.0720932321800537E-2"/>
              <c:y val="7.5836801449746805E-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310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Allison et al 2019 + Shishkina</a:t>
            </a:r>
            <a:r>
              <a:rPr lang="en-US" b="1" baseline="0"/>
              <a:t> et al. 2010 Data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744744364794349"/>
          <c:y val="0.13311119967464791"/>
          <c:w val="0.78196783299362649"/>
          <c:h val="0.75220647218249892"/>
        </c:manualLayout>
      </c:layout>
      <c:scatterChart>
        <c:scatterStyle val="lineMarker"/>
        <c:varyColors val="0"/>
        <c:ser>
          <c:idx val="2"/>
          <c:order val="0"/>
          <c:tx>
            <c:v>Combined Data</c:v>
          </c:tx>
          <c:spPr>
            <a:ln w="19050">
              <a:noFill/>
            </a:ln>
          </c:spPr>
          <c:marker>
            <c:symbol val="circle"/>
            <c:size val="12"/>
            <c:spPr>
              <a:solidFill>
                <a:srgbClr val="FFFF00"/>
              </a:solidFill>
            </c:spPr>
          </c:marker>
          <c:dPt>
            <c:idx val="75"/>
            <c:marker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7F9-9B4B-AFB1-6BA6B89B2BC0}"/>
              </c:ext>
            </c:extLst>
          </c:dPt>
          <c:trendline>
            <c:spPr>
              <a:ln w="38100">
                <a:solidFill>
                  <a:srgbClr val="FF0000"/>
                </a:solidFill>
                <a:prstDash val="dash"/>
              </a:ln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8763133640552994"/>
                  <c:y val="0.17024085844691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 b="1"/>
                  </a:pPr>
                  <a:endParaRPr lang="en-US"/>
                </a:p>
              </c:txPr>
            </c:trendlineLbl>
          </c:trendline>
          <c:xVal>
            <c:numRef>
              <c:f>'Combined Solve'!$X$5:$X$90</c:f>
              <c:numCache>
                <c:formatCode>General</c:formatCode>
                <c:ptCount val="86"/>
                <c:pt idx="0">
                  <c:v>1.71</c:v>
                </c:pt>
                <c:pt idx="1">
                  <c:v>1.52</c:v>
                </c:pt>
                <c:pt idx="6">
                  <c:v>0.85</c:v>
                </c:pt>
                <c:pt idx="7">
                  <c:v>0.85</c:v>
                </c:pt>
                <c:pt idx="10">
                  <c:v>2.21</c:v>
                </c:pt>
                <c:pt idx="11">
                  <c:v>0.78</c:v>
                </c:pt>
                <c:pt idx="12">
                  <c:v>0.55000000000000004</c:v>
                </c:pt>
                <c:pt idx="17">
                  <c:v>0.52</c:v>
                </c:pt>
                <c:pt idx="22">
                  <c:v>0.53</c:v>
                </c:pt>
                <c:pt idx="31">
                  <c:v>1.65</c:v>
                </c:pt>
                <c:pt idx="42">
                  <c:v>5.27</c:v>
                </c:pt>
                <c:pt idx="43">
                  <c:v>5.26</c:v>
                </c:pt>
                <c:pt idx="44">
                  <c:v>2.39</c:v>
                </c:pt>
                <c:pt idx="45">
                  <c:v>2.39</c:v>
                </c:pt>
                <c:pt idx="46">
                  <c:v>4.7699999999999996</c:v>
                </c:pt>
                <c:pt idx="47">
                  <c:v>4.76</c:v>
                </c:pt>
                <c:pt idx="48">
                  <c:v>3.9</c:v>
                </c:pt>
                <c:pt idx="49">
                  <c:v>3.9</c:v>
                </c:pt>
                <c:pt idx="50">
                  <c:v>2.61</c:v>
                </c:pt>
                <c:pt idx="51">
                  <c:v>2.64</c:v>
                </c:pt>
                <c:pt idx="52">
                  <c:v>3.32</c:v>
                </c:pt>
                <c:pt idx="53">
                  <c:v>3.39</c:v>
                </c:pt>
                <c:pt idx="54">
                  <c:v>4.12</c:v>
                </c:pt>
                <c:pt idx="55">
                  <c:v>4.1100000000000003</c:v>
                </c:pt>
                <c:pt idx="56">
                  <c:v>2.52</c:v>
                </c:pt>
                <c:pt idx="57">
                  <c:v>2.5499999999999998</c:v>
                </c:pt>
                <c:pt idx="58">
                  <c:v>2.3199999999999998</c:v>
                </c:pt>
                <c:pt idx="59">
                  <c:v>2.35</c:v>
                </c:pt>
                <c:pt idx="60">
                  <c:v>2.12</c:v>
                </c:pt>
                <c:pt idx="61">
                  <c:v>2.13</c:v>
                </c:pt>
                <c:pt idx="62">
                  <c:v>3.43</c:v>
                </c:pt>
                <c:pt idx="63">
                  <c:v>3.4</c:v>
                </c:pt>
                <c:pt idx="64">
                  <c:v>2.74</c:v>
                </c:pt>
                <c:pt idx="65">
                  <c:v>2.75</c:v>
                </c:pt>
                <c:pt idx="66">
                  <c:v>3.95</c:v>
                </c:pt>
                <c:pt idx="67">
                  <c:v>3.95</c:v>
                </c:pt>
                <c:pt idx="68">
                  <c:v>4.62</c:v>
                </c:pt>
                <c:pt idx="69">
                  <c:v>4.58</c:v>
                </c:pt>
                <c:pt idx="70">
                  <c:v>2.68</c:v>
                </c:pt>
                <c:pt idx="71">
                  <c:v>2.67</c:v>
                </c:pt>
                <c:pt idx="72">
                  <c:v>3.35</c:v>
                </c:pt>
                <c:pt idx="73">
                  <c:v>3.31</c:v>
                </c:pt>
                <c:pt idx="74">
                  <c:v>4.24</c:v>
                </c:pt>
                <c:pt idx="75">
                  <c:v>4.25</c:v>
                </c:pt>
                <c:pt idx="76">
                  <c:v>5.19</c:v>
                </c:pt>
                <c:pt idx="77">
                  <c:v>5.2</c:v>
                </c:pt>
                <c:pt idx="78">
                  <c:v>4.53</c:v>
                </c:pt>
                <c:pt idx="79">
                  <c:v>4.55</c:v>
                </c:pt>
                <c:pt idx="80">
                  <c:v>2.33</c:v>
                </c:pt>
                <c:pt idx="81">
                  <c:v>2.37</c:v>
                </c:pt>
                <c:pt idx="82">
                  <c:v>2.64</c:v>
                </c:pt>
                <c:pt idx="83">
                  <c:v>2.65</c:v>
                </c:pt>
                <c:pt idx="84">
                  <c:v>4.16</c:v>
                </c:pt>
                <c:pt idx="85">
                  <c:v>4.0999999999999996</c:v>
                </c:pt>
              </c:numCache>
            </c:numRef>
          </c:xVal>
          <c:yVal>
            <c:numRef>
              <c:f>'Combined Solve'!$BU$5:$BU$90</c:f>
              <c:numCache>
                <c:formatCode>General</c:formatCode>
                <c:ptCount val="86"/>
                <c:pt idx="0">
                  <c:v>2.0839081303999629</c:v>
                </c:pt>
                <c:pt idx="1">
                  <c:v>1.8742066833156898</c:v>
                </c:pt>
                <c:pt idx="2">
                  <c:v>1.441697448704377</c:v>
                </c:pt>
                <c:pt idx="6">
                  <c:v>0.9174438309936942</c:v>
                </c:pt>
                <c:pt idx="7">
                  <c:v>0.95676285232199554</c:v>
                </c:pt>
                <c:pt idx="10">
                  <c:v>2.6999061312100148</c:v>
                </c:pt>
                <c:pt idx="11">
                  <c:v>1.7169305980024852</c:v>
                </c:pt>
                <c:pt idx="12">
                  <c:v>1.1009325971924331</c:v>
                </c:pt>
                <c:pt idx="17">
                  <c:v>1.074719916306899</c:v>
                </c:pt>
                <c:pt idx="22">
                  <c:v>0.629104341252819</c:v>
                </c:pt>
                <c:pt idx="31">
                  <c:v>1.8611003428729229</c:v>
                </c:pt>
                <c:pt idx="45">
                  <c:v>2.2099602870112816</c:v>
                </c:pt>
                <c:pt idx="47">
                  <c:v>4.0920693226527574</c:v>
                </c:pt>
                <c:pt idx="49">
                  <c:v>3.5577932093093705</c:v>
                </c:pt>
                <c:pt idx="51">
                  <c:v>2.7320937614150456</c:v>
                </c:pt>
                <c:pt idx="53">
                  <c:v>3.5577932093093705</c:v>
                </c:pt>
                <c:pt idx="55">
                  <c:v>3.9342150164376659</c:v>
                </c:pt>
                <c:pt idx="57">
                  <c:v>3.1328008464225854</c:v>
                </c:pt>
                <c:pt idx="59">
                  <c:v>2.6228100109584442</c:v>
                </c:pt>
                <c:pt idx="61">
                  <c:v>2.2585308427697712</c:v>
                </c:pt>
                <c:pt idx="63">
                  <c:v>3.0235170959659841</c:v>
                </c:pt>
                <c:pt idx="65">
                  <c:v>2.4649557047433519</c:v>
                </c:pt>
                <c:pt idx="67">
                  <c:v>4.1770677952301138</c:v>
                </c:pt>
                <c:pt idx="69">
                  <c:v>4.4199205740225631</c:v>
                </c:pt>
                <c:pt idx="71">
                  <c:v>2.6470952888376886</c:v>
                </c:pt>
                <c:pt idx="75">
                  <c:v>3.4727947367320131</c:v>
                </c:pt>
                <c:pt idx="77">
                  <c:v>4.8691982147885922</c:v>
                </c:pt>
                <c:pt idx="78">
                  <c:v>4.1284972394716242</c:v>
                </c:pt>
                <c:pt idx="79">
                  <c:v>4.6263454359961438</c:v>
                </c:pt>
                <c:pt idx="81">
                  <c:v>2.6713805667169339</c:v>
                </c:pt>
                <c:pt idx="83">
                  <c:v>3.1449434853622078</c:v>
                </c:pt>
                <c:pt idx="85">
                  <c:v>3.5335079314301261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A3-F045-9205-0150973A4697}"/>
            </c:ext>
          </c:extLst>
        </c:ser>
        <c:ser>
          <c:idx val="0"/>
          <c:order val="1"/>
          <c:tx>
            <c:v>Shishkina</c:v>
          </c:tx>
          <c:spPr>
            <a:ln w="19050">
              <a:noFill/>
            </a:ln>
          </c:spPr>
          <c:marker>
            <c:symbol val="diamond"/>
            <c:size val="9"/>
          </c:marker>
          <c:xVal>
            <c:numRef>
              <c:f>'Combined Solve'!$X$5:$X$36</c:f>
              <c:numCache>
                <c:formatCode>General</c:formatCode>
                <c:ptCount val="32"/>
                <c:pt idx="0">
                  <c:v>1.71</c:v>
                </c:pt>
                <c:pt idx="1">
                  <c:v>1.52</c:v>
                </c:pt>
                <c:pt idx="6">
                  <c:v>0.85</c:v>
                </c:pt>
                <c:pt idx="7">
                  <c:v>0.85</c:v>
                </c:pt>
                <c:pt idx="10">
                  <c:v>2.21</c:v>
                </c:pt>
                <c:pt idx="11">
                  <c:v>0.78</c:v>
                </c:pt>
                <c:pt idx="12">
                  <c:v>0.55000000000000004</c:v>
                </c:pt>
                <c:pt idx="17">
                  <c:v>0.52</c:v>
                </c:pt>
                <c:pt idx="22">
                  <c:v>0.53</c:v>
                </c:pt>
                <c:pt idx="31">
                  <c:v>1.65</c:v>
                </c:pt>
              </c:numCache>
            </c:numRef>
          </c:xVal>
          <c:yVal>
            <c:numRef>
              <c:f>'Combined Solve'!$BU$5:$BU$36</c:f>
              <c:numCache>
                <c:formatCode>General</c:formatCode>
                <c:ptCount val="32"/>
                <c:pt idx="0">
                  <c:v>2.0839081303999629</c:v>
                </c:pt>
                <c:pt idx="1">
                  <c:v>1.8742066833156898</c:v>
                </c:pt>
                <c:pt idx="2">
                  <c:v>1.441697448704377</c:v>
                </c:pt>
                <c:pt idx="6">
                  <c:v>0.9174438309936942</c:v>
                </c:pt>
                <c:pt idx="7">
                  <c:v>0.95676285232199554</c:v>
                </c:pt>
                <c:pt idx="10">
                  <c:v>2.6999061312100148</c:v>
                </c:pt>
                <c:pt idx="11">
                  <c:v>1.7169305980024852</c:v>
                </c:pt>
                <c:pt idx="12">
                  <c:v>1.1009325971924331</c:v>
                </c:pt>
                <c:pt idx="17">
                  <c:v>1.074719916306899</c:v>
                </c:pt>
                <c:pt idx="22">
                  <c:v>0.629104341252819</c:v>
                </c:pt>
                <c:pt idx="31">
                  <c:v>1.8611003428729229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A3-F045-9205-0150973A4697}"/>
            </c:ext>
          </c:extLst>
        </c:ser>
        <c:ser>
          <c:idx val="1"/>
          <c:order val="2"/>
          <c:tx>
            <c:v>Allison</c:v>
          </c:tx>
          <c:spPr>
            <a:ln w="19050">
              <a:noFill/>
            </a:ln>
          </c:spPr>
          <c:marker>
            <c:symbol val="square"/>
            <c:size val="8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'Combined Solve'!$X$50:$X$90</c:f>
              <c:numCache>
                <c:formatCode>General</c:formatCode>
                <c:ptCount val="41"/>
                <c:pt idx="0">
                  <c:v>2.39</c:v>
                </c:pt>
                <c:pt idx="1">
                  <c:v>4.7699999999999996</c:v>
                </c:pt>
                <c:pt idx="2">
                  <c:v>4.76</c:v>
                </c:pt>
                <c:pt idx="3">
                  <c:v>3.9</c:v>
                </c:pt>
                <c:pt idx="4">
                  <c:v>3.9</c:v>
                </c:pt>
                <c:pt idx="5">
                  <c:v>2.61</c:v>
                </c:pt>
                <c:pt idx="6">
                  <c:v>2.64</c:v>
                </c:pt>
                <c:pt idx="7">
                  <c:v>3.32</c:v>
                </c:pt>
                <c:pt idx="8">
                  <c:v>3.39</c:v>
                </c:pt>
                <c:pt idx="9">
                  <c:v>4.12</c:v>
                </c:pt>
                <c:pt idx="10">
                  <c:v>4.1100000000000003</c:v>
                </c:pt>
                <c:pt idx="11">
                  <c:v>2.52</c:v>
                </c:pt>
                <c:pt idx="12">
                  <c:v>2.5499999999999998</c:v>
                </c:pt>
                <c:pt idx="13">
                  <c:v>2.3199999999999998</c:v>
                </c:pt>
                <c:pt idx="14">
                  <c:v>2.35</c:v>
                </c:pt>
                <c:pt idx="15">
                  <c:v>2.12</c:v>
                </c:pt>
                <c:pt idx="16">
                  <c:v>2.13</c:v>
                </c:pt>
                <c:pt idx="17">
                  <c:v>3.43</c:v>
                </c:pt>
                <c:pt idx="18">
                  <c:v>3.4</c:v>
                </c:pt>
                <c:pt idx="19">
                  <c:v>2.74</c:v>
                </c:pt>
                <c:pt idx="20">
                  <c:v>2.75</c:v>
                </c:pt>
                <c:pt idx="21">
                  <c:v>3.95</c:v>
                </c:pt>
                <c:pt idx="22">
                  <c:v>3.95</c:v>
                </c:pt>
                <c:pt idx="23">
                  <c:v>4.62</c:v>
                </c:pt>
                <c:pt idx="24">
                  <c:v>4.58</c:v>
                </c:pt>
                <c:pt idx="25">
                  <c:v>2.68</c:v>
                </c:pt>
                <c:pt idx="26">
                  <c:v>2.67</c:v>
                </c:pt>
                <c:pt idx="27">
                  <c:v>3.35</c:v>
                </c:pt>
                <c:pt idx="28">
                  <c:v>3.31</c:v>
                </c:pt>
                <c:pt idx="29">
                  <c:v>4.24</c:v>
                </c:pt>
                <c:pt idx="30">
                  <c:v>4.25</c:v>
                </c:pt>
                <c:pt idx="31">
                  <c:v>5.19</c:v>
                </c:pt>
                <c:pt idx="32">
                  <c:v>5.2</c:v>
                </c:pt>
                <c:pt idx="33">
                  <c:v>4.53</c:v>
                </c:pt>
                <c:pt idx="34">
                  <c:v>4.55</c:v>
                </c:pt>
                <c:pt idx="35">
                  <c:v>2.33</c:v>
                </c:pt>
                <c:pt idx="36">
                  <c:v>2.37</c:v>
                </c:pt>
                <c:pt idx="37">
                  <c:v>2.64</c:v>
                </c:pt>
                <c:pt idx="38">
                  <c:v>2.65</c:v>
                </c:pt>
                <c:pt idx="39">
                  <c:v>4.16</c:v>
                </c:pt>
                <c:pt idx="40">
                  <c:v>4.0999999999999996</c:v>
                </c:pt>
              </c:numCache>
            </c:numRef>
          </c:xVal>
          <c:yVal>
            <c:numRef>
              <c:f>'Combined Solve'!$BU$50:$BU$90</c:f>
              <c:numCache>
                <c:formatCode>General</c:formatCode>
                <c:ptCount val="41"/>
                <c:pt idx="0">
                  <c:v>2.2099602870112816</c:v>
                </c:pt>
                <c:pt idx="2">
                  <c:v>4.0920693226527574</c:v>
                </c:pt>
                <c:pt idx="4">
                  <c:v>3.5577932093093705</c:v>
                </c:pt>
                <c:pt idx="6">
                  <c:v>2.7320937614150456</c:v>
                </c:pt>
                <c:pt idx="8">
                  <c:v>3.5577932093093705</c:v>
                </c:pt>
                <c:pt idx="10">
                  <c:v>3.9342150164376659</c:v>
                </c:pt>
                <c:pt idx="12">
                  <c:v>3.1328008464225854</c:v>
                </c:pt>
                <c:pt idx="14">
                  <c:v>2.6228100109584442</c:v>
                </c:pt>
                <c:pt idx="16">
                  <c:v>2.2585308427697712</c:v>
                </c:pt>
                <c:pt idx="18">
                  <c:v>3.0235170959659841</c:v>
                </c:pt>
                <c:pt idx="20">
                  <c:v>2.4649557047433519</c:v>
                </c:pt>
                <c:pt idx="22">
                  <c:v>4.1770677952301138</c:v>
                </c:pt>
                <c:pt idx="24">
                  <c:v>4.4199205740225631</c:v>
                </c:pt>
                <c:pt idx="26">
                  <c:v>2.6470952888376886</c:v>
                </c:pt>
                <c:pt idx="30">
                  <c:v>3.4727947367320131</c:v>
                </c:pt>
                <c:pt idx="32">
                  <c:v>4.8691982147885922</c:v>
                </c:pt>
                <c:pt idx="33">
                  <c:v>4.1284972394716242</c:v>
                </c:pt>
                <c:pt idx="34">
                  <c:v>4.6263454359961438</c:v>
                </c:pt>
                <c:pt idx="36">
                  <c:v>2.6713805667169339</c:v>
                </c:pt>
                <c:pt idx="38">
                  <c:v>3.1449434853622078</c:v>
                </c:pt>
                <c:pt idx="40">
                  <c:v>3.5335079314301261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5A3-F045-9205-0150973A4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33103"/>
        <c:axId val="1973234735"/>
      </c:scatterChart>
      <c:valAx>
        <c:axId val="1973233103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 H2O Total (5200 + 4500) Wt%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4735"/>
        <c:crosses val="autoZero"/>
        <c:crossBetween val="midCat"/>
      </c:valAx>
      <c:valAx>
        <c:axId val="19732347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800" b="1" i="0" baseline="0">
                    <a:effectLst/>
                  </a:rPr>
                  <a:t>Fixed value Total H2O (3500) Wt% </a:t>
                </a:r>
                <a:endParaRPr lang="en-US" sz="16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3103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588116960848201"/>
          <c:y val="0.58512268484778684"/>
          <c:w val="0.2053883159130459"/>
          <c:h val="0.14893616412805896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Allison et al 2019 + Shishkina</a:t>
            </a:r>
            <a:r>
              <a:rPr lang="en-US" b="1" baseline="0"/>
              <a:t> et al. 2010 Data</a:t>
            </a:r>
            <a:endParaRPr lang="en-US" b="1"/>
          </a:p>
        </c:rich>
      </c:tx>
      <c:layout>
        <c:manualLayout>
          <c:xMode val="edge"/>
          <c:yMode val="edge"/>
          <c:x val="0.31911864189494982"/>
          <c:y val="3.6542841651933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289785773854074"/>
          <c:y val="8.3868931657112789E-2"/>
          <c:w val="0.78682849311776726"/>
          <c:h val="0.75017269476382897"/>
        </c:manualLayout>
      </c:layout>
      <c:scatterChart>
        <c:scatterStyle val="lineMarker"/>
        <c:varyColors val="0"/>
        <c:ser>
          <c:idx val="2"/>
          <c:order val="0"/>
          <c:spPr>
            <a:ln w="19050">
              <a:noFill/>
            </a:ln>
          </c:spPr>
          <c:marker>
            <c:symbol val="circle"/>
            <c:size val="12"/>
            <c:spPr>
              <a:solidFill>
                <a:srgbClr val="FFFF00"/>
              </a:solidFill>
            </c:spPr>
          </c:marker>
          <c:trendline>
            <c:spPr>
              <a:ln w="38100">
                <a:solidFill>
                  <a:srgbClr val="FF0000"/>
                </a:solidFill>
                <a:prstDash val="dash"/>
              </a:ln>
            </c:spPr>
            <c:trendlineType val="linear"/>
            <c:dispRSqr val="1"/>
            <c:dispEq val="1"/>
            <c:trendlineLbl>
              <c:layout>
                <c:manualLayout>
                  <c:x val="-0.26596940876382907"/>
                  <c:y val="-0.3794461857678012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 b="1"/>
                  </a:pPr>
                  <a:endParaRPr lang="en-US"/>
                </a:p>
              </c:txPr>
            </c:trendlineLbl>
          </c:trendline>
          <c:xVal>
            <c:numRef>
              <c:f>'Combined Solve'!$AZ$4:$AZ$89</c:f>
              <c:numCache>
                <c:formatCode>0.00</c:formatCode>
                <c:ptCount val="86"/>
                <c:pt idx="1">
                  <c:v>49.515242884103699</c:v>
                </c:pt>
                <c:pt idx="2">
                  <c:v>49.714999479384048</c:v>
                </c:pt>
                <c:pt idx="4">
                  <c:v>49.000506094834783</c:v>
                </c:pt>
                <c:pt idx="5">
                  <c:v>49.592120366333596</c:v>
                </c:pt>
                <c:pt idx="6">
                  <c:v>49.959889936825832</c:v>
                </c:pt>
                <c:pt idx="7">
                  <c:v>50.578767423489815</c:v>
                </c:pt>
                <c:pt idx="8">
                  <c:v>50.518784732945598</c:v>
                </c:pt>
                <c:pt idx="9">
                  <c:v>48.758913605134985</c:v>
                </c:pt>
                <c:pt idx="10">
                  <c:v>48.912827683528533</c:v>
                </c:pt>
                <c:pt idx="11">
                  <c:v>49.076063783024054</c:v>
                </c:pt>
                <c:pt idx="12">
                  <c:v>50.763288955484903</c:v>
                </c:pt>
                <c:pt idx="13">
                  <c:v>50.675322117900002</c:v>
                </c:pt>
                <c:pt idx="14">
                  <c:v>48.123252625084177</c:v>
                </c:pt>
                <c:pt idx="15">
                  <c:v>48.312050727877406</c:v>
                </c:pt>
                <c:pt idx="16">
                  <c:v>48.441519508980974</c:v>
                </c:pt>
                <c:pt idx="17">
                  <c:v>48.826475817430655</c:v>
                </c:pt>
                <c:pt idx="18">
                  <c:v>50.605810768956452</c:v>
                </c:pt>
                <c:pt idx="19">
                  <c:v>47.207709987814916</c:v>
                </c:pt>
                <c:pt idx="20">
                  <c:v>47.464675705543939</c:v>
                </c:pt>
                <c:pt idx="21">
                  <c:v>48.275805870397271</c:v>
                </c:pt>
                <c:pt idx="22">
                  <c:v>48.698739713212419</c:v>
                </c:pt>
                <c:pt idx="23">
                  <c:v>51.286940570438844</c:v>
                </c:pt>
                <c:pt idx="25">
                  <c:v>46.999965711801032</c:v>
                </c:pt>
                <c:pt idx="26">
                  <c:v>47.700625896053772</c:v>
                </c:pt>
                <c:pt idx="27">
                  <c:v>48.744072051693962</c:v>
                </c:pt>
                <c:pt idx="28">
                  <c:v>48.837753401627239</c:v>
                </c:pt>
                <c:pt idx="29">
                  <c:v>47.445540272298807</c:v>
                </c:pt>
                <c:pt idx="32">
                  <c:v>49.857506554508419</c:v>
                </c:pt>
                <c:pt idx="33">
                  <c:v>48.962153724695533</c:v>
                </c:pt>
                <c:pt idx="34">
                  <c:v>48.206267254331379</c:v>
                </c:pt>
                <c:pt idx="35">
                  <c:v>46.980859584659918</c:v>
                </c:pt>
                <c:pt idx="43">
                  <c:v>49.989021000000001</c:v>
                </c:pt>
                <c:pt idx="44">
                  <c:v>49.994298000000001</c:v>
                </c:pt>
                <c:pt idx="45">
                  <c:v>51.508797000000001</c:v>
                </c:pt>
                <c:pt idx="46">
                  <c:v>51.508797000000001</c:v>
                </c:pt>
                <c:pt idx="47">
                  <c:v>50.252871000000006</c:v>
                </c:pt>
                <c:pt idx="48">
                  <c:v>50.258147999999998</c:v>
                </c:pt>
                <c:pt idx="49">
                  <c:v>50.711970000000001</c:v>
                </c:pt>
                <c:pt idx="50">
                  <c:v>50.711970000000001</c:v>
                </c:pt>
                <c:pt idx="51">
                  <c:v>46.367379</c:v>
                </c:pt>
                <c:pt idx="52">
                  <c:v>46.353095999999994</c:v>
                </c:pt>
                <c:pt idx="53">
                  <c:v>46.029347999999999</c:v>
                </c:pt>
                <c:pt idx="54">
                  <c:v>45.996020999999999</c:v>
                </c:pt>
                <c:pt idx="55">
                  <c:v>45.648467999999994</c:v>
                </c:pt>
                <c:pt idx="56">
                  <c:v>45.653229000000003</c:v>
                </c:pt>
                <c:pt idx="57">
                  <c:v>46.293252000000003</c:v>
                </c:pt>
                <c:pt idx="58">
                  <c:v>46.279005000000005</c:v>
                </c:pt>
                <c:pt idx="59">
                  <c:v>46.388232000000009</c:v>
                </c:pt>
                <c:pt idx="60">
                  <c:v>46.373985000000005</c:v>
                </c:pt>
                <c:pt idx="61">
                  <c:v>46.483212000000002</c:v>
                </c:pt>
                <c:pt idx="62">
                  <c:v>46.478463000000005</c:v>
                </c:pt>
                <c:pt idx="63">
                  <c:v>47.019932999999995</c:v>
                </c:pt>
                <c:pt idx="64">
                  <c:v>47.03454</c:v>
                </c:pt>
                <c:pt idx="65">
                  <c:v>47.355893999999999</c:v>
                </c:pt>
                <c:pt idx="66">
                  <c:v>47.351025</c:v>
                </c:pt>
                <c:pt idx="67">
                  <c:v>46.766745</c:v>
                </c:pt>
                <c:pt idx="68">
                  <c:v>46.766745</c:v>
                </c:pt>
                <c:pt idx="69">
                  <c:v>46.440521999999994</c:v>
                </c:pt>
                <c:pt idx="70">
                  <c:v>46.459997999999999</c:v>
                </c:pt>
                <c:pt idx="71">
                  <c:v>46.188072000000005</c:v>
                </c:pt>
                <c:pt idx="72">
                  <c:v>46.192817999999995</c:v>
                </c:pt>
                <c:pt idx="73">
                  <c:v>45.870089999999998</c:v>
                </c:pt>
                <c:pt idx="74">
                  <c:v>45.889074000000001</c:v>
                </c:pt>
                <c:pt idx="75">
                  <c:v>45.447696000000008</c:v>
                </c:pt>
                <c:pt idx="76">
                  <c:v>45.442950000000003</c:v>
                </c:pt>
                <c:pt idx="77">
                  <c:v>44.996825999999999</c:v>
                </c:pt>
                <c:pt idx="78">
                  <c:v>44.992079999999994</c:v>
                </c:pt>
                <c:pt idx="79">
                  <c:v>45.310061999999995</c:v>
                </c:pt>
                <c:pt idx="80">
                  <c:v>45.30057</c:v>
                </c:pt>
                <c:pt idx="81">
                  <c:v>47.711795000000002</c:v>
                </c:pt>
                <c:pt idx="82">
                  <c:v>47.692254999999996</c:v>
                </c:pt>
                <c:pt idx="83">
                  <c:v>47.560360000000003</c:v>
                </c:pt>
                <c:pt idx="84">
                  <c:v>47.555474999999994</c:v>
                </c:pt>
                <c:pt idx="85">
                  <c:v>46.817840000000004</c:v>
                </c:pt>
              </c:numCache>
            </c:numRef>
          </c:xVal>
          <c:yVal>
            <c:numRef>
              <c:f>'Combined Solve'!$BW$5:$BW$90</c:f>
              <c:numCache>
                <c:formatCode>General</c:formatCode>
                <c:ptCount val="86"/>
                <c:pt idx="0">
                  <c:v>0.37390813039996296</c:v>
                </c:pt>
                <c:pt idx="1">
                  <c:v>0.35420668331568983</c:v>
                </c:pt>
                <c:pt idx="2">
                  <c:v>1.441697448704377</c:v>
                </c:pt>
                <c:pt idx="6">
                  <c:v>6.744383099369422E-2</c:v>
                </c:pt>
                <c:pt idx="7">
                  <c:v>0.10676285232199556</c:v>
                </c:pt>
                <c:pt idx="10">
                  <c:v>0.48990613121001481</c:v>
                </c:pt>
                <c:pt idx="11">
                  <c:v>0.93693059800248513</c:v>
                </c:pt>
                <c:pt idx="12">
                  <c:v>0.55093259719243304</c:v>
                </c:pt>
                <c:pt idx="17">
                  <c:v>0.55471991630689899</c:v>
                </c:pt>
                <c:pt idx="22">
                  <c:v>9.9104341252818973E-2</c:v>
                </c:pt>
                <c:pt idx="31">
                  <c:v>0.21110034287292301</c:v>
                </c:pt>
                <c:pt idx="45">
                  <c:v>-0.18003971298871857</c:v>
                </c:pt>
                <c:pt idx="47">
                  <c:v>-0.66793067734724243</c:v>
                </c:pt>
                <c:pt idx="49">
                  <c:v>-0.34220679069062943</c:v>
                </c:pt>
                <c:pt idx="51">
                  <c:v>9.2093761415045439E-2</c:v>
                </c:pt>
                <c:pt idx="53">
                  <c:v>0.16779320930937036</c:v>
                </c:pt>
                <c:pt idx="55">
                  <c:v>-0.17578498356233441</c:v>
                </c:pt>
                <c:pt idx="57">
                  <c:v>0.58280084642258556</c:v>
                </c:pt>
                <c:pt idx="59">
                  <c:v>0.27281001095844415</c:v>
                </c:pt>
                <c:pt idx="61">
                  <c:v>0.12853084276977134</c:v>
                </c:pt>
                <c:pt idx="63">
                  <c:v>-0.37648290403401585</c:v>
                </c:pt>
                <c:pt idx="65">
                  <c:v>-0.28504429525664809</c:v>
                </c:pt>
                <c:pt idx="67">
                  <c:v>0.22706779523011367</c:v>
                </c:pt>
                <c:pt idx="69">
                  <c:v>-0.16007942597743696</c:v>
                </c:pt>
                <c:pt idx="71">
                  <c:v>-2.2904711162311298E-2</c:v>
                </c:pt>
                <c:pt idx="75">
                  <c:v>-0.77720526326798689</c:v>
                </c:pt>
                <c:pt idx="77">
                  <c:v>-0.33080178521140802</c:v>
                </c:pt>
                <c:pt idx="79">
                  <c:v>7.6345435996143962E-2</c:v>
                </c:pt>
                <c:pt idx="81">
                  <c:v>0.30138056671693381</c:v>
                </c:pt>
                <c:pt idx="83">
                  <c:v>0.49494348536220789</c:v>
                </c:pt>
                <c:pt idx="85">
                  <c:v>-0.56649206856987355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19-DB46-86BE-EF934BBBE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33103"/>
        <c:axId val="1973234735"/>
      </c:scatterChart>
      <c:valAx>
        <c:axId val="1973233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MgO</a:t>
                </a:r>
                <a:r>
                  <a:rPr lang="en-US" sz="1600" baseline="0"/>
                  <a:t> </a:t>
                </a:r>
                <a:r>
                  <a:rPr lang="en-US" sz="1600"/>
                  <a:t>Wt%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4735"/>
        <c:crosses val="autoZero"/>
        <c:crossBetween val="midCat"/>
      </c:valAx>
      <c:valAx>
        <c:axId val="197323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800" b="1" i="0" baseline="0">
                    <a:effectLst/>
                  </a:rPr>
                  <a:t> Species Dependent  Total H2O (3500) Wt% </a:t>
                </a:r>
                <a:endParaRPr lang="en-US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3.0720932321800537E-2"/>
              <c:y val="7.5836801449746805E-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310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Fixed Calibration Of  3500</a:t>
            </a:r>
            <a:r>
              <a:rPr lang="en-US" b="1" baseline="0"/>
              <a:t> peak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39686153289195"/>
          <c:y val="8.1342633300072104E-2"/>
          <c:w val="0.84203192770664936"/>
          <c:h val="0.759819796678489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8347083272415879"/>
                  <c:y val="4.18316140180243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'Allison et al. 2019'!$AC$5:$AC$45</c:f>
              <c:numCache>
                <c:formatCode>0.00</c:formatCode>
                <c:ptCount val="41"/>
                <c:pt idx="0">
                  <c:v>2.39</c:v>
                </c:pt>
                <c:pt idx="2">
                  <c:v>4.76</c:v>
                </c:pt>
                <c:pt idx="4">
                  <c:v>3.9</c:v>
                </c:pt>
                <c:pt idx="6">
                  <c:v>2.64</c:v>
                </c:pt>
                <c:pt idx="8">
                  <c:v>3.39</c:v>
                </c:pt>
                <c:pt idx="10">
                  <c:v>4.1100000000000003</c:v>
                </c:pt>
                <c:pt idx="12">
                  <c:v>2.5499999999999998</c:v>
                </c:pt>
                <c:pt idx="14">
                  <c:v>2.35</c:v>
                </c:pt>
                <c:pt idx="16">
                  <c:v>2.13</c:v>
                </c:pt>
                <c:pt idx="18">
                  <c:v>3.4</c:v>
                </c:pt>
                <c:pt idx="20">
                  <c:v>2.75</c:v>
                </c:pt>
                <c:pt idx="22">
                  <c:v>3.95</c:v>
                </c:pt>
                <c:pt idx="24">
                  <c:v>4.58</c:v>
                </c:pt>
                <c:pt idx="26">
                  <c:v>2.67</c:v>
                </c:pt>
                <c:pt idx="30">
                  <c:v>4.25</c:v>
                </c:pt>
                <c:pt idx="32">
                  <c:v>5.2</c:v>
                </c:pt>
                <c:pt idx="33">
                  <c:v>4.53</c:v>
                </c:pt>
                <c:pt idx="34">
                  <c:v>4.55</c:v>
                </c:pt>
                <c:pt idx="36">
                  <c:v>2.37</c:v>
                </c:pt>
                <c:pt idx="38">
                  <c:v>2.65</c:v>
                </c:pt>
                <c:pt idx="40">
                  <c:v>4.0999999999999996</c:v>
                </c:pt>
              </c:numCache>
            </c:numRef>
          </c:xVal>
          <c:yVal>
            <c:numRef>
              <c:f>'Allison et al. 2019'!$W$5:$W$45</c:f>
              <c:numCache>
                <c:formatCode>0.00</c:formatCode>
                <c:ptCount val="41"/>
                <c:pt idx="0">
                  <c:v>1.8443688947974084</c:v>
                </c:pt>
                <c:pt idx="2">
                  <c:v>3.4201674688247441</c:v>
                </c:pt>
                <c:pt idx="4">
                  <c:v>2.9722165274670425</c:v>
                </c:pt>
                <c:pt idx="6">
                  <c:v>2.2831113961559422</c:v>
                </c:pt>
                <c:pt idx="8">
                  <c:v>2.9728699629257473</c:v>
                </c:pt>
                <c:pt idx="10">
                  <c:v>3.2914393189855322</c:v>
                </c:pt>
                <c:pt idx="12">
                  <c:v>2.6144674020751952</c:v>
                </c:pt>
                <c:pt idx="14">
                  <c:v>2.1920127216408525</c:v>
                </c:pt>
                <c:pt idx="16">
                  <c:v>1.8914135860853267</c:v>
                </c:pt>
                <c:pt idx="18">
                  <c:v>2.5282082494498805</c:v>
                </c:pt>
                <c:pt idx="20">
                  <c:v>2.0623340783736319</c:v>
                </c:pt>
                <c:pt idx="22">
                  <c:v>3.4873511086139368</c:v>
                </c:pt>
                <c:pt idx="24">
                  <c:v>3.6924759497971928</c:v>
                </c:pt>
                <c:pt idx="26">
                  <c:v>2.2138331855407838</c:v>
                </c:pt>
                <c:pt idx="30">
                  <c:v>2.9009505511174032</c:v>
                </c:pt>
                <c:pt idx="32">
                  <c:v>4.0747329436590363</c:v>
                </c:pt>
                <c:pt idx="33">
                  <c:v>3.4520062942564906</c:v>
                </c:pt>
                <c:pt idx="34">
                  <c:v>3.8637081245600231</c:v>
                </c:pt>
                <c:pt idx="36">
                  <c:v>2.2303095528052341</c:v>
                </c:pt>
                <c:pt idx="38">
                  <c:v>2.6270380855944286</c:v>
                </c:pt>
                <c:pt idx="40">
                  <c:v>2.9489788420328082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9C-7F48-B509-6670AB5CA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625823"/>
        <c:axId val="1975627455"/>
      </c:scatterChart>
      <c:valAx>
        <c:axId val="1975625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H2O</a:t>
                </a:r>
                <a:r>
                  <a:rPr lang="en-US" sz="1600" b="1" baseline="0"/>
                  <a:t> Total  (5200 + 4500)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27455"/>
        <c:crosses val="autoZero"/>
        <c:crossBetween val="midCat"/>
      </c:valAx>
      <c:valAx>
        <c:axId val="19756274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H2O Total  (Fixed</a:t>
                </a:r>
                <a:r>
                  <a:rPr lang="en-US" sz="1600" b="1" baseline="0"/>
                  <a:t> Molar Absoptivity)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2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03707262056434"/>
          <c:y val="2.7135451695344915E-2"/>
          <c:w val="0.83770825065964893"/>
          <c:h val="0.8170254638012560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8347083272415879"/>
                  <c:y val="4.18316140180243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'Allison et al. 2019'!$AH$5:$AH$45</c:f>
              <c:numCache>
                <c:formatCode>0.00</c:formatCode>
                <c:ptCount val="41"/>
                <c:pt idx="0">
                  <c:v>1.583778221035006</c:v>
                </c:pt>
                <c:pt idx="1">
                  <c:v>2.2403322305496283</c:v>
                </c:pt>
                <c:pt idx="2">
                  <c:v>2.3451112183531118</c:v>
                </c:pt>
                <c:pt idx="3">
                  <c:v>2.1553768446597039</c:v>
                </c:pt>
                <c:pt idx="4">
                  <c:v>2.2084933167816625</c:v>
                </c:pt>
                <c:pt idx="5">
                  <c:v>1.8493322046731686</c:v>
                </c:pt>
                <c:pt idx="6">
                  <c:v>1.8017779479815728</c:v>
                </c:pt>
                <c:pt idx="7">
                  <c:v>1.91342525036277</c:v>
                </c:pt>
                <c:pt idx="8">
                  <c:v>1.3291612438733973</c:v>
                </c:pt>
                <c:pt idx="9">
                  <c:v>2.5229473378114138</c:v>
                </c:pt>
                <c:pt idx="10">
                  <c:v>2.3387465949934509</c:v>
                </c:pt>
                <c:pt idx="11">
                  <c:v>1.7215026280513772</c:v>
                </c:pt>
                <c:pt idx="12">
                  <c:v>2.2355852117932802</c:v>
                </c:pt>
                <c:pt idx="13">
                  <c:v>1.6663711992798629</c:v>
                </c:pt>
                <c:pt idx="14">
                  <c:v>1.6476816303042794</c:v>
                </c:pt>
                <c:pt idx="15">
                  <c:v>1.481061380028768</c:v>
                </c:pt>
                <c:pt idx="16">
                  <c:v>1.6245537983561276</c:v>
                </c:pt>
                <c:pt idx="17">
                  <c:v>2.1320894508631811</c:v>
                </c:pt>
                <c:pt idx="18">
                  <c:v>2.1128814377923413</c:v>
                </c:pt>
                <c:pt idx="19">
                  <c:v>1.8891984242215349</c:v>
                </c:pt>
                <c:pt idx="20">
                  <c:v>1.9358386549861548</c:v>
                </c:pt>
                <c:pt idx="21">
                  <c:v>1.9748706196767354</c:v>
                </c:pt>
                <c:pt idx="22">
                  <c:v>2.0016477762187437</c:v>
                </c:pt>
                <c:pt idx="23">
                  <c:v>1.9939223678175582</c:v>
                </c:pt>
                <c:pt idx="24">
                  <c:v>2.2353669440814365</c:v>
                </c:pt>
                <c:pt idx="25">
                  <c:v>1.9040059292739626</c:v>
                </c:pt>
                <c:pt idx="26">
                  <c:v>1.8713371789373152</c:v>
                </c:pt>
                <c:pt idx="27">
                  <c:v>2.2537401191766273</c:v>
                </c:pt>
                <c:pt idx="28">
                  <c:v>2.1114020509391742</c:v>
                </c:pt>
                <c:pt idx="29">
                  <c:v>2.6370551090700345</c:v>
                </c:pt>
                <c:pt idx="30">
                  <c:v>2.579188696018341</c:v>
                </c:pt>
                <c:pt idx="31">
                  <c:v>2.5218027768566214</c:v>
                </c:pt>
                <c:pt idx="32">
                  <c:v>2.5630896592544055</c:v>
                </c:pt>
                <c:pt idx="33">
                  <c:v>2.0476883873316343</c:v>
                </c:pt>
                <c:pt idx="34">
                  <c:v>2.1824047286034522</c:v>
                </c:pt>
                <c:pt idx="35">
                  <c:v>1.5656828949574328</c:v>
                </c:pt>
                <c:pt idx="36">
                  <c:v>1.6658367512743568</c:v>
                </c:pt>
                <c:pt idx="37">
                  <c:v>1.687590235880176</c:v>
                </c:pt>
                <c:pt idx="38">
                  <c:v>1.721055198064769</c:v>
                </c:pt>
                <c:pt idx="39">
                  <c:v>2.4817139498322884</c:v>
                </c:pt>
                <c:pt idx="40">
                  <c:v>2.5186697260755864</c:v>
                </c:pt>
              </c:numCache>
            </c:numRef>
          </c:xVal>
          <c:yVal>
            <c:numRef>
              <c:f>'Allison et al. 2019'!$AP$5:$AP$45</c:f>
              <c:numCache>
                <c:formatCode>0.00</c:formatCode>
                <c:ptCount val="41"/>
                <c:pt idx="0">
                  <c:v>0.85390134768980153</c:v>
                </c:pt>
                <c:pt idx="2">
                  <c:v>1.9832900342739261</c:v>
                </c:pt>
                <c:pt idx="4">
                  <c:v>2.0326210236712776</c:v>
                </c:pt>
                <c:pt idx="6">
                  <c:v>1.9108567352879764</c:v>
                </c:pt>
                <c:pt idx="8">
                  <c:v>1.7492912735476744</c:v>
                </c:pt>
                <c:pt idx="10">
                  <c:v>2.3283594382053545</c:v>
                </c:pt>
                <c:pt idx="12">
                  <c:v>2.6769597810334029</c:v>
                </c:pt>
                <c:pt idx="14">
                  <c:v>1.9112134918428989</c:v>
                </c:pt>
                <c:pt idx="16">
                  <c:v>1.7251776078089021</c:v>
                </c:pt>
                <c:pt idx="18">
                  <c:v>1.8395002711116251</c:v>
                </c:pt>
                <c:pt idx="20">
                  <c:v>1.6785374948557439</c:v>
                </c:pt>
                <c:pt idx="22">
                  <c:v>2.4075134254623913</c:v>
                </c:pt>
                <c:pt idx="24">
                  <c:v>2.3412256857147811</c:v>
                </c:pt>
                <c:pt idx="26">
                  <c:v>1.8594659617607752</c:v>
                </c:pt>
                <c:pt idx="30">
                  <c:v>1.9655279775739549</c:v>
                </c:pt>
                <c:pt idx="32">
                  <c:v>2.5463768897394234</c:v>
                </c:pt>
                <c:pt idx="33">
                  <c:v>1.9659040239452494</c:v>
                </c:pt>
                <c:pt idx="34">
                  <c:v>2.51481808500075</c:v>
                </c:pt>
                <c:pt idx="36">
                  <c:v>1.951432717823596</c:v>
                </c:pt>
                <c:pt idx="38">
                  <c:v>2.2196392073039628</c:v>
                </c:pt>
                <c:pt idx="40">
                  <c:v>2.0900549257158936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36-BD47-B43F-DEDB80B95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625823"/>
        <c:axId val="1975627455"/>
      </c:scatterChart>
      <c:valAx>
        <c:axId val="1975625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baseline="0"/>
                  <a:t>OH wt% 4500 cm^-1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27455"/>
        <c:crosses val="autoZero"/>
        <c:crossBetween val="midCat"/>
      </c:valAx>
      <c:valAx>
        <c:axId val="19756274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OH wt% 3500 cm^-1 Eq. 4 McIntosh  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2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Species Specific Calibration Of  3500</a:t>
            </a:r>
            <a:r>
              <a:rPr lang="en-US" b="1" baseline="0"/>
              <a:t> peak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847720294910087E-2"/>
          <c:y val="3.7647935269589337E-2"/>
          <c:w val="0.88278800030632776"/>
          <c:h val="0.7484577896882469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8347083272415879"/>
                  <c:y val="4.18316140180243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'Allison et al. 2019'!$W$5:$W$45</c:f>
              <c:numCache>
                <c:formatCode>0.00</c:formatCode>
                <c:ptCount val="41"/>
                <c:pt idx="0">
                  <c:v>1.8443688947974084</c:v>
                </c:pt>
                <c:pt idx="2">
                  <c:v>3.4201674688247441</c:v>
                </c:pt>
                <c:pt idx="4">
                  <c:v>2.9722165274670425</c:v>
                </c:pt>
                <c:pt idx="6">
                  <c:v>2.2831113961559422</c:v>
                </c:pt>
                <c:pt idx="8">
                  <c:v>2.9728699629257473</c:v>
                </c:pt>
                <c:pt idx="10">
                  <c:v>3.2914393189855322</c:v>
                </c:pt>
                <c:pt idx="12">
                  <c:v>2.6144674020751952</c:v>
                </c:pt>
                <c:pt idx="14">
                  <c:v>2.1920127216408525</c:v>
                </c:pt>
                <c:pt idx="16">
                  <c:v>1.8914135860853267</c:v>
                </c:pt>
                <c:pt idx="18">
                  <c:v>2.5282082494498805</c:v>
                </c:pt>
                <c:pt idx="20">
                  <c:v>2.0623340783736319</c:v>
                </c:pt>
                <c:pt idx="22">
                  <c:v>3.4873511086139368</c:v>
                </c:pt>
                <c:pt idx="24">
                  <c:v>3.6924759497971928</c:v>
                </c:pt>
                <c:pt idx="26">
                  <c:v>2.2138331855407838</c:v>
                </c:pt>
                <c:pt idx="30">
                  <c:v>2.9009505511174032</c:v>
                </c:pt>
                <c:pt idx="32">
                  <c:v>4.0747329436590363</c:v>
                </c:pt>
                <c:pt idx="33">
                  <c:v>3.4520062942564906</c:v>
                </c:pt>
                <c:pt idx="34">
                  <c:v>3.8637081245600231</c:v>
                </c:pt>
                <c:pt idx="36">
                  <c:v>2.2303095528052341</c:v>
                </c:pt>
                <c:pt idx="38">
                  <c:v>2.6270380855944286</c:v>
                </c:pt>
                <c:pt idx="40">
                  <c:v>2.9489788420328082</c:v>
                </c:pt>
              </c:numCache>
            </c:numRef>
          </c:xVal>
          <c:yVal>
            <c:numRef>
              <c:f>'Allison et al. 2019'!$AB$5:$AB$45</c:f>
              <c:numCache>
                <c:formatCode>0.00</c:formatCode>
                <c:ptCount val="41"/>
                <c:pt idx="0">
                  <c:v>2.2128775201562303</c:v>
                </c:pt>
                <c:pt idx="2">
                  <c:v>4.3017055319074498</c:v>
                </c:pt>
                <c:pt idx="4">
                  <c:v>3.6639137010863267</c:v>
                </c:pt>
                <c:pt idx="6">
                  <c:v>2.7242187838436185</c:v>
                </c:pt>
                <c:pt idx="8">
                  <c:v>3.8408801918051458</c:v>
                </c:pt>
                <c:pt idx="10">
                  <c:v>4.0542308974512995</c:v>
                </c:pt>
                <c:pt idx="12">
                  <c:v>2.9469095943388388</c:v>
                </c:pt>
                <c:pt idx="14">
                  <c:v>2.6018337363189175</c:v>
                </c:pt>
                <c:pt idx="16">
                  <c:v>2.2056126132969851</c:v>
                </c:pt>
                <c:pt idx="18">
                  <c:v>3.070209604545318</c:v>
                </c:pt>
                <c:pt idx="20">
                  <c:v>2.446973722011188</c:v>
                </c:pt>
                <c:pt idx="22">
                  <c:v>4.3701261804406579</c:v>
                </c:pt>
                <c:pt idx="24">
                  <c:v>4.6496145963368072</c:v>
                </c:pt>
                <c:pt idx="26">
                  <c:v>2.6288680052153177</c:v>
                </c:pt>
                <c:pt idx="30">
                  <c:v>3.5368737967596178</c:v>
                </c:pt>
                <c:pt idx="32">
                  <c:v>5.1242719125699905</c:v>
                </c:pt>
                <c:pt idx="33">
                  <c:v>4.3895335346171969</c:v>
                </c:pt>
                <c:pt idx="34">
                  <c:v>4.8761800196462817</c:v>
                </c:pt>
                <c:pt idx="36">
                  <c:v>2.6462777902447074</c:v>
                </c:pt>
                <c:pt idx="38">
                  <c:v>3.1655601131693043</c:v>
                </c:pt>
                <c:pt idx="40">
                  <c:v>3.5873206184847195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6E-0C4B-A94C-DE3FF9B2E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625823"/>
        <c:axId val="1975627455"/>
      </c:scatterChart>
      <c:valAx>
        <c:axId val="1975625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H2O Total  (Fixed Molar Absoptivity)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27455"/>
        <c:crosses val="autoZero"/>
        <c:crossBetween val="midCat"/>
      </c:valAx>
      <c:valAx>
        <c:axId val="19756274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H2O Total  (Species</a:t>
                </a:r>
                <a:r>
                  <a:rPr lang="en-US" sz="1600" b="1" baseline="0"/>
                  <a:t> Specific)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2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03707262056434"/>
          <c:y val="2.7135451695344915E-2"/>
          <c:w val="0.83770825065964893"/>
          <c:h val="0.8170254638012560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2306731552455147"/>
                  <c:y val="4.64519333243659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'Allison et al. 2019'!$Y$5:$Y$45</c:f>
              <c:numCache>
                <c:formatCode>0.00</c:formatCode>
                <c:ptCount val="41"/>
                <c:pt idx="0">
                  <c:v>1.3314310610007327</c:v>
                </c:pt>
                <c:pt idx="2">
                  <c:v>1.8328349614294293</c:v>
                </c:pt>
                <c:pt idx="4">
                  <c:v>1.8315459584569356</c:v>
                </c:pt>
                <c:pt idx="6">
                  <c:v>1.6965055315035964</c:v>
                </c:pt>
                <c:pt idx="8">
                  <c:v>1.2664845449194333</c:v>
                </c:pt>
                <c:pt idx="10">
                  <c:v>2.038515275513658</c:v>
                </c:pt>
                <c:pt idx="12">
                  <c:v>2.4970306940038571</c:v>
                </c:pt>
                <c:pt idx="14">
                  <c:v>1.6727431901288541</c:v>
                </c:pt>
                <c:pt idx="16">
                  <c:v>1.5698941560551734</c:v>
                </c:pt>
                <c:pt idx="18">
                  <c:v>1.7067689663226557</c:v>
                </c:pt>
                <c:pt idx="20">
                  <c:v>1.576790481122833</c:v>
                </c:pt>
                <c:pt idx="22">
                  <c:v>1.9204516682279589</c:v>
                </c:pt>
                <c:pt idx="24">
                  <c:v>1.9613843116856686</c:v>
                </c:pt>
                <c:pt idx="26">
                  <c:v>1.6857537779433744</c:v>
                </c:pt>
                <c:pt idx="30">
                  <c:v>1.9134236287085125</c:v>
                </c:pt>
                <c:pt idx="32">
                  <c:v>2.1858939059344435</c:v>
                </c:pt>
                <c:pt idx="33">
                  <c:v>1.6965176927162531</c:v>
                </c:pt>
                <c:pt idx="34">
                  <c:v>2.017199097027714</c:v>
                </c:pt>
                <c:pt idx="36">
                  <c:v>1.7052188147877225</c:v>
                </c:pt>
                <c:pt idx="38">
                  <c:v>1.8526661289893065</c:v>
                </c:pt>
                <c:pt idx="40">
                  <c:v>1.9711343996872503</c:v>
                </c:pt>
              </c:numCache>
            </c:numRef>
          </c:xVal>
          <c:yVal>
            <c:numRef>
              <c:f>'Allison et al. 2019'!$AP$5:$AP$45</c:f>
              <c:numCache>
                <c:formatCode>0.00</c:formatCode>
                <c:ptCount val="41"/>
                <c:pt idx="0">
                  <c:v>0.85390134768980153</c:v>
                </c:pt>
                <c:pt idx="2">
                  <c:v>1.9832900342739261</c:v>
                </c:pt>
                <c:pt idx="4">
                  <c:v>2.0326210236712776</c:v>
                </c:pt>
                <c:pt idx="6">
                  <c:v>1.9108567352879764</c:v>
                </c:pt>
                <c:pt idx="8">
                  <c:v>1.7492912735476744</c:v>
                </c:pt>
                <c:pt idx="10">
                  <c:v>2.3283594382053545</c:v>
                </c:pt>
                <c:pt idx="12">
                  <c:v>2.6769597810334029</c:v>
                </c:pt>
                <c:pt idx="14">
                  <c:v>1.9112134918428989</c:v>
                </c:pt>
                <c:pt idx="16">
                  <c:v>1.7251776078089021</c:v>
                </c:pt>
                <c:pt idx="18">
                  <c:v>1.8395002711116251</c:v>
                </c:pt>
                <c:pt idx="20">
                  <c:v>1.6785374948557439</c:v>
                </c:pt>
                <c:pt idx="22">
                  <c:v>2.4075134254623913</c:v>
                </c:pt>
                <c:pt idx="24">
                  <c:v>2.3412256857147811</c:v>
                </c:pt>
                <c:pt idx="26">
                  <c:v>1.8594659617607752</c:v>
                </c:pt>
                <c:pt idx="30">
                  <c:v>1.9655279775739549</c:v>
                </c:pt>
                <c:pt idx="32">
                  <c:v>2.5463768897394234</c:v>
                </c:pt>
                <c:pt idx="33">
                  <c:v>1.9659040239452494</c:v>
                </c:pt>
                <c:pt idx="34">
                  <c:v>2.51481808500075</c:v>
                </c:pt>
                <c:pt idx="36">
                  <c:v>1.951432717823596</c:v>
                </c:pt>
                <c:pt idx="38">
                  <c:v>2.2196392073039628</c:v>
                </c:pt>
                <c:pt idx="40">
                  <c:v>2.0900549257158936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C1-A443-A5EF-820C15F4B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625823"/>
        <c:axId val="1975627455"/>
      </c:scatterChart>
      <c:valAx>
        <c:axId val="1975625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OH wt% 3500 cm^-1 Henry Method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27455"/>
        <c:crosses val="autoZero"/>
        <c:crossBetween val="midCat"/>
      </c:valAx>
      <c:valAx>
        <c:axId val="19756274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OH wt% 3500 cm^-1 Eq. 4 McIntosh 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2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Allison</a:t>
            </a:r>
            <a:r>
              <a:rPr lang="en-US" b="1" baseline="0"/>
              <a:t> et al. 2019 Data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OH 4500 peak</c:v>
          </c:tx>
          <c:spPr>
            <a:ln w="25400">
              <a:noFill/>
            </a:ln>
          </c:spPr>
          <c:xVal>
            <c:numRef>
              <c:f>'Allison et al. 2019'!$AJ$5:$AJ$45</c:f>
              <c:numCache>
                <c:formatCode>0.00</c:formatCode>
                <c:ptCount val="41"/>
                <c:pt idx="0">
                  <c:v>2.3832299397811356</c:v>
                </c:pt>
                <c:pt idx="1">
                  <c:v>4.7614752743939555</c:v>
                </c:pt>
                <c:pt idx="2">
                  <c:v>4.7536798583705373</c:v>
                </c:pt>
                <c:pt idx="3">
                  <c:v>3.892593075521356</c:v>
                </c:pt>
                <c:pt idx="4">
                  <c:v>3.8931504578560996</c:v>
                </c:pt>
                <c:pt idx="5">
                  <c:v>2.6087515261405696</c:v>
                </c:pt>
                <c:pt idx="6">
                  <c:v>2.6339987457550595</c:v>
                </c:pt>
                <c:pt idx="7">
                  <c:v>3.3123364708390639</c:v>
                </c:pt>
                <c:pt idx="8">
                  <c:v>3.3891919238410164</c:v>
                </c:pt>
                <c:pt idx="9">
                  <c:v>4.1191564304897419</c:v>
                </c:pt>
                <c:pt idx="10">
                  <c:v>4.1020176587356998</c:v>
                </c:pt>
                <c:pt idx="11">
                  <c:v>2.5187884074023605</c:v>
                </c:pt>
                <c:pt idx="12">
                  <c:v>2.5426878823581034</c:v>
                </c:pt>
                <c:pt idx="13">
                  <c:v>2.3201488456790615</c:v>
                </c:pt>
                <c:pt idx="14">
                  <c:v>2.3454683364248581</c:v>
                </c:pt>
                <c:pt idx="15">
                  <c:v>2.1193846841070072</c:v>
                </c:pt>
                <c:pt idx="16">
                  <c:v>2.1261441416273743</c:v>
                </c:pt>
                <c:pt idx="17">
                  <c:v>3.4294048498009277</c:v>
                </c:pt>
                <c:pt idx="18">
                  <c:v>3.399818313538586</c:v>
                </c:pt>
                <c:pt idx="19">
                  <c:v>2.741275223218715</c:v>
                </c:pt>
                <c:pt idx="20">
                  <c:v>2.7504050773240345</c:v>
                </c:pt>
                <c:pt idx="21">
                  <c:v>3.9439946088505868</c:v>
                </c:pt>
                <c:pt idx="22">
                  <c:v>3.948411661799232</c:v>
                </c:pt>
                <c:pt idx="23">
                  <c:v>4.61656054927023</c:v>
                </c:pt>
                <c:pt idx="24">
                  <c:v>4.5713689827741248</c:v>
                </c:pt>
                <c:pt idx="25">
                  <c:v>2.6769215904346071</c:v>
                </c:pt>
                <c:pt idx="26">
                  <c:v>2.669594337185194</c:v>
                </c:pt>
                <c:pt idx="27">
                  <c:v>3.3500800280422482</c:v>
                </c:pt>
                <c:pt idx="28">
                  <c:v>3.304096537924976</c:v>
                </c:pt>
                <c:pt idx="29">
                  <c:v>4.2390317614499127</c:v>
                </c:pt>
                <c:pt idx="30">
                  <c:v>4.2477092744388081</c:v>
                </c:pt>
                <c:pt idx="31">
                  <c:v>5.1827290290446131</c:v>
                </c:pt>
                <c:pt idx="32">
                  <c:v>5.1901073944795719</c:v>
                </c:pt>
                <c:pt idx="33">
                  <c:v>4.5260518806439869</c:v>
                </c:pt>
                <c:pt idx="34">
                  <c:v>4.5408098385458935</c:v>
                </c:pt>
                <c:pt idx="35">
                  <c:v>2.3306889256619083</c:v>
                </c:pt>
                <c:pt idx="36">
                  <c:v>2.3667911821560019</c:v>
                </c:pt>
                <c:pt idx="37">
                  <c:v>2.6381802216213259</c:v>
                </c:pt>
                <c:pt idx="38">
                  <c:v>2.6509801841158942</c:v>
                </c:pt>
                <c:pt idx="39">
                  <c:v>4.1556612393540462</c:v>
                </c:pt>
                <c:pt idx="40">
                  <c:v>4.0932579712494732</c:v>
                </c:pt>
              </c:numCache>
            </c:numRef>
          </c:xVal>
          <c:yVal>
            <c:numRef>
              <c:f>'Allison et al. 2019'!$AH$5:$AH$45</c:f>
              <c:numCache>
                <c:formatCode>0.00</c:formatCode>
                <c:ptCount val="41"/>
                <c:pt idx="0">
                  <c:v>1.583778221035006</c:v>
                </c:pt>
                <c:pt idx="1">
                  <c:v>2.2403322305496283</c:v>
                </c:pt>
                <c:pt idx="2">
                  <c:v>2.3451112183531118</c:v>
                </c:pt>
                <c:pt idx="3">
                  <c:v>2.1553768446597039</c:v>
                </c:pt>
                <c:pt idx="4">
                  <c:v>2.2084933167816625</c:v>
                </c:pt>
                <c:pt idx="5">
                  <c:v>1.8493322046731686</c:v>
                </c:pt>
                <c:pt idx="6">
                  <c:v>1.8017779479815728</c:v>
                </c:pt>
                <c:pt idx="7">
                  <c:v>1.91342525036277</c:v>
                </c:pt>
                <c:pt idx="8">
                  <c:v>1.3291612438733973</c:v>
                </c:pt>
                <c:pt idx="9">
                  <c:v>2.5229473378114138</c:v>
                </c:pt>
                <c:pt idx="10">
                  <c:v>2.3387465949934509</c:v>
                </c:pt>
                <c:pt idx="11">
                  <c:v>1.7215026280513772</c:v>
                </c:pt>
                <c:pt idx="12">
                  <c:v>2.2355852117932802</c:v>
                </c:pt>
                <c:pt idx="13">
                  <c:v>1.6663711992798629</c:v>
                </c:pt>
                <c:pt idx="14">
                  <c:v>1.6476816303042794</c:v>
                </c:pt>
                <c:pt idx="15">
                  <c:v>1.481061380028768</c:v>
                </c:pt>
                <c:pt idx="16">
                  <c:v>1.6245537983561276</c:v>
                </c:pt>
                <c:pt idx="17">
                  <c:v>2.1320894508631811</c:v>
                </c:pt>
                <c:pt idx="18">
                  <c:v>2.1128814377923413</c:v>
                </c:pt>
                <c:pt idx="19">
                  <c:v>1.8891984242215349</c:v>
                </c:pt>
                <c:pt idx="20">
                  <c:v>1.9358386549861548</c:v>
                </c:pt>
                <c:pt idx="21">
                  <c:v>1.9748706196767354</c:v>
                </c:pt>
                <c:pt idx="22">
                  <c:v>2.0016477762187437</c:v>
                </c:pt>
                <c:pt idx="23">
                  <c:v>1.9939223678175582</c:v>
                </c:pt>
                <c:pt idx="24">
                  <c:v>2.2353669440814365</c:v>
                </c:pt>
                <c:pt idx="25">
                  <c:v>1.9040059292739626</c:v>
                </c:pt>
                <c:pt idx="26">
                  <c:v>1.8713371789373152</c:v>
                </c:pt>
                <c:pt idx="27">
                  <c:v>2.2537401191766273</c:v>
                </c:pt>
                <c:pt idx="28">
                  <c:v>2.1114020509391742</c:v>
                </c:pt>
                <c:pt idx="29">
                  <c:v>2.6370551090700345</c:v>
                </c:pt>
                <c:pt idx="30">
                  <c:v>2.579188696018341</c:v>
                </c:pt>
                <c:pt idx="31">
                  <c:v>2.5218027768566214</c:v>
                </c:pt>
                <c:pt idx="32">
                  <c:v>2.5630896592544055</c:v>
                </c:pt>
                <c:pt idx="33">
                  <c:v>2.0476883873316343</c:v>
                </c:pt>
                <c:pt idx="34">
                  <c:v>2.1824047286034522</c:v>
                </c:pt>
                <c:pt idx="35">
                  <c:v>1.5656828949574328</c:v>
                </c:pt>
                <c:pt idx="36">
                  <c:v>1.6658367512743568</c:v>
                </c:pt>
                <c:pt idx="37">
                  <c:v>1.687590235880176</c:v>
                </c:pt>
                <c:pt idx="38">
                  <c:v>1.721055198064769</c:v>
                </c:pt>
                <c:pt idx="39">
                  <c:v>2.4817139498322884</c:v>
                </c:pt>
                <c:pt idx="40">
                  <c:v>2.5186697260755864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59B0-754A-BB63-98BC2F716FD9}"/>
            </c:ext>
          </c:extLst>
        </c:ser>
        <c:ser>
          <c:idx val="3"/>
          <c:order val="1"/>
          <c:tx>
            <c:v>H2O Molecular 5200 peak</c:v>
          </c:tx>
          <c:spPr>
            <a:ln w="25400" cap="rnd">
              <a:noFill/>
              <a:round/>
            </a:ln>
            <a:effectLst/>
          </c:spPr>
          <c:xVal>
            <c:numRef>
              <c:f>'Allison et al. 2019'!$AJ$5:$AJ$45</c:f>
              <c:numCache>
                <c:formatCode>0.00</c:formatCode>
                <c:ptCount val="41"/>
                <c:pt idx="0">
                  <c:v>2.3832299397811356</c:v>
                </c:pt>
                <c:pt idx="1">
                  <c:v>4.7614752743939555</c:v>
                </c:pt>
                <c:pt idx="2">
                  <c:v>4.7536798583705373</c:v>
                </c:pt>
                <c:pt idx="3">
                  <c:v>3.892593075521356</c:v>
                </c:pt>
                <c:pt idx="4">
                  <c:v>3.8931504578560996</c:v>
                </c:pt>
                <c:pt idx="5">
                  <c:v>2.6087515261405696</c:v>
                </c:pt>
                <c:pt idx="6">
                  <c:v>2.6339987457550595</c:v>
                </c:pt>
                <c:pt idx="7">
                  <c:v>3.3123364708390639</c:v>
                </c:pt>
                <c:pt idx="8">
                  <c:v>3.3891919238410164</c:v>
                </c:pt>
                <c:pt idx="9">
                  <c:v>4.1191564304897419</c:v>
                </c:pt>
                <c:pt idx="10">
                  <c:v>4.1020176587356998</c:v>
                </c:pt>
                <c:pt idx="11">
                  <c:v>2.5187884074023605</c:v>
                </c:pt>
                <c:pt idx="12">
                  <c:v>2.5426878823581034</c:v>
                </c:pt>
                <c:pt idx="13">
                  <c:v>2.3201488456790615</c:v>
                </c:pt>
                <c:pt idx="14">
                  <c:v>2.3454683364248581</c:v>
                </c:pt>
                <c:pt idx="15">
                  <c:v>2.1193846841070072</c:v>
                </c:pt>
                <c:pt idx="16">
                  <c:v>2.1261441416273743</c:v>
                </c:pt>
                <c:pt idx="17">
                  <c:v>3.4294048498009277</c:v>
                </c:pt>
                <c:pt idx="18">
                  <c:v>3.399818313538586</c:v>
                </c:pt>
                <c:pt idx="19">
                  <c:v>2.741275223218715</c:v>
                </c:pt>
                <c:pt idx="20">
                  <c:v>2.7504050773240345</c:v>
                </c:pt>
                <c:pt idx="21">
                  <c:v>3.9439946088505868</c:v>
                </c:pt>
                <c:pt idx="22">
                  <c:v>3.948411661799232</c:v>
                </c:pt>
                <c:pt idx="23">
                  <c:v>4.61656054927023</c:v>
                </c:pt>
                <c:pt idx="24">
                  <c:v>4.5713689827741248</c:v>
                </c:pt>
                <c:pt idx="25">
                  <c:v>2.6769215904346071</c:v>
                </c:pt>
                <c:pt idx="26">
                  <c:v>2.669594337185194</c:v>
                </c:pt>
                <c:pt idx="27">
                  <c:v>3.3500800280422482</c:v>
                </c:pt>
                <c:pt idx="28">
                  <c:v>3.304096537924976</c:v>
                </c:pt>
                <c:pt idx="29">
                  <c:v>4.2390317614499127</c:v>
                </c:pt>
                <c:pt idx="30">
                  <c:v>4.2477092744388081</c:v>
                </c:pt>
                <c:pt idx="31">
                  <c:v>5.1827290290446131</c:v>
                </c:pt>
                <c:pt idx="32">
                  <c:v>5.1901073944795719</c:v>
                </c:pt>
                <c:pt idx="33">
                  <c:v>4.5260518806439869</c:v>
                </c:pt>
                <c:pt idx="34">
                  <c:v>4.5408098385458935</c:v>
                </c:pt>
                <c:pt idx="35">
                  <c:v>2.3306889256619083</c:v>
                </c:pt>
                <c:pt idx="36">
                  <c:v>2.3667911821560019</c:v>
                </c:pt>
                <c:pt idx="37">
                  <c:v>2.6381802216213259</c:v>
                </c:pt>
                <c:pt idx="38">
                  <c:v>2.6509801841158942</c:v>
                </c:pt>
                <c:pt idx="39">
                  <c:v>4.1556612393540462</c:v>
                </c:pt>
                <c:pt idx="40">
                  <c:v>4.0932579712494732</c:v>
                </c:pt>
              </c:numCache>
            </c:numRef>
          </c:xVal>
          <c:yVal>
            <c:numRef>
              <c:f>'Allison et al. 2019'!$AI$5:$AI$45</c:f>
              <c:numCache>
                <c:formatCode>0.00</c:formatCode>
                <c:ptCount val="41"/>
                <c:pt idx="0">
                  <c:v>0.79945171874612952</c:v>
                </c:pt>
                <c:pt idx="1">
                  <c:v>2.5211430438443267</c:v>
                </c:pt>
                <c:pt idx="2">
                  <c:v>2.4085686400174251</c:v>
                </c:pt>
                <c:pt idx="3">
                  <c:v>1.7372162308616523</c:v>
                </c:pt>
                <c:pt idx="4">
                  <c:v>1.6846571410744371</c:v>
                </c:pt>
                <c:pt idx="5">
                  <c:v>0.7594193214674011</c:v>
                </c:pt>
                <c:pt idx="6">
                  <c:v>0.83222079777348656</c:v>
                </c:pt>
                <c:pt idx="7">
                  <c:v>1.3989112204762937</c:v>
                </c:pt>
                <c:pt idx="8">
                  <c:v>2.0600306799676189</c:v>
                </c:pt>
                <c:pt idx="9">
                  <c:v>1.5962090926783283</c:v>
                </c:pt>
                <c:pt idx="10">
                  <c:v>1.7632710637422491</c:v>
                </c:pt>
                <c:pt idx="11">
                  <c:v>0.79728577935098355</c:v>
                </c:pt>
                <c:pt idx="12">
                  <c:v>0.30710267056482327</c:v>
                </c:pt>
                <c:pt idx="13">
                  <c:v>0.65377764639919844</c:v>
                </c:pt>
                <c:pt idx="14">
                  <c:v>0.69778670612057858</c:v>
                </c:pt>
                <c:pt idx="15">
                  <c:v>0.63832330407823923</c:v>
                </c:pt>
                <c:pt idx="16">
                  <c:v>0.50159034327124674</c:v>
                </c:pt>
                <c:pt idx="17">
                  <c:v>1.2973153989377466</c:v>
                </c:pt>
                <c:pt idx="18">
                  <c:v>1.2869368757462447</c:v>
                </c:pt>
                <c:pt idx="19">
                  <c:v>0.85207679899718003</c:v>
                </c:pt>
                <c:pt idx="20">
                  <c:v>0.81456642233787979</c:v>
                </c:pt>
                <c:pt idx="21">
                  <c:v>1.9691239891738517</c:v>
                </c:pt>
                <c:pt idx="22">
                  <c:v>1.9467638855804883</c:v>
                </c:pt>
                <c:pt idx="23">
                  <c:v>2.6226381814526718</c:v>
                </c:pt>
                <c:pt idx="24">
                  <c:v>2.3360020386926887</c:v>
                </c:pt>
                <c:pt idx="25">
                  <c:v>0.77291566116064458</c:v>
                </c:pt>
                <c:pt idx="26">
                  <c:v>0.79825715824787868</c:v>
                </c:pt>
                <c:pt idx="27">
                  <c:v>1.0963399088656209</c:v>
                </c:pt>
                <c:pt idx="28">
                  <c:v>1.1926944869858018</c:v>
                </c:pt>
                <c:pt idx="29">
                  <c:v>1.6019766523798782</c:v>
                </c:pt>
                <c:pt idx="30">
                  <c:v>1.6685205784204675</c:v>
                </c:pt>
                <c:pt idx="31">
                  <c:v>2.6609262521879917</c:v>
                </c:pt>
                <c:pt idx="32">
                  <c:v>2.6270177352251669</c:v>
                </c:pt>
                <c:pt idx="33">
                  <c:v>2.4783634933123522</c:v>
                </c:pt>
                <c:pt idx="34">
                  <c:v>2.3584051099424408</c:v>
                </c:pt>
                <c:pt idx="35">
                  <c:v>0.76500603070447548</c:v>
                </c:pt>
                <c:pt idx="36">
                  <c:v>0.700954430881645</c:v>
                </c:pt>
                <c:pt idx="37">
                  <c:v>0.95058998574115006</c:v>
                </c:pt>
                <c:pt idx="38">
                  <c:v>0.92992498605112528</c:v>
                </c:pt>
                <c:pt idx="39">
                  <c:v>1.673947289521758</c:v>
                </c:pt>
                <c:pt idx="40">
                  <c:v>1.5745882451738871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59B0-754A-BB63-98BC2F716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33103"/>
        <c:axId val="1973234735"/>
      </c:scatterChart>
      <c:valAx>
        <c:axId val="1973233103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Total H2O Wt% 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4735"/>
        <c:crosses val="autoZero"/>
        <c:crossBetween val="midCat"/>
      </c:valAx>
      <c:valAx>
        <c:axId val="197323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Concentration H2O</a:t>
                </a:r>
                <a:r>
                  <a:rPr lang="en-US" sz="1600" baseline="0"/>
                  <a:t> or OH wt%</a:t>
                </a:r>
                <a:endParaRPr lang="en-US" sz="1600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3103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Allison</a:t>
            </a:r>
            <a:r>
              <a:rPr lang="en-US" b="1" baseline="0"/>
              <a:t> et al. 2019 Data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OH 4500 peak</c:v>
          </c:tx>
          <c:spPr>
            <a:ln w="25400">
              <a:noFill/>
            </a:ln>
          </c:spPr>
          <c:marker>
            <c:symbol val="diamond"/>
            <c:size val="9"/>
            <c:spPr>
              <a:ln>
                <a:solidFill>
                  <a:schemeClr val="tx1"/>
                </a:solidFill>
              </a:ln>
            </c:spPr>
          </c:marker>
          <c:xVal>
            <c:numRef>
              <c:f>'Allison et al. 2019'!$AJ$5:$AJ$45</c:f>
              <c:numCache>
                <c:formatCode>0.00</c:formatCode>
                <c:ptCount val="41"/>
                <c:pt idx="0">
                  <c:v>2.3832299397811356</c:v>
                </c:pt>
                <c:pt idx="1">
                  <c:v>4.7614752743939555</c:v>
                </c:pt>
                <c:pt idx="2">
                  <c:v>4.7536798583705373</c:v>
                </c:pt>
                <c:pt idx="3">
                  <c:v>3.892593075521356</c:v>
                </c:pt>
                <c:pt idx="4">
                  <c:v>3.8931504578560996</c:v>
                </c:pt>
                <c:pt idx="5">
                  <c:v>2.6087515261405696</c:v>
                </c:pt>
                <c:pt idx="6">
                  <c:v>2.6339987457550595</c:v>
                </c:pt>
                <c:pt idx="7">
                  <c:v>3.3123364708390639</c:v>
                </c:pt>
                <c:pt idx="8">
                  <c:v>3.3891919238410164</c:v>
                </c:pt>
                <c:pt idx="9">
                  <c:v>4.1191564304897419</c:v>
                </c:pt>
                <c:pt idx="10">
                  <c:v>4.1020176587356998</c:v>
                </c:pt>
                <c:pt idx="11">
                  <c:v>2.5187884074023605</c:v>
                </c:pt>
                <c:pt idx="12">
                  <c:v>2.5426878823581034</c:v>
                </c:pt>
                <c:pt idx="13">
                  <c:v>2.3201488456790615</c:v>
                </c:pt>
                <c:pt idx="14">
                  <c:v>2.3454683364248581</c:v>
                </c:pt>
                <c:pt idx="15">
                  <c:v>2.1193846841070072</c:v>
                </c:pt>
                <c:pt idx="16">
                  <c:v>2.1261441416273743</c:v>
                </c:pt>
                <c:pt idx="17">
                  <c:v>3.4294048498009277</c:v>
                </c:pt>
                <c:pt idx="18">
                  <c:v>3.399818313538586</c:v>
                </c:pt>
                <c:pt idx="19">
                  <c:v>2.741275223218715</c:v>
                </c:pt>
                <c:pt idx="20">
                  <c:v>2.7504050773240345</c:v>
                </c:pt>
                <c:pt idx="21">
                  <c:v>3.9439946088505868</c:v>
                </c:pt>
                <c:pt idx="22">
                  <c:v>3.948411661799232</c:v>
                </c:pt>
                <c:pt idx="23">
                  <c:v>4.61656054927023</c:v>
                </c:pt>
                <c:pt idx="24">
                  <c:v>4.5713689827741248</c:v>
                </c:pt>
                <c:pt idx="25">
                  <c:v>2.6769215904346071</c:v>
                </c:pt>
                <c:pt idx="26">
                  <c:v>2.669594337185194</c:v>
                </c:pt>
                <c:pt idx="27">
                  <c:v>3.3500800280422482</c:v>
                </c:pt>
                <c:pt idx="28">
                  <c:v>3.304096537924976</c:v>
                </c:pt>
                <c:pt idx="29">
                  <c:v>4.2390317614499127</c:v>
                </c:pt>
                <c:pt idx="30">
                  <c:v>4.2477092744388081</c:v>
                </c:pt>
                <c:pt idx="31">
                  <c:v>5.1827290290446131</c:v>
                </c:pt>
                <c:pt idx="32">
                  <c:v>5.1901073944795719</c:v>
                </c:pt>
                <c:pt idx="33">
                  <c:v>4.5260518806439869</c:v>
                </c:pt>
                <c:pt idx="34">
                  <c:v>4.5408098385458935</c:v>
                </c:pt>
                <c:pt idx="35">
                  <c:v>2.3306889256619083</c:v>
                </c:pt>
                <c:pt idx="36">
                  <c:v>2.3667911821560019</c:v>
                </c:pt>
                <c:pt idx="37">
                  <c:v>2.6381802216213259</c:v>
                </c:pt>
                <c:pt idx="38">
                  <c:v>2.6509801841158942</c:v>
                </c:pt>
                <c:pt idx="39">
                  <c:v>4.1556612393540462</c:v>
                </c:pt>
                <c:pt idx="40">
                  <c:v>4.0932579712494732</c:v>
                </c:pt>
              </c:numCache>
            </c:numRef>
          </c:xVal>
          <c:yVal>
            <c:numRef>
              <c:f>'Allison et al. 2019'!$AH$5:$AH$45</c:f>
              <c:numCache>
                <c:formatCode>0.00</c:formatCode>
                <c:ptCount val="41"/>
                <c:pt idx="0">
                  <c:v>1.583778221035006</c:v>
                </c:pt>
                <c:pt idx="1">
                  <c:v>2.2403322305496283</c:v>
                </c:pt>
                <c:pt idx="2">
                  <c:v>2.3451112183531118</c:v>
                </c:pt>
                <c:pt idx="3">
                  <c:v>2.1553768446597039</c:v>
                </c:pt>
                <c:pt idx="4">
                  <c:v>2.2084933167816625</c:v>
                </c:pt>
                <c:pt idx="5">
                  <c:v>1.8493322046731686</c:v>
                </c:pt>
                <c:pt idx="6">
                  <c:v>1.8017779479815728</c:v>
                </c:pt>
                <c:pt idx="7">
                  <c:v>1.91342525036277</c:v>
                </c:pt>
                <c:pt idx="8">
                  <c:v>1.3291612438733973</c:v>
                </c:pt>
                <c:pt idx="9">
                  <c:v>2.5229473378114138</c:v>
                </c:pt>
                <c:pt idx="10">
                  <c:v>2.3387465949934509</c:v>
                </c:pt>
                <c:pt idx="11">
                  <c:v>1.7215026280513772</c:v>
                </c:pt>
                <c:pt idx="12">
                  <c:v>2.2355852117932802</c:v>
                </c:pt>
                <c:pt idx="13">
                  <c:v>1.6663711992798629</c:v>
                </c:pt>
                <c:pt idx="14">
                  <c:v>1.6476816303042794</c:v>
                </c:pt>
                <c:pt idx="15">
                  <c:v>1.481061380028768</c:v>
                </c:pt>
                <c:pt idx="16">
                  <c:v>1.6245537983561276</c:v>
                </c:pt>
                <c:pt idx="17">
                  <c:v>2.1320894508631811</c:v>
                </c:pt>
                <c:pt idx="18">
                  <c:v>2.1128814377923413</c:v>
                </c:pt>
                <c:pt idx="19">
                  <c:v>1.8891984242215349</c:v>
                </c:pt>
                <c:pt idx="20">
                  <c:v>1.9358386549861548</c:v>
                </c:pt>
                <c:pt idx="21">
                  <c:v>1.9748706196767354</c:v>
                </c:pt>
                <c:pt idx="22">
                  <c:v>2.0016477762187437</c:v>
                </c:pt>
                <c:pt idx="23">
                  <c:v>1.9939223678175582</c:v>
                </c:pt>
                <c:pt idx="24">
                  <c:v>2.2353669440814365</c:v>
                </c:pt>
                <c:pt idx="25">
                  <c:v>1.9040059292739626</c:v>
                </c:pt>
                <c:pt idx="26">
                  <c:v>1.8713371789373152</c:v>
                </c:pt>
                <c:pt idx="27">
                  <c:v>2.2537401191766273</c:v>
                </c:pt>
                <c:pt idx="28">
                  <c:v>2.1114020509391742</c:v>
                </c:pt>
                <c:pt idx="29">
                  <c:v>2.6370551090700345</c:v>
                </c:pt>
                <c:pt idx="30">
                  <c:v>2.579188696018341</c:v>
                </c:pt>
                <c:pt idx="31">
                  <c:v>2.5218027768566214</c:v>
                </c:pt>
                <c:pt idx="32">
                  <c:v>2.5630896592544055</c:v>
                </c:pt>
                <c:pt idx="33">
                  <c:v>2.0476883873316343</c:v>
                </c:pt>
                <c:pt idx="34">
                  <c:v>2.1824047286034522</c:v>
                </c:pt>
                <c:pt idx="35">
                  <c:v>1.5656828949574328</c:v>
                </c:pt>
                <c:pt idx="36">
                  <c:v>1.6658367512743568</c:v>
                </c:pt>
                <c:pt idx="37">
                  <c:v>1.687590235880176</c:v>
                </c:pt>
                <c:pt idx="38">
                  <c:v>1.721055198064769</c:v>
                </c:pt>
                <c:pt idx="39">
                  <c:v>2.4817139498322884</c:v>
                </c:pt>
                <c:pt idx="40">
                  <c:v>2.5186697260755864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E82-6E49-B52F-61EB897BC650}"/>
            </c:ext>
          </c:extLst>
        </c:ser>
        <c:ser>
          <c:idx val="1"/>
          <c:order val="1"/>
          <c:tx>
            <c:v>H2O Molecular 5200 peak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9"/>
            <c:spPr>
              <a:ln>
                <a:solidFill>
                  <a:schemeClr val="tx1"/>
                </a:solidFill>
              </a:ln>
            </c:spPr>
          </c:marker>
          <c:xVal>
            <c:numRef>
              <c:f>'Allison et al. 2019'!$AJ$5:$AJ$45</c:f>
              <c:numCache>
                <c:formatCode>0.00</c:formatCode>
                <c:ptCount val="41"/>
                <c:pt idx="0">
                  <c:v>2.3832299397811356</c:v>
                </c:pt>
                <c:pt idx="1">
                  <c:v>4.7614752743939555</c:v>
                </c:pt>
                <c:pt idx="2">
                  <c:v>4.7536798583705373</c:v>
                </c:pt>
                <c:pt idx="3">
                  <c:v>3.892593075521356</c:v>
                </c:pt>
                <c:pt idx="4">
                  <c:v>3.8931504578560996</c:v>
                </c:pt>
                <c:pt idx="5">
                  <c:v>2.6087515261405696</c:v>
                </c:pt>
                <c:pt idx="6">
                  <c:v>2.6339987457550595</c:v>
                </c:pt>
                <c:pt idx="7">
                  <c:v>3.3123364708390639</c:v>
                </c:pt>
                <c:pt idx="8">
                  <c:v>3.3891919238410164</c:v>
                </c:pt>
                <c:pt idx="9">
                  <c:v>4.1191564304897419</c:v>
                </c:pt>
                <c:pt idx="10">
                  <c:v>4.1020176587356998</c:v>
                </c:pt>
                <c:pt idx="11">
                  <c:v>2.5187884074023605</c:v>
                </c:pt>
                <c:pt idx="12">
                  <c:v>2.5426878823581034</c:v>
                </c:pt>
                <c:pt idx="13">
                  <c:v>2.3201488456790615</c:v>
                </c:pt>
                <c:pt idx="14">
                  <c:v>2.3454683364248581</c:v>
                </c:pt>
                <c:pt idx="15">
                  <c:v>2.1193846841070072</c:v>
                </c:pt>
                <c:pt idx="16">
                  <c:v>2.1261441416273743</c:v>
                </c:pt>
                <c:pt idx="17">
                  <c:v>3.4294048498009277</c:v>
                </c:pt>
                <c:pt idx="18">
                  <c:v>3.399818313538586</c:v>
                </c:pt>
                <c:pt idx="19">
                  <c:v>2.741275223218715</c:v>
                </c:pt>
                <c:pt idx="20">
                  <c:v>2.7504050773240345</c:v>
                </c:pt>
                <c:pt idx="21">
                  <c:v>3.9439946088505868</c:v>
                </c:pt>
                <c:pt idx="22">
                  <c:v>3.948411661799232</c:v>
                </c:pt>
                <c:pt idx="23">
                  <c:v>4.61656054927023</c:v>
                </c:pt>
                <c:pt idx="24">
                  <c:v>4.5713689827741248</c:v>
                </c:pt>
                <c:pt idx="25">
                  <c:v>2.6769215904346071</c:v>
                </c:pt>
                <c:pt idx="26">
                  <c:v>2.669594337185194</c:v>
                </c:pt>
                <c:pt idx="27">
                  <c:v>3.3500800280422482</c:v>
                </c:pt>
                <c:pt idx="28">
                  <c:v>3.304096537924976</c:v>
                </c:pt>
                <c:pt idx="29">
                  <c:v>4.2390317614499127</c:v>
                </c:pt>
                <c:pt idx="30">
                  <c:v>4.2477092744388081</c:v>
                </c:pt>
                <c:pt idx="31">
                  <c:v>5.1827290290446131</c:v>
                </c:pt>
                <c:pt idx="32">
                  <c:v>5.1901073944795719</c:v>
                </c:pt>
                <c:pt idx="33">
                  <c:v>4.5260518806439869</c:v>
                </c:pt>
                <c:pt idx="34">
                  <c:v>4.5408098385458935</c:v>
                </c:pt>
                <c:pt idx="35">
                  <c:v>2.3306889256619083</c:v>
                </c:pt>
                <c:pt idx="36">
                  <c:v>2.3667911821560019</c:v>
                </c:pt>
                <c:pt idx="37">
                  <c:v>2.6381802216213259</c:v>
                </c:pt>
                <c:pt idx="38">
                  <c:v>2.6509801841158942</c:v>
                </c:pt>
                <c:pt idx="39">
                  <c:v>4.1556612393540462</c:v>
                </c:pt>
                <c:pt idx="40">
                  <c:v>4.0932579712494732</c:v>
                </c:pt>
              </c:numCache>
            </c:numRef>
          </c:xVal>
          <c:yVal>
            <c:numRef>
              <c:f>'Allison et al. 2019'!$AI$5:$AI$45</c:f>
              <c:numCache>
                <c:formatCode>0.00</c:formatCode>
                <c:ptCount val="41"/>
                <c:pt idx="0">
                  <c:v>0.79945171874612952</c:v>
                </c:pt>
                <c:pt idx="1">
                  <c:v>2.5211430438443267</c:v>
                </c:pt>
                <c:pt idx="2">
                  <c:v>2.4085686400174251</c:v>
                </c:pt>
                <c:pt idx="3">
                  <c:v>1.7372162308616523</c:v>
                </c:pt>
                <c:pt idx="4">
                  <c:v>1.6846571410744371</c:v>
                </c:pt>
                <c:pt idx="5">
                  <c:v>0.7594193214674011</c:v>
                </c:pt>
                <c:pt idx="6">
                  <c:v>0.83222079777348656</c:v>
                </c:pt>
                <c:pt idx="7">
                  <c:v>1.3989112204762937</c:v>
                </c:pt>
                <c:pt idx="8">
                  <c:v>2.0600306799676189</c:v>
                </c:pt>
                <c:pt idx="9">
                  <c:v>1.5962090926783283</c:v>
                </c:pt>
                <c:pt idx="10">
                  <c:v>1.7632710637422491</c:v>
                </c:pt>
                <c:pt idx="11">
                  <c:v>0.79728577935098355</c:v>
                </c:pt>
                <c:pt idx="12">
                  <c:v>0.30710267056482327</c:v>
                </c:pt>
                <c:pt idx="13">
                  <c:v>0.65377764639919844</c:v>
                </c:pt>
                <c:pt idx="14">
                  <c:v>0.69778670612057858</c:v>
                </c:pt>
                <c:pt idx="15">
                  <c:v>0.63832330407823923</c:v>
                </c:pt>
                <c:pt idx="16">
                  <c:v>0.50159034327124674</c:v>
                </c:pt>
                <c:pt idx="17">
                  <c:v>1.2973153989377466</c:v>
                </c:pt>
                <c:pt idx="18">
                  <c:v>1.2869368757462447</c:v>
                </c:pt>
                <c:pt idx="19">
                  <c:v>0.85207679899718003</c:v>
                </c:pt>
                <c:pt idx="20">
                  <c:v>0.81456642233787979</c:v>
                </c:pt>
                <c:pt idx="21">
                  <c:v>1.9691239891738517</c:v>
                </c:pt>
                <c:pt idx="22">
                  <c:v>1.9467638855804883</c:v>
                </c:pt>
                <c:pt idx="23">
                  <c:v>2.6226381814526718</c:v>
                </c:pt>
                <c:pt idx="24">
                  <c:v>2.3360020386926887</c:v>
                </c:pt>
                <c:pt idx="25">
                  <c:v>0.77291566116064458</c:v>
                </c:pt>
                <c:pt idx="26">
                  <c:v>0.79825715824787868</c:v>
                </c:pt>
                <c:pt idx="27">
                  <c:v>1.0963399088656209</c:v>
                </c:pt>
                <c:pt idx="28">
                  <c:v>1.1926944869858018</c:v>
                </c:pt>
                <c:pt idx="29">
                  <c:v>1.6019766523798782</c:v>
                </c:pt>
                <c:pt idx="30">
                  <c:v>1.6685205784204675</c:v>
                </c:pt>
                <c:pt idx="31">
                  <c:v>2.6609262521879917</c:v>
                </c:pt>
                <c:pt idx="32">
                  <c:v>2.6270177352251669</c:v>
                </c:pt>
                <c:pt idx="33">
                  <c:v>2.4783634933123522</c:v>
                </c:pt>
                <c:pt idx="34">
                  <c:v>2.3584051099424408</c:v>
                </c:pt>
                <c:pt idx="35">
                  <c:v>0.76500603070447548</c:v>
                </c:pt>
                <c:pt idx="36">
                  <c:v>0.700954430881645</c:v>
                </c:pt>
                <c:pt idx="37">
                  <c:v>0.95058998574115006</c:v>
                </c:pt>
                <c:pt idx="38">
                  <c:v>0.92992498605112528</c:v>
                </c:pt>
                <c:pt idx="39">
                  <c:v>1.673947289521758</c:v>
                </c:pt>
                <c:pt idx="40">
                  <c:v>1.5745882451738871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E82-6E49-B52F-61EB897BC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33103"/>
        <c:axId val="1973234735"/>
      </c:scatterChart>
      <c:valAx>
        <c:axId val="1973233103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Total H2O Wt% 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4735"/>
        <c:crosses val="autoZero"/>
        <c:crossBetween val="midCat"/>
      </c:valAx>
      <c:valAx>
        <c:axId val="197323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Concentration H2O</a:t>
                </a:r>
                <a:r>
                  <a:rPr lang="en-US" sz="1600" baseline="0"/>
                  <a:t> or OH wt%</a:t>
                </a:r>
                <a:endParaRPr lang="en-US" sz="1600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3103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Shishkina</a:t>
            </a:r>
            <a:r>
              <a:rPr lang="en-US" b="1" baseline="0"/>
              <a:t> et al. 2010 Data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OH 4500 peak</c:v>
          </c:tx>
          <c:spPr>
            <a:ln w="25400">
              <a:noFill/>
            </a:ln>
          </c:spPr>
          <c:xVal>
            <c:numRef>
              <c:f>'Allison et al. 2019'!$AJ$5:$AJ$45</c:f>
              <c:numCache>
                <c:formatCode>0.00</c:formatCode>
                <c:ptCount val="41"/>
                <c:pt idx="0">
                  <c:v>2.3832299397811356</c:v>
                </c:pt>
                <c:pt idx="1">
                  <c:v>4.7614752743939555</c:v>
                </c:pt>
                <c:pt idx="2">
                  <c:v>4.7536798583705373</c:v>
                </c:pt>
                <c:pt idx="3">
                  <c:v>3.892593075521356</c:v>
                </c:pt>
                <c:pt idx="4">
                  <c:v>3.8931504578560996</c:v>
                </c:pt>
                <c:pt idx="5">
                  <c:v>2.6087515261405696</c:v>
                </c:pt>
                <c:pt idx="6">
                  <c:v>2.6339987457550595</c:v>
                </c:pt>
                <c:pt idx="7">
                  <c:v>3.3123364708390639</c:v>
                </c:pt>
                <c:pt idx="8">
                  <c:v>3.3891919238410164</c:v>
                </c:pt>
                <c:pt idx="9">
                  <c:v>4.1191564304897419</c:v>
                </c:pt>
                <c:pt idx="10">
                  <c:v>4.1020176587356998</c:v>
                </c:pt>
                <c:pt idx="11">
                  <c:v>2.5187884074023605</c:v>
                </c:pt>
                <c:pt idx="12">
                  <c:v>2.5426878823581034</c:v>
                </c:pt>
                <c:pt idx="13">
                  <c:v>2.3201488456790615</c:v>
                </c:pt>
                <c:pt idx="14">
                  <c:v>2.3454683364248581</c:v>
                </c:pt>
                <c:pt idx="15">
                  <c:v>2.1193846841070072</c:v>
                </c:pt>
                <c:pt idx="16">
                  <c:v>2.1261441416273743</c:v>
                </c:pt>
                <c:pt idx="17">
                  <c:v>3.4294048498009277</c:v>
                </c:pt>
                <c:pt idx="18">
                  <c:v>3.399818313538586</c:v>
                </c:pt>
                <c:pt idx="19">
                  <c:v>2.741275223218715</c:v>
                </c:pt>
                <c:pt idx="20">
                  <c:v>2.7504050773240345</c:v>
                </c:pt>
                <c:pt idx="21">
                  <c:v>3.9439946088505868</c:v>
                </c:pt>
                <c:pt idx="22">
                  <c:v>3.948411661799232</c:v>
                </c:pt>
                <c:pt idx="23">
                  <c:v>4.61656054927023</c:v>
                </c:pt>
                <c:pt idx="24">
                  <c:v>4.5713689827741248</c:v>
                </c:pt>
                <c:pt idx="25">
                  <c:v>2.6769215904346071</c:v>
                </c:pt>
                <c:pt idx="26">
                  <c:v>2.669594337185194</c:v>
                </c:pt>
                <c:pt idx="27">
                  <c:v>3.3500800280422482</c:v>
                </c:pt>
                <c:pt idx="28">
                  <c:v>3.304096537924976</c:v>
                </c:pt>
                <c:pt idx="29">
                  <c:v>4.2390317614499127</c:v>
                </c:pt>
                <c:pt idx="30">
                  <c:v>4.2477092744388081</c:v>
                </c:pt>
                <c:pt idx="31">
                  <c:v>5.1827290290446131</c:v>
                </c:pt>
                <c:pt idx="32">
                  <c:v>5.1901073944795719</c:v>
                </c:pt>
                <c:pt idx="33">
                  <c:v>4.5260518806439869</c:v>
                </c:pt>
                <c:pt idx="34">
                  <c:v>4.5408098385458935</c:v>
                </c:pt>
                <c:pt idx="35">
                  <c:v>2.3306889256619083</c:v>
                </c:pt>
                <c:pt idx="36">
                  <c:v>2.3667911821560019</c:v>
                </c:pt>
                <c:pt idx="37">
                  <c:v>2.6381802216213259</c:v>
                </c:pt>
                <c:pt idx="38">
                  <c:v>2.6509801841158942</c:v>
                </c:pt>
                <c:pt idx="39">
                  <c:v>4.1556612393540462</c:v>
                </c:pt>
                <c:pt idx="40">
                  <c:v>4.0932579712494732</c:v>
                </c:pt>
              </c:numCache>
            </c:numRef>
          </c:xVal>
          <c:yVal>
            <c:numRef>
              <c:f>'Allison et al. 2019'!$AH$5:$AH$45</c:f>
              <c:numCache>
                <c:formatCode>0.00</c:formatCode>
                <c:ptCount val="41"/>
                <c:pt idx="0">
                  <c:v>1.583778221035006</c:v>
                </c:pt>
                <c:pt idx="1">
                  <c:v>2.2403322305496283</c:v>
                </c:pt>
                <c:pt idx="2">
                  <c:v>2.3451112183531118</c:v>
                </c:pt>
                <c:pt idx="3">
                  <c:v>2.1553768446597039</c:v>
                </c:pt>
                <c:pt idx="4">
                  <c:v>2.2084933167816625</c:v>
                </c:pt>
                <c:pt idx="5">
                  <c:v>1.8493322046731686</c:v>
                </c:pt>
                <c:pt idx="6">
                  <c:v>1.8017779479815728</c:v>
                </c:pt>
                <c:pt idx="7">
                  <c:v>1.91342525036277</c:v>
                </c:pt>
                <c:pt idx="8">
                  <c:v>1.3291612438733973</c:v>
                </c:pt>
                <c:pt idx="9">
                  <c:v>2.5229473378114138</c:v>
                </c:pt>
                <c:pt idx="10">
                  <c:v>2.3387465949934509</c:v>
                </c:pt>
                <c:pt idx="11">
                  <c:v>1.7215026280513772</c:v>
                </c:pt>
                <c:pt idx="12">
                  <c:v>2.2355852117932802</c:v>
                </c:pt>
                <c:pt idx="13">
                  <c:v>1.6663711992798629</c:v>
                </c:pt>
                <c:pt idx="14">
                  <c:v>1.6476816303042794</c:v>
                </c:pt>
                <c:pt idx="15">
                  <c:v>1.481061380028768</c:v>
                </c:pt>
                <c:pt idx="16">
                  <c:v>1.6245537983561276</c:v>
                </c:pt>
                <c:pt idx="17">
                  <c:v>2.1320894508631811</c:v>
                </c:pt>
                <c:pt idx="18">
                  <c:v>2.1128814377923413</c:v>
                </c:pt>
                <c:pt idx="19">
                  <c:v>1.8891984242215349</c:v>
                </c:pt>
                <c:pt idx="20">
                  <c:v>1.9358386549861548</c:v>
                </c:pt>
                <c:pt idx="21">
                  <c:v>1.9748706196767354</c:v>
                </c:pt>
                <c:pt idx="22">
                  <c:v>2.0016477762187437</c:v>
                </c:pt>
                <c:pt idx="23">
                  <c:v>1.9939223678175582</c:v>
                </c:pt>
                <c:pt idx="24">
                  <c:v>2.2353669440814365</c:v>
                </c:pt>
                <c:pt idx="25">
                  <c:v>1.9040059292739626</c:v>
                </c:pt>
                <c:pt idx="26">
                  <c:v>1.8713371789373152</c:v>
                </c:pt>
                <c:pt idx="27">
                  <c:v>2.2537401191766273</c:v>
                </c:pt>
                <c:pt idx="28">
                  <c:v>2.1114020509391742</c:v>
                </c:pt>
                <c:pt idx="29">
                  <c:v>2.6370551090700345</c:v>
                </c:pt>
                <c:pt idx="30">
                  <c:v>2.579188696018341</c:v>
                </c:pt>
                <c:pt idx="31">
                  <c:v>2.5218027768566214</c:v>
                </c:pt>
                <c:pt idx="32">
                  <c:v>2.5630896592544055</c:v>
                </c:pt>
                <c:pt idx="33">
                  <c:v>2.0476883873316343</c:v>
                </c:pt>
                <c:pt idx="34">
                  <c:v>2.1824047286034522</c:v>
                </c:pt>
                <c:pt idx="35">
                  <c:v>1.5656828949574328</c:v>
                </c:pt>
                <c:pt idx="36">
                  <c:v>1.6658367512743568</c:v>
                </c:pt>
                <c:pt idx="37">
                  <c:v>1.687590235880176</c:v>
                </c:pt>
                <c:pt idx="38">
                  <c:v>1.721055198064769</c:v>
                </c:pt>
                <c:pt idx="39">
                  <c:v>2.4817139498322884</c:v>
                </c:pt>
                <c:pt idx="40">
                  <c:v>2.5186697260755864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60-6648-8714-13BBC1765380}"/>
            </c:ext>
          </c:extLst>
        </c:ser>
        <c:ser>
          <c:idx val="3"/>
          <c:order val="1"/>
          <c:tx>
            <c:v>H2O Molecular 5200 peak</c:v>
          </c:tx>
          <c:spPr>
            <a:ln w="25400" cap="rnd">
              <a:noFill/>
              <a:round/>
            </a:ln>
            <a:effectLst/>
          </c:spPr>
          <c:xVal>
            <c:numRef>
              <c:f>'Allison et al. 2019'!$AJ$5:$AJ$45</c:f>
              <c:numCache>
                <c:formatCode>0.00</c:formatCode>
                <c:ptCount val="41"/>
                <c:pt idx="0">
                  <c:v>2.3832299397811356</c:v>
                </c:pt>
                <c:pt idx="1">
                  <c:v>4.7614752743939555</c:v>
                </c:pt>
                <c:pt idx="2">
                  <c:v>4.7536798583705373</c:v>
                </c:pt>
                <c:pt idx="3">
                  <c:v>3.892593075521356</c:v>
                </c:pt>
                <c:pt idx="4">
                  <c:v>3.8931504578560996</c:v>
                </c:pt>
                <c:pt idx="5">
                  <c:v>2.6087515261405696</c:v>
                </c:pt>
                <c:pt idx="6">
                  <c:v>2.6339987457550595</c:v>
                </c:pt>
                <c:pt idx="7">
                  <c:v>3.3123364708390639</c:v>
                </c:pt>
                <c:pt idx="8">
                  <c:v>3.3891919238410164</c:v>
                </c:pt>
                <c:pt idx="9">
                  <c:v>4.1191564304897419</c:v>
                </c:pt>
                <c:pt idx="10">
                  <c:v>4.1020176587356998</c:v>
                </c:pt>
                <c:pt idx="11">
                  <c:v>2.5187884074023605</c:v>
                </c:pt>
                <c:pt idx="12">
                  <c:v>2.5426878823581034</c:v>
                </c:pt>
                <c:pt idx="13">
                  <c:v>2.3201488456790615</c:v>
                </c:pt>
                <c:pt idx="14">
                  <c:v>2.3454683364248581</c:v>
                </c:pt>
                <c:pt idx="15">
                  <c:v>2.1193846841070072</c:v>
                </c:pt>
                <c:pt idx="16">
                  <c:v>2.1261441416273743</c:v>
                </c:pt>
                <c:pt idx="17">
                  <c:v>3.4294048498009277</c:v>
                </c:pt>
                <c:pt idx="18">
                  <c:v>3.399818313538586</c:v>
                </c:pt>
                <c:pt idx="19">
                  <c:v>2.741275223218715</c:v>
                </c:pt>
                <c:pt idx="20">
                  <c:v>2.7504050773240345</c:v>
                </c:pt>
                <c:pt idx="21">
                  <c:v>3.9439946088505868</c:v>
                </c:pt>
                <c:pt idx="22">
                  <c:v>3.948411661799232</c:v>
                </c:pt>
                <c:pt idx="23">
                  <c:v>4.61656054927023</c:v>
                </c:pt>
                <c:pt idx="24">
                  <c:v>4.5713689827741248</c:v>
                </c:pt>
                <c:pt idx="25">
                  <c:v>2.6769215904346071</c:v>
                </c:pt>
                <c:pt idx="26">
                  <c:v>2.669594337185194</c:v>
                </c:pt>
                <c:pt idx="27">
                  <c:v>3.3500800280422482</c:v>
                </c:pt>
                <c:pt idx="28">
                  <c:v>3.304096537924976</c:v>
                </c:pt>
                <c:pt idx="29">
                  <c:v>4.2390317614499127</c:v>
                </c:pt>
                <c:pt idx="30">
                  <c:v>4.2477092744388081</c:v>
                </c:pt>
                <c:pt idx="31">
                  <c:v>5.1827290290446131</c:v>
                </c:pt>
                <c:pt idx="32">
                  <c:v>5.1901073944795719</c:v>
                </c:pt>
                <c:pt idx="33">
                  <c:v>4.5260518806439869</c:v>
                </c:pt>
                <c:pt idx="34">
                  <c:v>4.5408098385458935</c:v>
                </c:pt>
                <c:pt idx="35">
                  <c:v>2.3306889256619083</c:v>
                </c:pt>
                <c:pt idx="36">
                  <c:v>2.3667911821560019</c:v>
                </c:pt>
                <c:pt idx="37">
                  <c:v>2.6381802216213259</c:v>
                </c:pt>
                <c:pt idx="38">
                  <c:v>2.6509801841158942</c:v>
                </c:pt>
                <c:pt idx="39">
                  <c:v>4.1556612393540462</c:v>
                </c:pt>
                <c:pt idx="40">
                  <c:v>4.0932579712494732</c:v>
                </c:pt>
              </c:numCache>
            </c:numRef>
          </c:xVal>
          <c:yVal>
            <c:numRef>
              <c:f>'Allison et al. 2019'!$AI$5:$AI$45</c:f>
              <c:numCache>
                <c:formatCode>0.00</c:formatCode>
                <c:ptCount val="41"/>
                <c:pt idx="0">
                  <c:v>0.79945171874612952</c:v>
                </c:pt>
                <c:pt idx="1">
                  <c:v>2.5211430438443267</c:v>
                </c:pt>
                <c:pt idx="2">
                  <c:v>2.4085686400174251</c:v>
                </c:pt>
                <c:pt idx="3">
                  <c:v>1.7372162308616523</c:v>
                </c:pt>
                <c:pt idx="4">
                  <c:v>1.6846571410744371</c:v>
                </c:pt>
                <c:pt idx="5">
                  <c:v>0.7594193214674011</c:v>
                </c:pt>
                <c:pt idx="6">
                  <c:v>0.83222079777348656</c:v>
                </c:pt>
                <c:pt idx="7">
                  <c:v>1.3989112204762937</c:v>
                </c:pt>
                <c:pt idx="8">
                  <c:v>2.0600306799676189</c:v>
                </c:pt>
                <c:pt idx="9">
                  <c:v>1.5962090926783283</c:v>
                </c:pt>
                <c:pt idx="10">
                  <c:v>1.7632710637422491</c:v>
                </c:pt>
                <c:pt idx="11">
                  <c:v>0.79728577935098355</c:v>
                </c:pt>
                <c:pt idx="12">
                  <c:v>0.30710267056482327</c:v>
                </c:pt>
                <c:pt idx="13">
                  <c:v>0.65377764639919844</c:v>
                </c:pt>
                <c:pt idx="14">
                  <c:v>0.69778670612057858</c:v>
                </c:pt>
                <c:pt idx="15">
                  <c:v>0.63832330407823923</c:v>
                </c:pt>
                <c:pt idx="16">
                  <c:v>0.50159034327124674</c:v>
                </c:pt>
                <c:pt idx="17">
                  <c:v>1.2973153989377466</c:v>
                </c:pt>
                <c:pt idx="18">
                  <c:v>1.2869368757462447</c:v>
                </c:pt>
                <c:pt idx="19">
                  <c:v>0.85207679899718003</c:v>
                </c:pt>
                <c:pt idx="20">
                  <c:v>0.81456642233787979</c:v>
                </c:pt>
                <c:pt idx="21">
                  <c:v>1.9691239891738517</c:v>
                </c:pt>
                <c:pt idx="22">
                  <c:v>1.9467638855804883</c:v>
                </c:pt>
                <c:pt idx="23">
                  <c:v>2.6226381814526718</c:v>
                </c:pt>
                <c:pt idx="24">
                  <c:v>2.3360020386926887</c:v>
                </c:pt>
                <c:pt idx="25">
                  <c:v>0.77291566116064458</c:v>
                </c:pt>
                <c:pt idx="26">
                  <c:v>0.79825715824787868</c:v>
                </c:pt>
                <c:pt idx="27">
                  <c:v>1.0963399088656209</c:v>
                </c:pt>
                <c:pt idx="28">
                  <c:v>1.1926944869858018</c:v>
                </c:pt>
                <c:pt idx="29">
                  <c:v>1.6019766523798782</c:v>
                </c:pt>
                <c:pt idx="30">
                  <c:v>1.6685205784204675</c:v>
                </c:pt>
                <c:pt idx="31">
                  <c:v>2.6609262521879917</c:v>
                </c:pt>
                <c:pt idx="32">
                  <c:v>2.6270177352251669</c:v>
                </c:pt>
                <c:pt idx="33">
                  <c:v>2.4783634933123522</c:v>
                </c:pt>
                <c:pt idx="34">
                  <c:v>2.3584051099424408</c:v>
                </c:pt>
                <c:pt idx="35">
                  <c:v>0.76500603070447548</c:v>
                </c:pt>
                <c:pt idx="36">
                  <c:v>0.700954430881645</c:v>
                </c:pt>
                <c:pt idx="37">
                  <c:v>0.95058998574115006</c:v>
                </c:pt>
                <c:pt idx="38">
                  <c:v>0.92992498605112528</c:v>
                </c:pt>
                <c:pt idx="39">
                  <c:v>1.673947289521758</c:v>
                </c:pt>
                <c:pt idx="40">
                  <c:v>1.5745882451738871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60-6648-8714-13BBC1765380}"/>
            </c:ext>
          </c:extLst>
        </c:ser>
        <c:ser>
          <c:idx val="1"/>
          <c:order val="2"/>
          <c:tx>
            <c:v>H2O Molecular 5200 Peak</c:v>
          </c:tx>
          <c:spPr>
            <a:ln w="25400">
              <a:noFill/>
            </a:ln>
          </c:spPr>
          <c:xVal>
            <c:numRef>
              <c:f>'Shishkina 2010'!$P$5:$P$39</c:f>
              <c:numCache>
                <c:formatCode>General</c:formatCode>
                <c:ptCount val="35"/>
                <c:pt idx="0">
                  <c:v>1.71</c:v>
                </c:pt>
                <c:pt idx="1">
                  <c:v>1.52</c:v>
                </c:pt>
                <c:pt idx="3">
                  <c:v>2.34</c:v>
                </c:pt>
                <c:pt idx="4">
                  <c:v>1.9</c:v>
                </c:pt>
                <c:pt idx="5">
                  <c:v>1.23</c:v>
                </c:pt>
                <c:pt idx="6">
                  <c:v>0.85</c:v>
                </c:pt>
                <c:pt idx="7">
                  <c:v>0.85</c:v>
                </c:pt>
                <c:pt idx="8">
                  <c:v>3.14</c:v>
                </c:pt>
                <c:pt idx="9">
                  <c:v>3.08</c:v>
                </c:pt>
                <c:pt idx="10">
                  <c:v>2.21</c:v>
                </c:pt>
                <c:pt idx="11">
                  <c:v>0.78</c:v>
                </c:pt>
                <c:pt idx="12">
                  <c:v>0.55000000000000004</c:v>
                </c:pt>
                <c:pt idx="13">
                  <c:v>4.9800000000000004</c:v>
                </c:pt>
                <c:pt idx="14">
                  <c:v>4.22</c:v>
                </c:pt>
                <c:pt idx="15">
                  <c:v>3.97</c:v>
                </c:pt>
                <c:pt idx="16">
                  <c:v>3</c:v>
                </c:pt>
                <c:pt idx="17">
                  <c:v>0.52</c:v>
                </c:pt>
                <c:pt idx="18">
                  <c:v>6.39</c:v>
                </c:pt>
                <c:pt idx="19">
                  <c:v>5.84</c:v>
                </c:pt>
                <c:pt idx="20">
                  <c:v>4.2300000000000004</c:v>
                </c:pt>
                <c:pt idx="21">
                  <c:v>3.05</c:v>
                </c:pt>
                <c:pt idx="22">
                  <c:v>0.53</c:v>
                </c:pt>
                <c:pt idx="24">
                  <c:v>6.89</c:v>
                </c:pt>
                <c:pt idx="25">
                  <c:v>5.18</c:v>
                </c:pt>
                <c:pt idx="26">
                  <c:v>3.03</c:v>
                </c:pt>
                <c:pt idx="27">
                  <c:v>3.16</c:v>
                </c:pt>
                <c:pt idx="28">
                  <c:v>5.91</c:v>
                </c:pt>
                <c:pt idx="31">
                  <c:v>1.65</c:v>
                </c:pt>
                <c:pt idx="32">
                  <c:v>2.79</c:v>
                </c:pt>
                <c:pt idx="33">
                  <c:v>4.1100000000000003</c:v>
                </c:pt>
                <c:pt idx="34">
                  <c:v>7.09</c:v>
                </c:pt>
              </c:numCache>
            </c:numRef>
          </c:xVal>
          <c:yVal>
            <c:numRef>
              <c:f>'Shishkina 2010'!$L$5:$L$39</c:f>
              <c:numCache>
                <c:formatCode>General</c:formatCode>
                <c:ptCount val="35"/>
                <c:pt idx="0">
                  <c:v>0.59</c:v>
                </c:pt>
                <c:pt idx="1">
                  <c:v>0.54</c:v>
                </c:pt>
                <c:pt idx="2">
                  <c:v>0</c:v>
                </c:pt>
                <c:pt idx="3">
                  <c:v>0.96</c:v>
                </c:pt>
                <c:pt idx="4">
                  <c:v>0.73</c:v>
                </c:pt>
                <c:pt idx="5">
                  <c:v>0.44</c:v>
                </c:pt>
                <c:pt idx="6">
                  <c:v>0.34</c:v>
                </c:pt>
                <c:pt idx="7">
                  <c:v>0.34</c:v>
                </c:pt>
                <c:pt idx="8">
                  <c:v>1.46</c:v>
                </c:pt>
                <c:pt idx="9">
                  <c:v>1.49</c:v>
                </c:pt>
                <c:pt idx="10">
                  <c:v>0.94</c:v>
                </c:pt>
                <c:pt idx="11">
                  <c:v>0</c:v>
                </c:pt>
                <c:pt idx="12">
                  <c:v>0</c:v>
                </c:pt>
                <c:pt idx="13">
                  <c:v>2.92</c:v>
                </c:pt>
                <c:pt idx="14">
                  <c:v>2.31</c:v>
                </c:pt>
                <c:pt idx="15">
                  <c:v>2.09</c:v>
                </c:pt>
                <c:pt idx="16">
                  <c:v>1.36</c:v>
                </c:pt>
                <c:pt idx="17">
                  <c:v>0</c:v>
                </c:pt>
                <c:pt idx="18">
                  <c:v>4.16</c:v>
                </c:pt>
                <c:pt idx="19">
                  <c:v>3.62</c:v>
                </c:pt>
                <c:pt idx="20">
                  <c:v>2.2799999999999998</c:v>
                </c:pt>
                <c:pt idx="21">
                  <c:v>1.44</c:v>
                </c:pt>
                <c:pt idx="22">
                  <c:v>0.27</c:v>
                </c:pt>
                <c:pt idx="23">
                  <c:v>0</c:v>
                </c:pt>
                <c:pt idx="24">
                  <c:v>4.59</c:v>
                </c:pt>
                <c:pt idx="25">
                  <c:v>3.22</c:v>
                </c:pt>
                <c:pt idx="26">
                  <c:v>1.43</c:v>
                </c:pt>
                <c:pt idx="27">
                  <c:v>1.49</c:v>
                </c:pt>
                <c:pt idx="28">
                  <c:v>3.73</c:v>
                </c:pt>
                <c:pt idx="29">
                  <c:v>0</c:v>
                </c:pt>
                <c:pt idx="30">
                  <c:v>0</c:v>
                </c:pt>
                <c:pt idx="31">
                  <c:v>0.69</c:v>
                </c:pt>
                <c:pt idx="32">
                  <c:v>1.24</c:v>
                </c:pt>
                <c:pt idx="33">
                  <c:v>2.2000000000000002</c:v>
                </c:pt>
                <c:pt idx="34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60-6648-8714-13BBC1765380}"/>
            </c:ext>
          </c:extLst>
        </c:ser>
        <c:ser>
          <c:idx val="0"/>
          <c:order val="3"/>
          <c:tx>
            <c:v>OH 4500 Peak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'Shishkina 2010'!$P$5:$P$39</c:f>
              <c:numCache>
                <c:formatCode>General</c:formatCode>
                <c:ptCount val="35"/>
                <c:pt idx="0">
                  <c:v>1.71</c:v>
                </c:pt>
                <c:pt idx="1">
                  <c:v>1.52</c:v>
                </c:pt>
                <c:pt idx="3">
                  <c:v>2.34</c:v>
                </c:pt>
                <c:pt idx="4">
                  <c:v>1.9</c:v>
                </c:pt>
                <c:pt idx="5">
                  <c:v>1.23</c:v>
                </c:pt>
                <c:pt idx="6">
                  <c:v>0.85</c:v>
                </c:pt>
                <c:pt idx="7">
                  <c:v>0.85</c:v>
                </c:pt>
                <c:pt idx="8">
                  <c:v>3.14</c:v>
                </c:pt>
                <c:pt idx="9">
                  <c:v>3.08</c:v>
                </c:pt>
                <c:pt idx="10">
                  <c:v>2.21</c:v>
                </c:pt>
                <c:pt idx="11">
                  <c:v>0.78</c:v>
                </c:pt>
                <c:pt idx="12">
                  <c:v>0.55000000000000004</c:v>
                </c:pt>
                <c:pt idx="13">
                  <c:v>4.9800000000000004</c:v>
                </c:pt>
                <c:pt idx="14">
                  <c:v>4.22</c:v>
                </c:pt>
                <c:pt idx="15">
                  <c:v>3.97</c:v>
                </c:pt>
                <c:pt idx="16">
                  <c:v>3</c:v>
                </c:pt>
                <c:pt idx="17">
                  <c:v>0.52</c:v>
                </c:pt>
                <c:pt idx="18">
                  <c:v>6.39</c:v>
                </c:pt>
                <c:pt idx="19">
                  <c:v>5.84</c:v>
                </c:pt>
                <c:pt idx="20">
                  <c:v>4.2300000000000004</c:v>
                </c:pt>
                <c:pt idx="21">
                  <c:v>3.05</c:v>
                </c:pt>
                <c:pt idx="22">
                  <c:v>0.53</c:v>
                </c:pt>
                <c:pt idx="24">
                  <c:v>6.89</c:v>
                </c:pt>
                <c:pt idx="25">
                  <c:v>5.18</c:v>
                </c:pt>
                <c:pt idx="26">
                  <c:v>3.03</c:v>
                </c:pt>
                <c:pt idx="27">
                  <c:v>3.16</c:v>
                </c:pt>
                <c:pt idx="28">
                  <c:v>5.91</c:v>
                </c:pt>
                <c:pt idx="31">
                  <c:v>1.65</c:v>
                </c:pt>
                <c:pt idx="32">
                  <c:v>2.79</c:v>
                </c:pt>
                <c:pt idx="33">
                  <c:v>4.1100000000000003</c:v>
                </c:pt>
                <c:pt idx="34">
                  <c:v>7.09</c:v>
                </c:pt>
              </c:numCache>
            </c:numRef>
          </c:xVal>
          <c:yVal>
            <c:numRef>
              <c:f>'Shishkina 2010'!$N$5:$N$39</c:f>
              <c:numCache>
                <c:formatCode>General</c:formatCode>
                <c:ptCount val="35"/>
                <c:pt idx="0">
                  <c:v>1.1200000000000001</c:v>
                </c:pt>
                <c:pt idx="1">
                  <c:v>0.98</c:v>
                </c:pt>
                <c:pt idx="2">
                  <c:v>0</c:v>
                </c:pt>
                <c:pt idx="3">
                  <c:v>1.38</c:v>
                </c:pt>
                <c:pt idx="4">
                  <c:v>1.17</c:v>
                </c:pt>
                <c:pt idx="5">
                  <c:v>0.79</c:v>
                </c:pt>
                <c:pt idx="6">
                  <c:v>0.51</c:v>
                </c:pt>
                <c:pt idx="7">
                  <c:v>0.51</c:v>
                </c:pt>
                <c:pt idx="8">
                  <c:v>1.68</c:v>
                </c:pt>
                <c:pt idx="9">
                  <c:v>1.6</c:v>
                </c:pt>
                <c:pt idx="10">
                  <c:v>1.27</c:v>
                </c:pt>
                <c:pt idx="11">
                  <c:v>0.78</c:v>
                </c:pt>
                <c:pt idx="12">
                  <c:v>0.55000000000000004</c:v>
                </c:pt>
                <c:pt idx="13">
                  <c:v>2.06</c:v>
                </c:pt>
                <c:pt idx="14">
                  <c:v>1.91</c:v>
                </c:pt>
                <c:pt idx="15">
                  <c:v>1.88</c:v>
                </c:pt>
                <c:pt idx="16">
                  <c:v>1.65</c:v>
                </c:pt>
                <c:pt idx="17">
                  <c:v>0.52</c:v>
                </c:pt>
                <c:pt idx="18">
                  <c:v>2.23</c:v>
                </c:pt>
                <c:pt idx="19">
                  <c:v>2.2200000000000002</c:v>
                </c:pt>
                <c:pt idx="20">
                  <c:v>1.94</c:v>
                </c:pt>
                <c:pt idx="21">
                  <c:v>1.61</c:v>
                </c:pt>
                <c:pt idx="22">
                  <c:v>0.26</c:v>
                </c:pt>
                <c:pt idx="23">
                  <c:v>0</c:v>
                </c:pt>
                <c:pt idx="24">
                  <c:v>2.2999999999999998</c:v>
                </c:pt>
                <c:pt idx="25">
                  <c:v>1.97</c:v>
                </c:pt>
                <c:pt idx="26">
                  <c:v>1.6</c:v>
                </c:pt>
                <c:pt idx="27">
                  <c:v>1.68</c:v>
                </c:pt>
                <c:pt idx="28">
                  <c:v>2.19</c:v>
                </c:pt>
                <c:pt idx="29">
                  <c:v>0</c:v>
                </c:pt>
                <c:pt idx="30">
                  <c:v>0</c:v>
                </c:pt>
                <c:pt idx="31">
                  <c:v>0.96</c:v>
                </c:pt>
                <c:pt idx="32">
                  <c:v>1.55</c:v>
                </c:pt>
                <c:pt idx="33">
                  <c:v>1.91</c:v>
                </c:pt>
                <c:pt idx="34">
                  <c:v>2.2799999999999998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60-6648-8714-13BBC1765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33103"/>
        <c:axId val="1973234735"/>
      </c:scatterChart>
      <c:valAx>
        <c:axId val="1973233103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Total H2O Wt% 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4735"/>
        <c:crosses val="autoZero"/>
        <c:crossBetween val="midCat"/>
      </c:valAx>
      <c:valAx>
        <c:axId val="197323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Concentration H2O</a:t>
                </a:r>
                <a:r>
                  <a:rPr lang="en-US" sz="1600" baseline="0"/>
                  <a:t> or OH wt%</a:t>
                </a:r>
                <a:endParaRPr lang="en-US" sz="1600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3103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Speciation Fraction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66621783801188"/>
          <c:y val="0.10402841536699803"/>
          <c:w val="0.79893554430231539"/>
          <c:h val="0.74848954691474379"/>
        </c:manualLayout>
      </c:layout>
      <c:scatterChart>
        <c:scatterStyle val="lineMarker"/>
        <c:varyColors val="0"/>
        <c:ser>
          <c:idx val="0"/>
          <c:order val="0"/>
          <c:tx>
            <c:v>Allison et al. 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'Allison et al. 2019'!$AC$5:$AC$45</c:f>
              <c:numCache>
                <c:formatCode>0.00</c:formatCode>
                <c:ptCount val="41"/>
                <c:pt idx="0">
                  <c:v>2.39</c:v>
                </c:pt>
                <c:pt idx="2">
                  <c:v>4.76</c:v>
                </c:pt>
                <c:pt idx="4">
                  <c:v>3.9</c:v>
                </c:pt>
                <c:pt idx="6">
                  <c:v>2.64</c:v>
                </c:pt>
                <c:pt idx="8">
                  <c:v>3.39</c:v>
                </c:pt>
                <c:pt idx="10">
                  <c:v>4.1100000000000003</c:v>
                </c:pt>
                <c:pt idx="12">
                  <c:v>2.5499999999999998</c:v>
                </c:pt>
                <c:pt idx="14">
                  <c:v>2.35</c:v>
                </c:pt>
                <c:pt idx="16">
                  <c:v>2.13</c:v>
                </c:pt>
                <c:pt idx="18">
                  <c:v>3.4</c:v>
                </c:pt>
                <c:pt idx="20">
                  <c:v>2.75</c:v>
                </c:pt>
                <c:pt idx="22">
                  <c:v>3.95</c:v>
                </c:pt>
                <c:pt idx="24">
                  <c:v>4.58</c:v>
                </c:pt>
                <c:pt idx="26">
                  <c:v>2.67</c:v>
                </c:pt>
                <c:pt idx="30">
                  <c:v>4.25</c:v>
                </c:pt>
                <c:pt idx="32">
                  <c:v>5.2</c:v>
                </c:pt>
                <c:pt idx="33">
                  <c:v>4.53</c:v>
                </c:pt>
                <c:pt idx="34">
                  <c:v>4.55</c:v>
                </c:pt>
                <c:pt idx="36">
                  <c:v>2.37</c:v>
                </c:pt>
                <c:pt idx="38">
                  <c:v>2.65</c:v>
                </c:pt>
                <c:pt idx="40">
                  <c:v>4.0999999999999996</c:v>
                </c:pt>
              </c:numCache>
            </c:numRef>
          </c:xVal>
          <c:yVal>
            <c:numRef>
              <c:f>'Allison et al. 2019'!$R$5:$R$45</c:f>
              <c:numCache>
                <c:formatCode>0.00</c:formatCode>
                <c:ptCount val="41"/>
                <c:pt idx="0">
                  <c:v>0.66455116000282077</c:v>
                </c:pt>
                <c:pt idx="2">
                  <c:v>0.49332544223055175</c:v>
                </c:pt>
                <c:pt idx="4">
                  <c:v>0.56727664155005386</c:v>
                </c:pt>
                <c:pt idx="6">
                  <c:v>0.68404662336506805</c:v>
                </c:pt>
                <c:pt idx="8">
                  <c:v>0.39217644610903035</c:v>
                </c:pt>
                <c:pt idx="10">
                  <c:v>0.57014542343883656</c:v>
                </c:pt>
                <c:pt idx="12">
                  <c:v>0.87922124744622043</c:v>
                </c:pt>
                <c:pt idx="14">
                  <c:v>0.70249578931250956</c:v>
                </c:pt>
                <c:pt idx="16">
                  <c:v>0.7640845070422535</c:v>
                </c:pt>
                <c:pt idx="18">
                  <c:v>0.62146892655367236</c:v>
                </c:pt>
                <c:pt idx="20">
                  <c:v>0.70383765320474179</c:v>
                </c:pt>
                <c:pt idx="22">
                  <c:v>0.50695012264922323</c:v>
                </c:pt>
                <c:pt idx="24">
                  <c:v>0.48899289304905524</c:v>
                </c:pt>
                <c:pt idx="26">
                  <c:v>0.70098185063969065</c:v>
                </c:pt>
                <c:pt idx="30">
                  <c:v>0.60719520319786802</c:v>
                </c:pt>
                <c:pt idx="32">
                  <c:v>0.49384135325997697</c:v>
                </c:pt>
                <c:pt idx="33">
                  <c:v>0.4524226503210742</c:v>
                </c:pt>
                <c:pt idx="34">
                  <c:v>0.48062015503875966</c:v>
                </c:pt>
                <c:pt idx="36">
                  <c:v>0.70383765320474179</c:v>
                </c:pt>
                <c:pt idx="38">
                  <c:v>0.64921465968586389</c:v>
                </c:pt>
                <c:pt idx="40">
                  <c:v>0.61532152230971127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B-0E48-9263-DD4FB799F7A6}"/>
            </c:ext>
          </c:extLst>
        </c:ser>
        <c:ser>
          <c:idx val="1"/>
          <c:order val="1"/>
          <c:tx>
            <c:v>Shishkina et al. 2010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'Shishkina 2010'!$X$5:$X$36</c:f>
              <c:numCache>
                <c:formatCode>General</c:formatCode>
                <c:ptCount val="32"/>
                <c:pt idx="0">
                  <c:v>1.71</c:v>
                </c:pt>
                <c:pt idx="1">
                  <c:v>1.52</c:v>
                </c:pt>
                <c:pt idx="6">
                  <c:v>0.85</c:v>
                </c:pt>
                <c:pt idx="7">
                  <c:v>0.85</c:v>
                </c:pt>
                <c:pt idx="10">
                  <c:v>2.21</c:v>
                </c:pt>
                <c:pt idx="11">
                  <c:v>0.78</c:v>
                </c:pt>
                <c:pt idx="12">
                  <c:v>0.55000000000000004</c:v>
                </c:pt>
                <c:pt idx="17">
                  <c:v>0.52</c:v>
                </c:pt>
                <c:pt idx="22">
                  <c:v>0.53</c:v>
                </c:pt>
                <c:pt idx="31">
                  <c:v>1.65</c:v>
                </c:pt>
              </c:numCache>
            </c:numRef>
          </c:xVal>
          <c:yVal>
            <c:numRef>
              <c:f>'Shishkina 2010'!$T$5:$T$36</c:f>
              <c:numCache>
                <c:formatCode>General</c:formatCode>
                <c:ptCount val="32"/>
                <c:pt idx="0">
                  <c:v>0.6549707602339182</c:v>
                </c:pt>
                <c:pt idx="1">
                  <c:v>0.64473684210526316</c:v>
                </c:pt>
                <c:pt idx="6">
                  <c:v>0.6</c:v>
                </c:pt>
                <c:pt idx="7">
                  <c:v>0.6</c:v>
                </c:pt>
                <c:pt idx="10">
                  <c:v>0.57466063348416296</c:v>
                </c:pt>
                <c:pt idx="11">
                  <c:v>1</c:v>
                </c:pt>
                <c:pt idx="12">
                  <c:v>1</c:v>
                </c:pt>
                <c:pt idx="17">
                  <c:v>1</c:v>
                </c:pt>
                <c:pt idx="22">
                  <c:v>0.49056603773584906</c:v>
                </c:pt>
                <c:pt idx="31">
                  <c:v>0.58181818181818179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4B-0E48-9263-DD4FB799F7A6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2095083039"/>
        <c:axId val="2089573231"/>
      </c:scatterChart>
      <c:valAx>
        <c:axId val="209508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Total Water NIR peaks wt%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573231"/>
        <c:crosses val="autoZero"/>
        <c:crossBetween val="midCat"/>
      </c:valAx>
      <c:valAx>
        <c:axId val="2089573231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OH/(H2O</a:t>
                </a:r>
                <a:r>
                  <a:rPr lang="en-US" sz="1600" b="1" baseline="0"/>
                  <a:t> Total)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083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28964083950473"/>
          <c:y val="0.66506044852501556"/>
          <c:w val="0.25621139829640255"/>
          <c:h val="0.11798700838070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336550</xdr:colOff>
      <xdr:row>3</xdr:row>
      <xdr:rowOff>31750</xdr:rowOff>
    </xdr:from>
    <xdr:to>
      <xdr:col>72</xdr:col>
      <xdr:colOff>88900</xdr:colOff>
      <xdr:row>26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1EAAC1-81E0-014B-BB18-8BB85C574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266700</xdr:colOff>
      <xdr:row>2</xdr:row>
      <xdr:rowOff>152400</xdr:rowOff>
    </xdr:from>
    <xdr:to>
      <xdr:col>63</xdr:col>
      <xdr:colOff>19050</xdr:colOff>
      <xdr:row>27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F66205-CC92-8F4B-8C23-64FBF8704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711200</xdr:colOff>
      <xdr:row>30</xdr:row>
      <xdr:rowOff>101600</xdr:rowOff>
    </xdr:from>
    <xdr:to>
      <xdr:col>70</xdr:col>
      <xdr:colOff>463550</xdr:colOff>
      <xdr:row>54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523349-B9EB-0F4B-9293-B4F3F3730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292100</xdr:colOff>
      <xdr:row>31</xdr:row>
      <xdr:rowOff>139700</xdr:rowOff>
    </xdr:from>
    <xdr:to>
      <xdr:col>63</xdr:col>
      <xdr:colOff>44450</xdr:colOff>
      <xdr:row>55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9DC4D9-24CD-CA48-8DDB-243CCDDFF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61</xdr:col>
      <xdr:colOff>76200</xdr:colOff>
      <xdr:row>57</xdr:row>
      <xdr:rowOff>12700</xdr:rowOff>
    </xdr:from>
    <xdr:to>
      <xdr:col>69</xdr:col>
      <xdr:colOff>654050</xdr:colOff>
      <xdr:row>80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DA0B129-2DF6-F846-BCB9-D19408023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380999</xdr:colOff>
      <xdr:row>52</xdr:row>
      <xdr:rowOff>33244</xdr:rowOff>
    </xdr:from>
    <xdr:to>
      <xdr:col>54</xdr:col>
      <xdr:colOff>306298</xdr:colOff>
      <xdr:row>82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AB26D8-7051-EF4A-A5AD-B51BDC4D8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49</xdr:col>
      <xdr:colOff>821034</xdr:colOff>
      <xdr:row>47</xdr:row>
      <xdr:rowOff>63500</xdr:rowOff>
    </xdr:from>
    <xdr:to>
      <xdr:col>59</xdr:col>
      <xdr:colOff>673100</xdr:colOff>
      <xdr:row>81</xdr:row>
      <xdr:rowOff>88900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1EA16D6-8544-8C40-B8A6-BC6D433BB2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alphaModFix amt="34000"/>
        </a:blip>
        <a:stretch>
          <a:fillRect/>
        </a:stretch>
      </xdr:blipFill>
      <xdr:spPr>
        <a:xfrm>
          <a:off x="47455434" y="10502900"/>
          <a:ext cx="8107066" cy="6934200"/>
        </a:xfrm>
        <a:prstGeom prst="rect">
          <a:avLst/>
        </a:prstGeom>
      </xdr:spPr>
    </xdr:pic>
    <xdr:clientData/>
  </xdr:twoCellAnchor>
  <xdr:twoCellAnchor>
    <xdr:from>
      <xdr:col>42</xdr:col>
      <xdr:colOff>228600</xdr:colOff>
      <xdr:row>127</xdr:row>
      <xdr:rowOff>50800</xdr:rowOff>
    </xdr:from>
    <xdr:to>
      <xdr:col>52</xdr:col>
      <xdr:colOff>647700</xdr:colOff>
      <xdr:row>150</xdr:row>
      <xdr:rowOff>81924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99BF12C-A875-3049-8D22-A60BE0A12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88</xdr:row>
      <xdr:rowOff>0</xdr:rowOff>
    </xdr:from>
    <xdr:to>
      <xdr:col>55</xdr:col>
      <xdr:colOff>750799</xdr:colOff>
      <xdr:row>118</xdr:row>
      <xdr:rowOff>131856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CBEA3FE-D179-DF4A-8CB7-236854E92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279400</xdr:colOff>
      <xdr:row>15</xdr:row>
      <xdr:rowOff>171450</xdr:rowOff>
    </xdr:from>
    <xdr:to>
      <xdr:col>24</xdr:col>
      <xdr:colOff>241300</xdr:colOff>
      <xdr:row>40</xdr:row>
      <xdr:rowOff>25400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48014CB-C412-0148-B4B6-60A771B0E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615950</xdr:colOff>
      <xdr:row>40</xdr:row>
      <xdr:rowOff>120650</xdr:rowOff>
    </xdr:from>
    <xdr:to>
      <xdr:col>28</xdr:col>
      <xdr:colOff>76200</xdr:colOff>
      <xdr:row>63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5EE2E0-D632-E846-B7B6-378D7C1E8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266698</xdr:colOff>
      <xdr:row>40</xdr:row>
      <xdr:rowOff>114300</xdr:rowOff>
    </xdr:from>
    <xdr:to>
      <xdr:col>19</xdr:col>
      <xdr:colOff>520699</xdr:colOff>
      <xdr:row>68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2C7AC3-7805-8E47-A737-E035BE17D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317500</xdr:colOff>
      <xdr:row>40</xdr:row>
      <xdr:rowOff>76200</xdr:rowOff>
    </xdr:from>
    <xdr:to>
      <xdr:col>36</xdr:col>
      <xdr:colOff>603250</xdr:colOff>
      <xdr:row>63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8916E6-22AE-F544-BC5F-434A5FF1C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101600</xdr:colOff>
      <xdr:row>1</xdr:row>
      <xdr:rowOff>609600</xdr:rowOff>
    </xdr:from>
    <xdr:to>
      <xdr:col>42</xdr:col>
      <xdr:colOff>762000</xdr:colOff>
      <xdr:row>25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0F9A96-7583-224C-B42E-8C54C5215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0.10204</cdr:x>
      <cdr:y>0.68481</cdr:y>
    </cdr:from>
    <cdr:to>
      <cdr:x>0.25306</cdr:x>
      <cdr:y>0.88889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5B43FB19-35C0-5F47-8F51-46A60D241F9F}"/>
            </a:ext>
          </a:extLst>
        </cdr:cNvPr>
        <cdr:cNvSpPr/>
      </cdr:nvSpPr>
      <cdr:spPr>
        <a:xfrm xmlns:a="http://schemas.openxmlformats.org/drawingml/2006/main">
          <a:off x="952502" y="3835400"/>
          <a:ext cx="1409700" cy="1143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  <a:prstDash val="sys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488949</xdr:colOff>
      <xdr:row>31</xdr:row>
      <xdr:rowOff>173850</xdr:rowOff>
    </xdr:from>
    <xdr:to>
      <xdr:col>70</xdr:col>
      <xdr:colOff>778933</xdr:colOff>
      <xdr:row>54</xdr:row>
      <xdr:rowOff>18385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319737-7FB9-814B-AF70-7F4DAB851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</xdr:col>
      <xdr:colOff>282178</xdr:colOff>
      <xdr:row>62</xdr:row>
      <xdr:rowOff>80433</xdr:rowOff>
    </xdr:from>
    <xdr:to>
      <xdr:col>67</xdr:col>
      <xdr:colOff>536179</xdr:colOff>
      <xdr:row>89</xdr:row>
      <xdr:rowOff>194734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7B1EF7-5E7D-2542-9734-5ADE937D59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62</xdr:col>
      <xdr:colOff>254947</xdr:colOff>
      <xdr:row>1</xdr:row>
      <xdr:rowOff>158275</xdr:rowOff>
    </xdr:from>
    <xdr:to>
      <xdr:col>70</xdr:col>
      <xdr:colOff>540697</xdr:colOff>
      <xdr:row>23</xdr:row>
      <xdr:rowOff>663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CA3158-A615-4249-ABD7-36B9C3C91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76</xdr:col>
      <xdr:colOff>775964</xdr:colOff>
      <xdr:row>30</xdr:row>
      <xdr:rowOff>92566</xdr:rowOff>
    </xdr:from>
    <xdr:to>
      <xdr:col>85</xdr:col>
      <xdr:colOff>236216</xdr:colOff>
      <xdr:row>52</xdr:row>
      <xdr:rowOff>137015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A84B84-70A8-4647-8C1E-B1504FD09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78</xdr:col>
      <xdr:colOff>372534</xdr:colOff>
      <xdr:row>1</xdr:row>
      <xdr:rowOff>33868</xdr:rowOff>
    </xdr:from>
    <xdr:to>
      <xdr:col>89</xdr:col>
      <xdr:colOff>757626</xdr:colOff>
      <xdr:row>31</xdr:row>
      <xdr:rowOff>84667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00A813-6B96-8041-B094-9492C7215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656166</xdr:colOff>
      <xdr:row>27</xdr:row>
      <xdr:rowOff>29633</xdr:rowOff>
    </xdr:from>
    <xdr:to>
      <xdr:col>60</xdr:col>
      <xdr:colOff>116417</xdr:colOff>
      <xdr:row>49</xdr:row>
      <xdr:rowOff>65615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3DF697-FE30-954B-BCA3-4FD63738C0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ED5AD-EF37-8D47-8ADA-EFD1B97D38F4}">
  <dimension ref="A1:BD45"/>
  <sheetViews>
    <sheetView workbookViewId="0">
      <pane xSplit="2" ySplit="1" topLeftCell="Q2" activePane="bottomRight" state="frozen"/>
      <selection pane="topRight" activeCell="C1" sqref="C1"/>
      <selection pane="bottomLeft" activeCell="A2" sqref="A2"/>
      <selection pane="bottomRight" activeCell="AI11" sqref="AI11"/>
    </sheetView>
  </sheetViews>
  <sheetFormatPr baseColWidth="10" defaultRowHeight="16"/>
  <cols>
    <col min="4" max="4" width="19.6640625" customWidth="1"/>
    <col min="5" max="5" width="16" customWidth="1"/>
    <col min="6" max="6" width="17.1640625" customWidth="1"/>
    <col min="7" max="7" width="15.6640625" customWidth="1"/>
    <col min="8" max="8" width="15" customWidth="1"/>
    <col min="9" max="9" width="14.6640625" customWidth="1"/>
    <col min="10" max="10" width="25.5" customWidth="1"/>
    <col min="11" max="11" width="24.33203125" customWidth="1"/>
    <col min="16" max="16" width="10.83203125" style="11"/>
    <col min="17" max="17" width="14.33203125" style="11" customWidth="1"/>
    <col min="18" max="33" width="10.83203125" style="11"/>
    <col min="34" max="34" width="13" style="11" customWidth="1"/>
    <col min="35" max="35" width="17" style="11" customWidth="1"/>
    <col min="36" max="36" width="13.83203125" style="11" customWidth="1"/>
    <col min="37" max="37" width="15.83203125" style="11" customWidth="1"/>
    <col min="38" max="42" width="10.83203125" style="11"/>
    <col min="45" max="49" width="10.83203125" style="11"/>
  </cols>
  <sheetData>
    <row r="1" spans="1:56" s="8" customFormat="1" ht="6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6" t="s">
        <v>9</v>
      </c>
      <c r="L1" s="6" t="s">
        <v>10</v>
      </c>
      <c r="N1" s="6" t="s">
        <v>11</v>
      </c>
      <c r="P1" s="9" t="s">
        <v>47</v>
      </c>
      <c r="Q1" s="9"/>
      <c r="R1" s="9" t="s">
        <v>48</v>
      </c>
      <c r="S1" s="9"/>
      <c r="T1" s="10" t="s">
        <v>54</v>
      </c>
      <c r="U1" s="10" t="s">
        <v>55</v>
      </c>
      <c r="V1" s="9"/>
      <c r="W1" s="9" t="s">
        <v>56</v>
      </c>
      <c r="X1" s="9"/>
      <c r="Y1" s="9" t="s">
        <v>49</v>
      </c>
      <c r="Z1" s="9" t="s">
        <v>50</v>
      </c>
      <c r="AA1" s="9"/>
      <c r="AB1" s="9" t="s">
        <v>51</v>
      </c>
      <c r="AC1" s="9" t="s">
        <v>53</v>
      </c>
      <c r="AD1" s="9"/>
      <c r="AE1" s="9" t="s">
        <v>52</v>
      </c>
      <c r="AF1" s="9"/>
      <c r="AG1" s="9"/>
      <c r="AH1" s="9" t="s">
        <v>60</v>
      </c>
      <c r="AI1" s="9" t="s">
        <v>61</v>
      </c>
      <c r="AJ1" s="9" t="s">
        <v>57</v>
      </c>
      <c r="AK1" s="9" t="s">
        <v>46</v>
      </c>
      <c r="AL1" s="8" t="s">
        <v>58</v>
      </c>
      <c r="AN1" s="9" t="s">
        <v>59</v>
      </c>
      <c r="AO1" s="9" t="s">
        <v>62</v>
      </c>
      <c r="AP1" s="9" t="s">
        <v>63</v>
      </c>
      <c r="AR1" s="1" t="s">
        <v>64</v>
      </c>
      <c r="AS1" s="1" t="s">
        <v>65</v>
      </c>
      <c r="AT1" s="1" t="s">
        <v>66</v>
      </c>
      <c r="AU1" s="1" t="s">
        <v>67</v>
      </c>
      <c r="AV1" s="1" t="s">
        <v>68</v>
      </c>
      <c r="AW1" s="1" t="s">
        <v>69</v>
      </c>
      <c r="AX1" s="1" t="s">
        <v>70</v>
      </c>
      <c r="AY1" s="1" t="s">
        <v>71</v>
      </c>
      <c r="AZ1" s="1" t="s">
        <v>72</v>
      </c>
      <c r="BA1" s="1" t="s">
        <v>73</v>
      </c>
      <c r="BB1" s="1" t="s">
        <v>74</v>
      </c>
    </row>
    <row r="2" spans="1:56" ht="34">
      <c r="A2" s="2" t="s">
        <v>12</v>
      </c>
      <c r="B2" s="2" t="s">
        <v>13</v>
      </c>
      <c r="C2" s="2">
        <v>1</v>
      </c>
      <c r="D2" s="2">
        <v>2.2800000000000001E-2</v>
      </c>
      <c r="E2" s="2">
        <v>2548</v>
      </c>
      <c r="F2" s="2">
        <v>5.9400000000000001E-2</v>
      </c>
      <c r="G2" s="2">
        <v>4.9700000000000001E-2</v>
      </c>
      <c r="H2" s="2"/>
      <c r="I2" s="2"/>
      <c r="J2" s="1">
        <v>5.27</v>
      </c>
      <c r="K2" s="3"/>
      <c r="L2" s="2"/>
      <c r="N2" s="2"/>
      <c r="Y2" s="9" t="s">
        <v>44</v>
      </c>
      <c r="Z2" s="9" t="s">
        <v>45</v>
      </c>
      <c r="AE2" s="11">
        <f>SUM(AE5:AE45)</f>
        <v>2.3663240253022337</v>
      </c>
      <c r="AL2" s="9" t="s">
        <v>44</v>
      </c>
      <c r="AM2" s="9" t="s">
        <v>45</v>
      </c>
      <c r="AN2" s="11">
        <f>SUM(AN5:AN45)</f>
        <v>6109.9763172461198</v>
      </c>
      <c r="AR2" s="2">
        <v>52.77</v>
      </c>
      <c r="AS2" s="2">
        <v>1.18</v>
      </c>
      <c r="AT2" s="2">
        <v>17.28</v>
      </c>
      <c r="AU2" s="2">
        <v>7.88</v>
      </c>
      <c r="AV2" s="2">
        <v>0.19</v>
      </c>
      <c r="AW2" s="2">
        <v>5.86</v>
      </c>
      <c r="AX2" s="2">
        <v>9.19</v>
      </c>
      <c r="AY2" s="2">
        <v>3.39</v>
      </c>
      <c r="AZ2" s="2">
        <v>1.5</v>
      </c>
      <c r="BA2" s="2">
        <v>0.76</v>
      </c>
    </row>
    <row r="3" spans="1:56">
      <c r="A3" s="2" t="s">
        <v>12</v>
      </c>
      <c r="B3" s="2" t="s">
        <v>13</v>
      </c>
      <c r="C3" s="2">
        <v>3</v>
      </c>
      <c r="D3" s="2">
        <v>7.7000000000000002E-3</v>
      </c>
      <c r="E3" s="2">
        <v>2548</v>
      </c>
      <c r="F3" s="2">
        <v>1.8599999999999998E-2</v>
      </c>
      <c r="G3" s="2">
        <v>1.83E-2</v>
      </c>
      <c r="H3" s="2"/>
      <c r="I3" s="2">
        <v>0.28100000000000003</v>
      </c>
      <c r="J3" s="2">
        <v>5.26</v>
      </c>
      <c r="K3" s="2"/>
      <c r="L3" s="2"/>
      <c r="N3" s="1">
        <v>2040</v>
      </c>
      <c r="Y3" s="20">
        <v>57.075432978519004</v>
      </c>
      <c r="Z3" s="20">
        <v>43.518090964395817</v>
      </c>
      <c r="AL3" s="11">
        <v>55.715798315055494</v>
      </c>
      <c r="AM3" s="11">
        <v>42.161885623709644</v>
      </c>
      <c r="AR3" s="2">
        <v>52.77</v>
      </c>
      <c r="AS3" s="2">
        <v>1.18</v>
      </c>
      <c r="AT3" s="2">
        <v>17.28</v>
      </c>
      <c r="AU3" s="2">
        <v>7.88</v>
      </c>
      <c r="AV3" s="2">
        <v>0.19</v>
      </c>
      <c r="AW3" s="2">
        <v>5.86</v>
      </c>
      <c r="AX3" s="2">
        <v>9.19</v>
      </c>
      <c r="AY3" s="2">
        <v>3.39</v>
      </c>
      <c r="AZ3" s="2">
        <v>1.5</v>
      </c>
      <c r="BA3" s="2">
        <v>0.76</v>
      </c>
    </row>
    <row r="4" spans="1:56">
      <c r="A4" s="2" t="s">
        <v>12</v>
      </c>
      <c r="B4" s="2" t="s">
        <v>14</v>
      </c>
      <c r="C4" s="2" t="s">
        <v>15</v>
      </c>
      <c r="D4" s="2">
        <v>2.1899999999999999E-2</v>
      </c>
      <c r="E4" s="2">
        <v>2631</v>
      </c>
      <c r="F4" s="2">
        <v>1.61E-2</v>
      </c>
      <c r="G4" s="2">
        <v>3.39E-2</v>
      </c>
      <c r="H4" s="2"/>
      <c r="I4" s="2"/>
      <c r="J4" s="1">
        <v>2.39</v>
      </c>
      <c r="K4" s="3"/>
      <c r="L4" s="2"/>
      <c r="N4" s="2"/>
      <c r="AR4" s="2">
        <v>52.77</v>
      </c>
      <c r="AS4" s="2">
        <v>1.18</v>
      </c>
      <c r="AT4" s="2">
        <v>17.28</v>
      </c>
      <c r="AU4" s="2">
        <v>7.88</v>
      </c>
      <c r="AV4" s="2">
        <v>0.19</v>
      </c>
      <c r="AW4" s="2">
        <v>5.86</v>
      </c>
      <c r="AX4" s="2">
        <v>9.19</v>
      </c>
      <c r="AY4" s="2">
        <v>3.39</v>
      </c>
      <c r="AZ4" s="2">
        <v>1.5</v>
      </c>
      <c r="BA4" s="2">
        <v>0.76</v>
      </c>
    </row>
    <row r="5" spans="1:56">
      <c r="A5" s="2" t="s">
        <v>12</v>
      </c>
      <c r="B5" s="2" t="s">
        <v>14</v>
      </c>
      <c r="C5" s="2" t="s">
        <v>16</v>
      </c>
      <c r="D5" s="2">
        <v>9.7999999999999997E-3</v>
      </c>
      <c r="E5" s="2">
        <v>2631</v>
      </c>
      <c r="F5" s="2">
        <v>7.1000000000000004E-3</v>
      </c>
      <c r="G5" s="2">
        <v>1.52E-2</v>
      </c>
      <c r="H5" s="2">
        <v>1.6379999999999999</v>
      </c>
      <c r="I5" s="2">
        <v>0.55200000000000005</v>
      </c>
      <c r="J5" s="2">
        <v>2.39</v>
      </c>
      <c r="K5" s="2"/>
      <c r="L5" s="2">
        <v>1.82</v>
      </c>
      <c r="N5" s="1">
        <v>3049</v>
      </c>
      <c r="P5" s="11">
        <f>J5-L5</f>
        <v>0.57000000000000006</v>
      </c>
      <c r="R5" s="11">
        <f>(G5/0.67)/(G5/0.67+F5/0.62)</f>
        <v>0.66455116000282077</v>
      </c>
      <c r="T5" s="11">
        <f>R5*H5</f>
        <v>1.0885348000846204</v>
      </c>
      <c r="U5" s="11">
        <f>(1-R5)*H5</f>
        <v>0.54946519991537957</v>
      </c>
      <c r="W5" s="11">
        <f>100*18*H5/(D5*E5*62)</f>
        <v>1.8443688947974084</v>
      </c>
      <c r="Y5" s="11">
        <f>100*18*T5/(D5*E5*$Y$3)</f>
        <v>1.3314310610007327</v>
      </c>
      <c r="Z5" s="11">
        <f>100*18*U5/(D5*E5*$Z$3)</f>
        <v>0.88144645915549769</v>
      </c>
      <c r="AB5" s="11">
        <f>Z5+Y5</f>
        <v>2.2128775201562303</v>
      </c>
      <c r="AC5" s="11">
        <f>J5</f>
        <v>2.39</v>
      </c>
      <c r="AE5" s="11">
        <f>(AC5-AB5)^2</f>
        <v>3.1372372866006651E-2</v>
      </c>
      <c r="AH5" s="11">
        <f>100*18*G5/(D5*E5*0.67)</f>
        <v>1.583778221035006</v>
      </c>
      <c r="AI5" s="11">
        <f>100*18*F5/(D5*E5*0.62)</f>
        <v>0.79945171874612952</v>
      </c>
      <c r="AJ5" s="11">
        <f>SUM(AH5:AI5)</f>
        <v>2.3832299397811356</v>
      </c>
      <c r="AL5" s="11">
        <f>((100*18*H5)/(E5*D5)-$AM$3*AI5)-$AL$3*AH5</f>
        <v>-7.5969883889768681</v>
      </c>
      <c r="AN5" s="11">
        <f>(AL5)^2</f>
        <v>57.714232582249352</v>
      </c>
      <c r="AO5" s="11">
        <f>AL5*(E5*D5)/(100*18)</f>
        <v>-0.10882179401316765</v>
      </c>
      <c r="AP5" s="11">
        <f>((100*18*H5)/(E5*D5)-$AM$3*AH5)/$AL$3</f>
        <v>0.85390134768980153</v>
      </c>
      <c r="AR5" s="2">
        <v>52.77</v>
      </c>
      <c r="AS5" s="2">
        <v>1.18</v>
      </c>
      <c r="AT5" s="2">
        <v>17.28</v>
      </c>
      <c r="AU5" s="2">
        <v>7.88</v>
      </c>
      <c r="AV5" s="2">
        <v>0.19</v>
      </c>
      <c r="AW5" s="2">
        <v>5.86</v>
      </c>
      <c r="AX5" s="2">
        <v>9.19</v>
      </c>
      <c r="AY5" s="2">
        <v>3.39</v>
      </c>
      <c r="AZ5" s="2">
        <v>1.5</v>
      </c>
      <c r="BA5" s="2">
        <v>0.76</v>
      </c>
    </row>
    <row r="6" spans="1:56">
      <c r="A6" s="2" t="s">
        <v>12</v>
      </c>
      <c r="B6" s="2" t="s">
        <v>17</v>
      </c>
      <c r="C6" s="2">
        <v>1</v>
      </c>
      <c r="D6" s="2">
        <v>1.9199999999999998E-2</v>
      </c>
      <c r="E6" s="2">
        <v>2567</v>
      </c>
      <c r="F6" s="2">
        <v>4.2799999999999998E-2</v>
      </c>
      <c r="G6" s="2">
        <v>4.1099999999999998E-2</v>
      </c>
      <c r="H6" s="2"/>
      <c r="I6" s="2"/>
      <c r="J6" s="1">
        <v>4.7699999999999996</v>
      </c>
      <c r="K6" s="3"/>
      <c r="L6" s="2"/>
      <c r="N6" s="2"/>
      <c r="AH6" s="11">
        <f t="shared" ref="AH6:AH45" si="0">100*18*G6/(D6*E6*0.67)</f>
        <v>2.2403322305496283</v>
      </c>
      <c r="AI6" s="11">
        <f t="shared" ref="AI6:AI45" si="1">100*18*F6/(D6*E6*0.62)</f>
        <v>2.5211430438443267</v>
      </c>
      <c r="AJ6" s="11">
        <f t="shared" ref="AJ6:AJ45" si="2">SUM(AH6:AI6)</f>
        <v>4.7614752743939555</v>
      </c>
      <c r="AR6" s="2">
        <v>52.77</v>
      </c>
      <c r="AS6" s="2">
        <v>1.18</v>
      </c>
      <c r="AT6" s="2">
        <v>17.28</v>
      </c>
      <c r="AU6" s="2">
        <v>7.88</v>
      </c>
      <c r="AV6" s="2">
        <v>0.19</v>
      </c>
      <c r="AW6" s="2">
        <v>5.86</v>
      </c>
      <c r="AX6" s="2">
        <v>9.19</v>
      </c>
      <c r="AY6" s="2">
        <v>3.39</v>
      </c>
      <c r="AZ6" s="2">
        <v>1.5</v>
      </c>
      <c r="BA6" s="2">
        <v>0.76</v>
      </c>
    </row>
    <row r="7" spans="1:56">
      <c r="A7" s="2" t="s">
        <v>12</v>
      </c>
      <c r="B7" s="2" t="s">
        <v>17</v>
      </c>
      <c r="C7" s="2">
        <v>4</v>
      </c>
      <c r="D7" s="2">
        <v>5.4000000000000003E-3</v>
      </c>
      <c r="E7" s="2">
        <v>2567</v>
      </c>
      <c r="F7" s="2">
        <v>1.15E-2</v>
      </c>
      <c r="G7" s="2">
        <v>1.21E-2</v>
      </c>
      <c r="H7" s="2">
        <v>1.633</v>
      </c>
      <c r="I7" s="2">
        <v>0.48299999999999998</v>
      </c>
      <c r="J7" s="2">
        <v>4.76</v>
      </c>
      <c r="K7" s="2"/>
      <c r="L7" s="2">
        <v>3.37</v>
      </c>
      <c r="N7" s="1">
        <v>4963</v>
      </c>
      <c r="P7" s="11">
        <f t="shared" ref="P7:P43" si="3">J7-L7</f>
        <v>1.3899999999999997</v>
      </c>
      <c r="R7" s="11">
        <f t="shared" ref="R7" si="4">(G7/0.67)/(G7/0.67+F7/0.62)</f>
        <v>0.49332544223055175</v>
      </c>
      <c r="T7" s="11">
        <f t="shared" ref="T7" si="5">R7*H7</f>
        <v>0.80560044716249102</v>
      </c>
      <c r="U7" s="11">
        <f t="shared" ref="U7" si="6">(1-R7)*H7</f>
        <v>0.82739955283750899</v>
      </c>
      <c r="W7" s="11">
        <f>100*18*H7/(D7*E7*62)</f>
        <v>3.4201674688247441</v>
      </c>
      <c r="Y7" s="11">
        <f>100*18*T7/(D7*E7*$Y$3)</f>
        <v>1.8328349614294293</v>
      </c>
      <c r="Z7" s="11">
        <f>100*18*U7/(D7*E7*$Z$3)</f>
        <v>2.4688705704780203</v>
      </c>
      <c r="AB7" s="11">
        <f t="shared" ref="AB7" si="7">Z7+Y7</f>
        <v>4.3017055319074498</v>
      </c>
      <c r="AC7" s="11">
        <f>J7</f>
        <v>4.76</v>
      </c>
      <c r="AE7" s="11">
        <f t="shared" ref="AE7:AE45" si="8">(AC7-AB7)^2</f>
        <v>0.21003381948423336</v>
      </c>
      <c r="AH7" s="11">
        <f t="shared" si="0"/>
        <v>2.3451112183531118</v>
      </c>
      <c r="AI7" s="11">
        <f t="shared" si="1"/>
        <v>2.4085686400174251</v>
      </c>
      <c r="AJ7" s="11">
        <f t="shared" si="2"/>
        <v>4.7536798583705373</v>
      </c>
      <c r="AL7" s="11">
        <f t="shared" ref="AL7" si="9">((100*18*H7)/(E7*D7)-$AM$3*AI7)-$AL$3*AH7</f>
        <v>-20.15915611827046</v>
      </c>
      <c r="AN7" s="11">
        <f>(AL7)^2</f>
        <v>406.39157540080129</v>
      </c>
      <c r="AO7" s="11">
        <f>AL7*(E7*D7)/(100*18)</f>
        <v>-0.15524566126680081</v>
      </c>
      <c r="AP7" s="11">
        <f>((100*18*H7)/(E7*D7)-$AM$3*AI7)/$AL$3</f>
        <v>1.9832900342739261</v>
      </c>
      <c r="AR7" s="2">
        <v>52.77</v>
      </c>
      <c r="AS7" s="2">
        <v>1.18</v>
      </c>
      <c r="AT7" s="2">
        <v>17.28</v>
      </c>
      <c r="AU7" s="2">
        <v>7.88</v>
      </c>
      <c r="AV7" s="2">
        <v>0.19</v>
      </c>
      <c r="AW7" s="2">
        <v>5.86</v>
      </c>
      <c r="AX7" s="2">
        <v>9.19</v>
      </c>
      <c r="AY7" s="2">
        <v>3.39</v>
      </c>
      <c r="AZ7" s="2">
        <v>1.5</v>
      </c>
      <c r="BA7" s="2">
        <v>0.76</v>
      </c>
    </row>
    <row r="8" spans="1:56">
      <c r="A8" s="2" t="s">
        <v>12</v>
      </c>
      <c r="B8" s="2" t="s">
        <v>18</v>
      </c>
      <c r="C8" s="2" t="s">
        <v>15</v>
      </c>
      <c r="D8" s="2">
        <v>2.0299999999999999E-2</v>
      </c>
      <c r="E8" s="2">
        <v>2585</v>
      </c>
      <c r="F8" s="2">
        <v>3.1399999999999997E-2</v>
      </c>
      <c r="G8" s="2">
        <v>4.2099999999999999E-2</v>
      </c>
      <c r="H8" s="2"/>
      <c r="I8" s="2"/>
      <c r="J8" s="1">
        <v>3.9</v>
      </c>
      <c r="K8" s="3"/>
      <c r="L8" s="2"/>
      <c r="N8" s="2"/>
      <c r="AH8" s="11">
        <f t="shared" si="0"/>
        <v>2.1553768446597039</v>
      </c>
      <c r="AI8" s="11">
        <f t="shared" si="1"/>
        <v>1.7372162308616523</v>
      </c>
      <c r="AJ8" s="11">
        <f t="shared" si="2"/>
        <v>3.892593075521356</v>
      </c>
      <c r="AR8" s="2">
        <v>52.77</v>
      </c>
      <c r="AS8" s="2">
        <v>1.18</v>
      </c>
      <c r="AT8" s="2">
        <v>17.28</v>
      </c>
      <c r="AU8" s="2">
        <v>7.88</v>
      </c>
      <c r="AV8" s="2">
        <v>0.19</v>
      </c>
      <c r="AW8" s="2">
        <v>5.86</v>
      </c>
      <c r="AX8" s="2">
        <v>9.19</v>
      </c>
      <c r="AY8" s="2">
        <v>3.39</v>
      </c>
      <c r="AZ8" s="2">
        <v>1.5</v>
      </c>
      <c r="BA8" s="2">
        <v>0.76</v>
      </c>
    </row>
    <row r="9" spans="1:56">
      <c r="A9" s="2" t="s">
        <v>12</v>
      </c>
      <c r="B9" s="2" t="s">
        <v>18</v>
      </c>
      <c r="C9" s="2" t="s">
        <v>19</v>
      </c>
      <c r="D9" s="2">
        <v>5.5999999999999999E-3</v>
      </c>
      <c r="E9" s="2">
        <v>2585</v>
      </c>
      <c r="F9" s="2">
        <v>8.3999999999999995E-3</v>
      </c>
      <c r="G9" s="2">
        <v>1.1900000000000001E-2</v>
      </c>
      <c r="H9" s="2">
        <v>1.482</v>
      </c>
      <c r="I9" s="2">
        <v>0.56100000000000005</v>
      </c>
      <c r="J9" s="2">
        <v>3.9</v>
      </c>
      <c r="K9" s="2"/>
      <c r="L9" s="2">
        <v>2.93</v>
      </c>
      <c r="N9" s="1">
        <v>5520</v>
      </c>
      <c r="P9" s="11">
        <f t="shared" ref="P9" si="10">J9-L9</f>
        <v>0.96999999999999975</v>
      </c>
      <c r="R9" s="11">
        <f t="shared" ref="R9" si="11">(G9/0.67)/(G9/0.67+F9/0.62)</f>
        <v>0.56727664155005386</v>
      </c>
      <c r="T9" s="11">
        <f t="shared" ref="T9" si="12">R9*H9</f>
        <v>0.84070398277717984</v>
      </c>
      <c r="U9" s="11">
        <f t="shared" ref="U9" si="13">(1-R9)*H9</f>
        <v>0.64129601722282015</v>
      </c>
      <c r="W9" s="11">
        <f t="shared" ref="W9:W45" si="14">100*18*H9/(D9*E9*62)</f>
        <v>2.9722165274670425</v>
      </c>
      <c r="Y9" s="11">
        <f>100*18*T9/(D9*E9*$Y$3)</f>
        <v>1.8315459584569356</v>
      </c>
      <c r="Z9" s="11">
        <f>100*18*U9/(D9*E9*$Z$3)</f>
        <v>1.8323677426293912</v>
      </c>
      <c r="AB9" s="11">
        <f t="shared" ref="AB9" si="15">Z9+Y9</f>
        <v>3.6639137010863267</v>
      </c>
      <c r="AC9" s="11">
        <f t="shared" ref="AC9" si="16">J9</f>
        <v>3.9</v>
      </c>
      <c r="AE9" s="11">
        <f t="shared" si="8"/>
        <v>5.5736740534756232E-2</v>
      </c>
      <c r="AH9" s="11">
        <f t="shared" si="0"/>
        <v>2.2084933167816625</v>
      </c>
      <c r="AI9" s="11">
        <f t="shared" si="1"/>
        <v>1.6846571410744371</v>
      </c>
      <c r="AJ9" s="11">
        <f t="shared" si="2"/>
        <v>3.8931504578560996</v>
      </c>
      <c r="AL9" s="11">
        <f t="shared" ref="AL9" si="17">((100*18*H9)/(E9*D9)-$AM$3*AI9)-$AL$3*AH9</f>
        <v>-9.7988652121445341</v>
      </c>
      <c r="AN9" s="11">
        <f t="shared" ref="AN9:AN45" si="18">(AL9)^2</f>
        <v>96.017759445776349</v>
      </c>
      <c r="AO9" s="11">
        <f>AL9*(E9*D9)/(100*18)</f>
        <v>-7.8804651561669034E-2</v>
      </c>
      <c r="AP9" s="11">
        <f>((100*18*H9)/(E9*D9)-$AM$3*AI9)/$AL$3</f>
        <v>2.0326210236712776</v>
      </c>
      <c r="AR9" s="2">
        <v>52.77</v>
      </c>
      <c r="AS9" s="2">
        <v>1.18</v>
      </c>
      <c r="AT9" s="2">
        <v>17.28</v>
      </c>
      <c r="AU9" s="2">
        <v>7.88</v>
      </c>
      <c r="AV9" s="2">
        <v>0.19</v>
      </c>
      <c r="AW9" s="2">
        <v>5.86</v>
      </c>
      <c r="AX9" s="2">
        <v>9.19</v>
      </c>
      <c r="AY9" s="2">
        <v>3.39</v>
      </c>
      <c r="AZ9" s="2">
        <v>1.5</v>
      </c>
      <c r="BA9" s="2">
        <v>0.76</v>
      </c>
    </row>
    <row r="10" spans="1:56">
      <c r="A10" s="2" t="s">
        <v>20</v>
      </c>
      <c r="B10" s="2" t="s">
        <v>21</v>
      </c>
      <c r="C10" s="2">
        <v>1</v>
      </c>
      <c r="D10" s="2">
        <v>1.8700000000000001E-2</v>
      </c>
      <c r="E10" s="2">
        <v>2719</v>
      </c>
      <c r="F10" s="2">
        <v>1.3299999999999999E-2</v>
      </c>
      <c r="G10" s="2">
        <v>3.5000000000000003E-2</v>
      </c>
      <c r="H10" s="2"/>
      <c r="I10" s="2">
        <v>1.1140000000000001</v>
      </c>
      <c r="J10" s="1">
        <v>2.61</v>
      </c>
      <c r="K10" s="3"/>
      <c r="L10" s="2"/>
      <c r="N10" s="2">
        <v>3071</v>
      </c>
      <c r="AH10" s="11">
        <f t="shared" si="0"/>
        <v>1.8493322046731686</v>
      </c>
      <c r="AI10" s="11">
        <f t="shared" si="1"/>
        <v>0.7594193214674011</v>
      </c>
      <c r="AJ10" s="11">
        <f t="shared" si="2"/>
        <v>2.6087515261405696</v>
      </c>
      <c r="AR10" s="2">
        <v>47.61</v>
      </c>
      <c r="AS10" s="2">
        <v>1.8</v>
      </c>
      <c r="AT10" s="2">
        <v>16.22</v>
      </c>
      <c r="AU10" s="2">
        <v>11.02</v>
      </c>
      <c r="AV10" s="2">
        <v>0.17</v>
      </c>
      <c r="AW10" s="2">
        <v>8.66</v>
      </c>
      <c r="AX10" s="2">
        <v>9.84</v>
      </c>
      <c r="AY10" s="2">
        <v>3.43</v>
      </c>
      <c r="AZ10" s="2">
        <v>0.8</v>
      </c>
      <c r="BA10" s="2">
        <v>0.45</v>
      </c>
    </row>
    <row r="11" spans="1:56">
      <c r="A11" s="2" t="s">
        <v>20</v>
      </c>
      <c r="B11" s="2" t="s">
        <v>21</v>
      </c>
      <c r="C11" s="2">
        <v>3</v>
      </c>
      <c r="D11" s="2">
        <v>6.7999999999999996E-3</v>
      </c>
      <c r="E11" s="2">
        <v>2719</v>
      </c>
      <c r="F11" s="2">
        <v>5.3E-3</v>
      </c>
      <c r="G11" s="2">
        <v>1.24E-2</v>
      </c>
      <c r="H11" s="2">
        <v>1.454</v>
      </c>
      <c r="I11" s="2">
        <v>0.41899999999999998</v>
      </c>
      <c r="J11" s="2">
        <v>2.64</v>
      </c>
      <c r="K11" s="2"/>
      <c r="L11" s="2">
        <v>2.25</v>
      </c>
      <c r="N11" s="1">
        <v>3176</v>
      </c>
      <c r="P11" s="11">
        <f t="shared" si="3"/>
        <v>0.39000000000000012</v>
      </c>
      <c r="R11" s="11">
        <f t="shared" ref="R11" si="19">(G11/0.67)/(G11/0.67+F11/0.62)</f>
        <v>0.68404662336506805</v>
      </c>
      <c r="T11" s="11">
        <f t="shared" ref="T11" si="20">R11*H11</f>
        <v>0.99460379037280888</v>
      </c>
      <c r="U11" s="11">
        <f t="shared" ref="U11" si="21">(1-R11)*H11</f>
        <v>0.45939620962719102</v>
      </c>
      <c r="W11" s="11">
        <f t="shared" si="14"/>
        <v>2.2831113961559422</v>
      </c>
      <c r="Y11" s="11">
        <f>100*18*T11/(D11*E11*$Y$3)</f>
        <v>1.6965055315035964</v>
      </c>
      <c r="Z11" s="11">
        <f>100*18*U11/(D11*E11*$Z$3)</f>
        <v>1.0277132523400221</v>
      </c>
      <c r="AB11" s="11">
        <f t="shared" ref="AB11" si="22">Z11+Y11</f>
        <v>2.7242187838436185</v>
      </c>
      <c r="AC11" s="11">
        <f t="shared" ref="AC11" si="23">J11</f>
        <v>2.64</v>
      </c>
      <c r="AE11" s="11">
        <f t="shared" si="8"/>
        <v>7.0928035520981128E-3</v>
      </c>
      <c r="AH11" s="11">
        <f t="shared" si="0"/>
        <v>1.8017779479815728</v>
      </c>
      <c r="AI11" s="11">
        <f t="shared" si="1"/>
        <v>0.83222079777348656</v>
      </c>
      <c r="AJ11" s="11">
        <f t="shared" si="2"/>
        <v>2.6339987457550595</v>
      </c>
      <c r="AL11" s="11">
        <f t="shared" ref="AL11" si="24">((100*18*H11)/(E11*D11)-$AM$3*AI11)-$AL$3*AH11</f>
        <v>6.077411714014417</v>
      </c>
      <c r="AN11" s="11">
        <f t="shared" si="18"/>
        <v>36.934933141639654</v>
      </c>
      <c r="AO11" s="11">
        <f>AL11*(E11*D11)/(100*18)</f>
        <v>6.242582259041965E-2</v>
      </c>
      <c r="AP11" s="11">
        <f>((100*18*H11)/(E11*D11)-$AM$3*AI11)/$AL$3</f>
        <v>1.9108567352879764</v>
      </c>
      <c r="AR11" s="2">
        <v>47.61</v>
      </c>
      <c r="AS11" s="2">
        <v>1.8</v>
      </c>
      <c r="AT11" s="2">
        <v>16.22</v>
      </c>
      <c r="AU11" s="2">
        <v>11.02</v>
      </c>
      <c r="AV11" s="2">
        <v>0.17</v>
      </c>
      <c r="AW11" s="2">
        <v>8.66</v>
      </c>
      <c r="AX11" s="2">
        <v>9.84</v>
      </c>
      <c r="AY11" s="2">
        <v>3.43</v>
      </c>
      <c r="AZ11" s="2">
        <v>0.8</v>
      </c>
      <c r="BA11" s="2">
        <v>0.45</v>
      </c>
    </row>
    <row r="12" spans="1:56">
      <c r="A12" s="2" t="s">
        <v>20</v>
      </c>
      <c r="B12" s="2" t="s">
        <v>22</v>
      </c>
      <c r="C12" s="2">
        <v>1</v>
      </c>
      <c r="D12" s="2">
        <v>2.1100000000000001E-2</v>
      </c>
      <c r="E12" s="2">
        <v>2695</v>
      </c>
      <c r="F12" s="2">
        <v>2.7400000000000001E-2</v>
      </c>
      <c r="G12" s="2">
        <v>4.0500000000000001E-2</v>
      </c>
      <c r="H12" s="2"/>
      <c r="I12" s="2"/>
      <c r="J12" s="1">
        <v>3.32</v>
      </c>
      <c r="K12" s="3"/>
      <c r="L12" s="2"/>
      <c r="N12" s="2"/>
      <c r="AH12" s="11">
        <f t="shared" si="0"/>
        <v>1.91342525036277</v>
      </c>
      <c r="AI12" s="11">
        <f t="shared" si="1"/>
        <v>1.3989112204762937</v>
      </c>
      <c r="AJ12" s="11">
        <f t="shared" si="2"/>
        <v>3.3123364708390639</v>
      </c>
      <c r="AR12" s="2">
        <v>47.61</v>
      </c>
      <c r="AS12" s="2">
        <v>1.8</v>
      </c>
      <c r="AT12" s="2">
        <v>16.22</v>
      </c>
      <c r="AU12" s="2">
        <v>11.02</v>
      </c>
      <c r="AV12" s="2">
        <v>0.17</v>
      </c>
      <c r="AW12" s="2">
        <v>8.66</v>
      </c>
      <c r="AX12" s="2">
        <v>9.84</v>
      </c>
      <c r="AY12" s="2">
        <v>3.43</v>
      </c>
      <c r="AZ12" s="2">
        <v>0.8</v>
      </c>
      <c r="BA12" s="2">
        <v>0.45</v>
      </c>
      <c r="BD12">
        <v>42.773260826492731</v>
      </c>
    </row>
    <row r="13" spans="1:56">
      <c r="A13" s="2" t="s">
        <v>20</v>
      </c>
      <c r="B13" s="2" t="s">
        <v>22</v>
      </c>
      <c r="C13" s="2">
        <v>4</v>
      </c>
      <c r="D13" s="2">
        <v>5.7000000000000002E-3</v>
      </c>
      <c r="E13" s="2">
        <v>2695</v>
      </c>
      <c r="F13" s="2">
        <v>1.09E-2</v>
      </c>
      <c r="G13" s="2">
        <v>7.6E-3</v>
      </c>
      <c r="H13" s="2">
        <v>1.573</v>
      </c>
      <c r="I13" s="2">
        <v>0.497</v>
      </c>
      <c r="J13" s="2">
        <v>3.39</v>
      </c>
      <c r="K13" s="2"/>
      <c r="L13" s="2">
        <v>2.93</v>
      </c>
      <c r="N13" s="1">
        <v>4535</v>
      </c>
      <c r="P13" s="11">
        <f t="shared" ref="P13" si="25">J13-L13</f>
        <v>0.45999999999999996</v>
      </c>
      <c r="R13" s="11">
        <f t="shared" ref="R13" si="26">(G13/0.67)/(G13/0.67+F13/0.62)</f>
        <v>0.39217644610903035</v>
      </c>
      <c r="T13" s="11">
        <f t="shared" ref="T13" si="27">R13*H13</f>
        <v>0.61689354972950472</v>
      </c>
      <c r="U13" s="11">
        <f t="shared" ref="U13" si="28">(1-R13)*H13</f>
        <v>0.95610645027049523</v>
      </c>
      <c r="W13" s="11">
        <f t="shared" si="14"/>
        <v>2.9728699629257473</v>
      </c>
      <c r="Y13" s="11">
        <f>100*18*T13/(D13*E13*$Y$3)</f>
        <v>1.2664845449194333</v>
      </c>
      <c r="Z13" s="11">
        <f>100*18*U13/(D13*E13*$Z$3)</f>
        <v>2.5743956468857125</v>
      </c>
      <c r="AB13" s="11">
        <f t="shared" ref="AB13" si="29">Z13+Y13</f>
        <v>3.8408801918051458</v>
      </c>
      <c r="AC13" s="11">
        <f t="shared" ref="AC13" si="30">J13</f>
        <v>3.39</v>
      </c>
      <c r="AE13" s="11">
        <f t="shared" si="8"/>
        <v>0.20329294736224499</v>
      </c>
      <c r="AH13" s="11">
        <f t="shared" si="0"/>
        <v>1.3291612438733973</v>
      </c>
      <c r="AI13" s="11">
        <f t="shared" si="1"/>
        <v>2.0600306799676189</v>
      </c>
      <c r="AJ13" s="11">
        <f t="shared" si="2"/>
        <v>3.3891919238410164</v>
      </c>
      <c r="AL13" s="11">
        <f t="shared" ref="AL13" si="31">((100*18*H13)/(E13*D13)-$AM$3*AI13)-$AL$3*AH13</f>
        <v>23.407879999430307</v>
      </c>
      <c r="AN13" s="11">
        <f t="shared" si="18"/>
        <v>547.92884606772941</v>
      </c>
      <c r="AO13" s="11">
        <f>AL13*(E13*D13)/(100*18)</f>
        <v>0.19976674922847149</v>
      </c>
      <c r="AP13" s="11">
        <f>((100*18*H13)/(E13*D13)-$AM$3*AI13)/$AL$3</f>
        <v>1.7492912735476744</v>
      </c>
      <c r="AR13" s="2">
        <v>47.61</v>
      </c>
      <c r="AS13" s="2">
        <v>1.8</v>
      </c>
      <c r="AT13" s="2">
        <v>16.22</v>
      </c>
      <c r="AU13" s="2">
        <v>11.02</v>
      </c>
      <c r="AV13" s="2">
        <v>0.17</v>
      </c>
      <c r="AW13" s="2">
        <v>8.66</v>
      </c>
      <c r="AX13" s="2">
        <v>9.84</v>
      </c>
      <c r="AY13" s="2">
        <v>3.43</v>
      </c>
      <c r="AZ13" s="2">
        <v>0.8</v>
      </c>
      <c r="BA13" s="2">
        <v>0.45</v>
      </c>
    </row>
    <row r="14" spans="1:56">
      <c r="A14" s="2" t="s">
        <v>20</v>
      </c>
      <c r="B14" s="2" t="s">
        <v>23</v>
      </c>
      <c r="C14" s="2">
        <v>1</v>
      </c>
      <c r="D14" s="2">
        <v>2.0299999999999999E-2</v>
      </c>
      <c r="E14" s="2">
        <v>2670</v>
      </c>
      <c r="F14" s="2">
        <v>2.98E-2</v>
      </c>
      <c r="G14" s="2">
        <v>5.0900000000000001E-2</v>
      </c>
      <c r="H14" s="2"/>
      <c r="I14" s="2"/>
      <c r="J14" s="1">
        <v>4.12</v>
      </c>
      <c r="K14" s="3"/>
      <c r="L14" s="2"/>
      <c r="N14" s="2"/>
      <c r="AH14" s="11">
        <f t="shared" si="0"/>
        <v>2.5229473378114138</v>
      </c>
      <c r="AI14" s="11">
        <f t="shared" si="1"/>
        <v>1.5962090926783283</v>
      </c>
      <c r="AJ14" s="11">
        <f t="shared" si="2"/>
        <v>4.1191564304897419</v>
      </c>
      <c r="AR14" s="2">
        <v>47.61</v>
      </c>
      <c r="AS14" s="2">
        <v>1.8</v>
      </c>
      <c r="AT14" s="2">
        <v>16.22</v>
      </c>
      <c r="AU14" s="2">
        <v>11.02</v>
      </c>
      <c r="AV14" s="2">
        <v>0.17</v>
      </c>
      <c r="AW14" s="2">
        <v>8.66</v>
      </c>
      <c r="AX14" s="2">
        <v>9.84</v>
      </c>
      <c r="AY14" s="2">
        <v>3.43</v>
      </c>
      <c r="AZ14" s="2">
        <v>0.8</v>
      </c>
      <c r="BA14" s="2">
        <v>0.45</v>
      </c>
    </row>
    <row r="15" spans="1:56">
      <c r="A15" s="2" t="s">
        <v>20</v>
      </c>
      <c r="B15" s="2" t="s">
        <v>23</v>
      </c>
      <c r="C15" s="2">
        <v>6</v>
      </c>
      <c r="D15" s="2">
        <v>3.7000000000000002E-3</v>
      </c>
      <c r="E15" s="2">
        <v>2670</v>
      </c>
      <c r="F15" s="2">
        <v>6.0000000000000001E-3</v>
      </c>
      <c r="G15" s="2">
        <v>8.6E-3</v>
      </c>
      <c r="H15" s="2">
        <v>1.1200000000000001</v>
      </c>
      <c r="I15" s="2">
        <v>0.42899999999999999</v>
      </c>
      <c r="J15" s="2">
        <v>4.1100000000000003</v>
      </c>
      <c r="K15" s="2"/>
      <c r="L15" s="2">
        <v>3.24</v>
      </c>
      <c r="N15" s="1">
        <v>6086</v>
      </c>
      <c r="P15" s="11">
        <f t="shared" si="3"/>
        <v>0.87000000000000011</v>
      </c>
      <c r="R15" s="11">
        <f t="shared" ref="R15" si="32">(G15/0.67)/(G15/0.67+F15/0.62)</f>
        <v>0.57014542343883656</v>
      </c>
      <c r="T15" s="11">
        <f t="shared" ref="T15" si="33">R15*H15</f>
        <v>0.63856287425149705</v>
      </c>
      <c r="U15" s="11">
        <f t="shared" ref="U15" si="34">(1-R15)*H15</f>
        <v>0.48143712574850311</v>
      </c>
      <c r="W15" s="11">
        <f t="shared" si="14"/>
        <v>3.2914393189855322</v>
      </c>
      <c r="Y15" s="11">
        <f>100*18*T15/(D15*E15*$Y$3)</f>
        <v>2.038515275513658</v>
      </c>
      <c r="Z15" s="11">
        <f>100*18*U15/(D15*E15*$Z$3)</f>
        <v>2.015715621937642</v>
      </c>
      <c r="AB15" s="11">
        <f t="shared" ref="AB15" si="35">Z15+Y15</f>
        <v>4.0542308974512995</v>
      </c>
      <c r="AC15" s="11">
        <f t="shared" ref="AC15" si="36">J15</f>
        <v>4.1100000000000003</v>
      </c>
      <c r="AE15" s="11">
        <f t="shared" si="8"/>
        <v>3.1101927990875083E-3</v>
      </c>
      <c r="AH15" s="11">
        <f t="shared" si="0"/>
        <v>2.3387465949934509</v>
      </c>
      <c r="AI15" s="11">
        <f t="shared" si="1"/>
        <v>1.7632710637422491</v>
      </c>
      <c r="AJ15" s="11">
        <f t="shared" si="2"/>
        <v>4.1020176587356998</v>
      </c>
      <c r="AL15" s="11">
        <f t="shared" ref="AL15" si="37">((100*18*H15)/(E15*D15)-$AM$3*AI15)-$AL$3*AH15</f>
        <v>-0.57872873267243108</v>
      </c>
      <c r="AN15" s="11">
        <f t="shared" si="18"/>
        <v>0.33492694602063822</v>
      </c>
      <c r="AO15" s="11">
        <f>AL15*(E15*D15)/(100*18)</f>
        <v>-3.1762561944838593E-3</v>
      </c>
      <c r="AP15" s="11">
        <f>((100*18*H15)/(E15*D15)-$AM$3*AI15)/$AL$3</f>
        <v>2.3283594382053545</v>
      </c>
      <c r="AR15" s="2">
        <v>47.61</v>
      </c>
      <c r="AS15" s="2">
        <v>1.8</v>
      </c>
      <c r="AT15" s="2">
        <v>16.22</v>
      </c>
      <c r="AU15" s="2">
        <v>11.02</v>
      </c>
      <c r="AV15" s="2">
        <v>0.17</v>
      </c>
      <c r="AW15" s="2">
        <v>8.66</v>
      </c>
      <c r="AX15" s="2">
        <v>9.84</v>
      </c>
      <c r="AY15" s="2">
        <v>3.43</v>
      </c>
      <c r="AZ15" s="2">
        <v>0.8</v>
      </c>
      <c r="BA15" s="2">
        <v>0.45</v>
      </c>
    </row>
    <row r="16" spans="1:56">
      <c r="A16" s="2" t="s">
        <v>24</v>
      </c>
      <c r="B16" s="2" t="s">
        <v>25</v>
      </c>
      <c r="C16" s="2">
        <v>2</v>
      </c>
      <c r="D16" s="2">
        <v>1.04E-2</v>
      </c>
      <c r="E16" s="2">
        <v>2626</v>
      </c>
      <c r="F16" s="2">
        <v>7.4999999999999997E-3</v>
      </c>
      <c r="G16" s="2">
        <v>1.7500000000000002E-2</v>
      </c>
      <c r="H16" s="2"/>
      <c r="I16" s="2">
        <v>0.49399999999999999</v>
      </c>
      <c r="J16" s="1">
        <v>2.52</v>
      </c>
      <c r="K16" s="3"/>
      <c r="L16" s="2"/>
      <c r="N16" s="2">
        <v>3388</v>
      </c>
      <c r="AH16" s="11">
        <f t="shared" si="0"/>
        <v>1.7215026280513772</v>
      </c>
      <c r="AI16" s="11">
        <f t="shared" si="1"/>
        <v>0.79728577935098355</v>
      </c>
      <c r="AJ16" s="11">
        <f t="shared" si="2"/>
        <v>2.5187884074023605</v>
      </c>
      <c r="AR16" s="2">
        <v>47.49</v>
      </c>
      <c r="AS16" s="2">
        <v>2.79</v>
      </c>
      <c r="AT16" s="2">
        <v>18.829999999999998</v>
      </c>
      <c r="AU16" s="2">
        <v>10.36</v>
      </c>
      <c r="AV16" s="2">
        <v>0.28999999999999998</v>
      </c>
      <c r="AW16" s="2">
        <v>3.31</v>
      </c>
      <c r="AX16" s="2">
        <v>6.95</v>
      </c>
      <c r="AY16" s="2">
        <v>6.03</v>
      </c>
      <c r="AZ16" s="2">
        <v>2.78</v>
      </c>
      <c r="BA16" s="2">
        <v>1.17</v>
      </c>
    </row>
    <row r="17" spans="1:53">
      <c r="A17" s="2" t="s">
        <v>24</v>
      </c>
      <c r="B17" s="2" t="s">
        <v>25</v>
      </c>
      <c r="C17" s="2" t="s">
        <v>26</v>
      </c>
      <c r="D17" s="2">
        <v>5.4000000000000003E-3</v>
      </c>
      <c r="E17" s="2">
        <v>2626</v>
      </c>
      <c r="F17" s="2">
        <v>1.5E-3</v>
      </c>
      <c r="G17" s="2">
        <v>1.18E-2</v>
      </c>
      <c r="H17" s="2">
        <v>1.2769999999999999</v>
      </c>
      <c r="I17" s="2">
        <v>0.255</v>
      </c>
      <c r="J17" s="2">
        <v>2.5499999999999998</v>
      </c>
      <c r="K17" s="2"/>
      <c r="L17" s="2">
        <v>2.58</v>
      </c>
      <c r="N17" s="1">
        <v>3368</v>
      </c>
      <c r="P17" s="11">
        <f>J17-L17</f>
        <v>-3.0000000000000249E-2</v>
      </c>
      <c r="R17" s="11">
        <f t="shared" ref="R17" si="38">(G17/0.67)/(G17/0.67+F17/0.62)</f>
        <v>0.87922124744622043</v>
      </c>
      <c r="T17" s="11">
        <f>R17*H17</f>
        <v>1.1227655329888233</v>
      </c>
      <c r="U17" s="11">
        <f>(1-R17)*H17</f>
        <v>0.15423446701117649</v>
      </c>
      <c r="W17" s="11">
        <f t="shared" si="14"/>
        <v>2.6144674020751952</v>
      </c>
      <c r="Y17" s="11">
        <f>100*18*T17/(D17*E17*$Y$3)</f>
        <v>2.4970306940038571</v>
      </c>
      <c r="Z17" s="11">
        <f>100*18*U17/(D17*E17*$Z$3)</f>
        <v>0.44987890033498179</v>
      </c>
      <c r="AB17" s="11">
        <f t="shared" ref="AB17" si="39">Z17+Y17</f>
        <v>2.9469095943388388</v>
      </c>
      <c r="AC17" s="11">
        <f t="shared" ref="AC17" si="40">J17</f>
        <v>2.5499999999999998</v>
      </c>
      <c r="AE17" s="11">
        <f t="shared" si="8"/>
        <v>0.15753722607822174</v>
      </c>
      <c r="AH17" s="11">
        <f t="shared" si="0"/>
        <v>2.2355852117932802</v>
      </c>
      <c r="AI17" s="11">
        <f t="shared" si="1"/>
        <v>0.30710267056482327</v>
      </c>
      <c r="AJ17" s="11">
        <f t="shared" si="2"/>
        <v>2.5426878823581034</v>
      </c>
      <c r="AL17" s="11">
        <f t="shared" ref="AL17" si="41">((100*18*H17)/(E17*D17)-$AM$3*AI17)-$AL$3*AH17</f>
        <v>24.591536481177187</v>
      </c>
      <c r="AN17" s="11">
        <f t="shared" si="18"/>
        <v>604.7436665050684</v>
      </c>
      <c r="AO17" s="11">
        <f>AL17*(E17*D17)/(100*18)</f>
        <v>0.19373212439871387</v>
      </c>
      <c r="AP17" s="11">
        <f>((100*18*H17)/(E17*D17)-$AM$3*AI17)/$AL$3</f>
        <v>2.6769597810334029</v>
      </c>
      <c r="AR17" s="2">
        <v>47.49</v>
      </c>
      <c r="AS17" s="2">
        <v>2.79</v>
      </c>
      <c r="AT17" s="2">
        <v>18.829999999999998</v>
      </c>
      <c r="AU17" s="2">
        <v>10.36</v>
      </c>
      <c r="AV17" s="2">
        <v>0.28999999999999998</v>
      </c>
      <c r="AW17" s="2">
        <v>3.31</v>
      </c>
      <c r="AX17" s="2">
        <v>6.95</v>
      </c>
      <c r="AY17" s="2">
        <v>6.03</v>
      </c>
      <c r="AZ17" s="2">
        <v>2.78</v>
      </c>
      <c r="BA17" s="2">
        <v>1.17</v>
      </c>
    </row>
    <row r="18" spans="1:53">
      <c r="A18" s="2" t="s">
        <v>24</v>
      </c>
      <c r="B18" s="2" t="s">
        <v>27</v>
      </c>
      <c r="C18" s="2">
        <v>1</v>
      </c>
      <c r="D18" s="2">
        <v>1.9300000000000001E-2</v>
      </c>
      <c r="E18" s="2">
        <v>2623</v>
      </c>
      <c r="F18" s="2">
        <v>1.14E-2</v>
      </c>
      <c r="G18" s="2">
        <v>3.1399999999999997E-2</v>
      </c>
      <c r="H18" s="2"/>
      <c r="I18" s="2"/>
      <c r="J18" s="1">
        <v>2.3199999999999998</v>
      </c>
      <c r="K18" s="3"/>
      <c r="L18" s="2"/>
      <c r="N18" s="2"/>
      <c r="AH18" s="11">
        <f t="shared" si="0"/>
        <v>1.6663711992798629</v>
      </c>
      <c r="AI18" s="11">
        <f t="shared" si="1"/>
        <v>0.65377764639919844</v>
      </c>
      <c r="AJ18" s="11">
        <f t="shared" si="2"/>
        <v>2.3201488456790615</v>
      </c>
      <c r="AR18" s="2">
        <v>47.49</v>
      </c>
      <c r="AS18" s="2">
        <v>2.79</v>
      </c>
      <c r="AT18" s="2">
        <v>18.829999999999998</v>
      </c>
      <c r="AU18" s="2">
        <v>10.36</v>
      </c>
      <c r="AV18" s="2">
        <v>0.28999999999999998</v>
      </c>
      <c r="AW18" s="2">
        <v>3.31</v>
      </c>
      <c r="AX18" s="2">
        <v>6.95</v>
      </c>
      <c r="AY18" s="2">
        <v>6.03</v>
      </c>
      <c r="AZ18" s="2">
        <v>2.78</v>
      </c>
      <c r="BA18" s="2">
        <v>1.17</v>
      </c>
    </row>
    <row r="19" spans="1:53">
      <c r="A19" s="2" t="s">
        <v>24</v>
      </c>
      <c r="B19" s="2" t="s">
        <v>27</v>
      </c>
      <c r="C19" s="2">
        <v>5</v>
      </c>
      <c r="D19" s="2">
        <v>4.5999999999999999E-3</v>
      </c>
      <c r="E19" s="2">
        <v>2623</v>
      </c>
      <c r="F19" s="2">
        <v>2.8999999999999998E-3</v>
      </c>
      <c r="G19" s="2">
        <v>7.4000000000000003E-3</v>
      </c>
      <c r="H19" s="2">
        <v>0.91100000000000003</v>
      </c>
      <c r="I19" s="2">
        <v>0.34699999999999998</v>
      </c>
      <c r="J19" s="2">
        <v>2.35</v>
      </c>
      <c r="K19" s="2"/>
      <c r="L19" s="2">
        <v>2.16</v>
      </c>
      <c r="N19" s="1">
        <v>5386</v>
      </c>
      <c r="P19" s="11">
        <f t="shared" si="3"/>
        <v>0.18999999999999995</v>
      </c>
      <c r="R19" s="11">
        <f t="shared" ref="R19" si="42">(G19/0.67)/(G19/0.67+F19/0.62)</f>
        <v>0.70249578931250956</v>
      </c>
      <c r="T19" s="11">
        <f t="shared" ref="T19" si="43">R19*H19</f>
        <v>0.63997366406369627</v>
      </c>
      <c r="U19" s="11">
        <f t="shared" ref="U19" si="44">(1-R19)*H19</f>
        <v>0.27102633593630382</v>
      </c>
      <c r="W19" s="11">
        <f t="shared" si="14"/>
        <v>2.1920127216408525</v>
      </c>
      <c r="Y19" s="11">
        <f>100*18*T19/(D19*E19*$Y$3)</f>
        <v>1.6727431901288541</v>
      </c>
      <c r="Z19" s="11">
        <f>100*18*U19/(D19*E19*$Z$3)</f>
        <v>0.92909054619006326</v>
      </c>
      <c r="AB19" s="11">
        <f t="shared" ref="AB19" si="45">Z19+Y19</f>
        <v>2.6018337363189175</v>
      </c>
      <c r="AC19" s="11">
        <f t="shared" ref="AC19" si="46">J19</f>
        <v>2.35</v>
      </c>
      <c r="AE19" s="11">
        <f t="shared" si="8"/>
        <v>6.3420230748346004E-2</v>
      </c>
      <c r="AH19" s="11">
        <f t="shared" si="0"/>
        <v>1.6476816303042794</v>
      </c>
      <c r="AI19" s="11">
        <f t="shared" si="1"/>
        <v>0.69778670612057858</v>
      </c>
      <c r="AJ19" s="11">
        <f t="shared" si="2"/>
        <v>2.3454683364248581</v>
      </c>
      <c r="AL19" s="11">
        <f t="shared" ref="AL19" si="47">((100*18*H19)/(E19*D19)-$AM$3*AI19)-$AL$3*AH19</f>
        <v>14.682888047076844</v>
      </c>
      <c r="AN19" s="11">
        <f t="shared" si="18"/>
        <v>215.58720140299206</v>
      </c>
      <c r="AO19" s="11">
        <f>AL19*(E19*D19)/(100*18)</f>
        <v>9.8422661443566539E-2</v>
      </c>
      <c r="AP19" s="11">
        <f>((100*18*H19)/(E19*D19)-$AM$3*AI19)/$AL$3</f>
        <v>1.9112134918428989</v>
      </c>
      <c r="AR19" s="2">
        <v>47.49</v>
      </c>
      <c r="AS19" s="2">
        <v>2.79</v>
      </c>
      <c r="AT19" s="2">
        <v>18.829999999999998</v>
      </c>
      <c r="AU19" s="2">
        <v>10.36</v>
      </c>
      <c r="AV19" s="2">
        <v>0.28999999999999998</v>
      </c>
      <c r="AW19" s="2">
        <v>3.31</v>
      </c>
      <c r="AX19" s="2">
        <v>6.95</v>
      </c>
      <c r="AY19" s="2">
        <v>6.03</v>
      </c>
      <c r="AZ19" s="2">
        <v>2.78</v>
      </c>
      <c r="BA19" s="2">
        <v>1.17</v>
      </c>
    </row>
    <row r="20" spans="1:53">
      <c r="A20" s="2" t="s">
        <v>24</v>
      </c>
      <c r="B20" s="2" t="s">
        <v>28</v>
      </c>
      <c r="C20" s="2">
        <v>1</v>
      </c>
      <c r="D20" s="2">
        <v>2.3599999999999999E-2</v>
      </c>
      <c r="E20" s="2">
        <v>2621</v>
      </c>
      <c r="F20" s="2">
        <v>1.3599999999999999E-2</v>
      </c>
      <c r="G20" s="2">
        <v>3.4099999999999998E-2</v>
      </c>
      <c r="H20" s="2"/>
      <c r="I20" s="2"/>
      <c r="J20" s="1">
        <v>2.12</v>
      </c>
      <c r="K20" s="3"/>
      <c r="L20" s="2"/>
      <c r="N20" s="2"/>
      <c r="AH20" s="11">
        <f t="shared" si="0"/>
        <v>1.481061380028768</v>
      </c>
      <c r="AI20" s="11">
        <f t="shared" si="1"/>
        <v>0.63832330407823923</v>
      </c>
      <c r="AJ20" s="11">
        <f t="shared" si="2"/>
        <v>2.1193846841070072</v>
      </c>
      <c r="AR20" s="2">
        <v>47.49</v>
      </c>
      <c r="AS20" s="2">
        <v>2.79</v>
      </c>
      <c r="AT20" s="2">
        <v>18.829999999999998</v>
      </c>
      <c r="AU20" s="2">
        <v>10.36</v>
      </c>
      <c r="AV20" s="2">
        <v>0.28999999999999998</v>
      </c>
      <c r="AW20" s="2">
        <v>3.31</v>
      </c>
      <c r="AX20" s="2">
        <v>6.95</v>
      </c>
      <c r="AY20" s="2">
        <v>6.03</v>
      </c>
      <c r="AZ20" s="2">
        <v>2.78</v>
      </c>
      <c r="BA20" s="2">
        <v>1.17</v>
      </c>
    </row>
    <row r="21" spans="1:53">
      <c r="A21" s="2" t="s">
        <v>24</v>
      </c>
      <c r="B21" s="2" t="s">
        <v>28</v>
      </c>
      <c r="C21" s="2">
        <v>4</v>
      </c>
      <c r="D21" s="2">
        <v>5.3E-3</v>
      </c>
      <c r="E21" s="2">
        <v>2621</v>
      </c>
      <c r="F21" s="2">
        <v>2.3999999999999998E-3</v>
      </c>
      <c r="G21" s="2">
        <v>8.3999999999999995E-3</v>
      </c>
      <c r="H21" s="2">
        <v>0.90500000000000003</v>
      </c>
      <c r="I21" s="2">
        <v>0.501</v>
      </c>
      <c r="J21" s="2">
        <v>2.13</v>
      </c>
      <c r="K21" s="2"/>
      <c r="L21" s="2">
        <v>1.86</v>
      </c>
      <c r="N21" s="1">
        <v>6754</v>
      </c>
      <c r="P21" s="11">
        <f t="shared" ref="P21" si="48">J21-L21</f>
        <v>0.2699999999999998</v>
      </c>
      <c r="R21" s="11">
        <f t="shared" ref="R21" si="49">(G21/0.67)/(G21/0.67+F21/0.62)</f>
        <v>0.7640845070422535</v>
      </c>
      <c r="T21" s="11">
        <f t="shared" ref="T21" si="50">R21*H21</f>
        <v>0.6914964788732394</v>
      </c>
      <c r="U21" s="11">
        <f t="shared" ref="U21" si="51">(1-R21)*H21</f>
        <v>0.21350352112676058</v>
      </c>
      <c r="W21" s="11">
        <f t="shared" si="14"/>
        <v>1.8914135860853267</v>
      </c>
      <c r="Y21" s="11">
        <f>100*18*T21/(D21*E21*$Y$3)</f>
        <v>1.5698941560551734</v>
      </c>
      <c r="Z21" s="11">
        <f>100*18*U21/(D21*E21*$Z$3)</f>
        <v>0.63571845724181164</v>
      </c>
      <c r="AB21" s="11">
        <f t="shared" ref="AB21" si="52">Z21+Y21</f>
        <v>2.2056126132969851</v>
      </c>
      <c r="AC21" s="11">
        <f t="shared" ref="AC21" si="53">J21</f>
        <v>2.13</v>
      </c>
      <c r="AE21" s="11">
        <f t="shared" si="8"/>
        <v>5.7172672895994241E-3</v>
      </c>
      <c r="AH21" s="11">
        <f t="shared" si="0"/>
        <v>1.6245537983561276</v>
      </c>
      <c r="AI21" s="11">
        <f t="shared" si="1"/>
        <v>0.50159034327124674</v>
      </c>
      <c r="AJ21" s="11">
        <f t="shared" si="2"/>
        <v>2.1261441416273743</v>
      </c>
      <c r="AL21" s="11">
        <f t="shared" ref="AL21" si="54">((100*18*H21)/(E21*D21)-$AM$3*AI21)-$AL$3*AH21</f>
        <v>5.6063358731633599</v>
      </c>
      <c r="AN21" s="11">
        <f t="shared" si="18"/>
        <v>31.431001922718373</v>
      </c>
      <c r="AO21" s="11">
        <f>AL21*(E21*D21)/(100*18)</f>
        <v>4.3266274174930099E-2</v>
      </c>
      <c r="AP21" s="11">
        <f>((100*18*H21)/(E21*D21)-$AM$3*AI21)/$AL$3</f>
        <v>1.7251776078089021</v>
      </c>
      <c r="AR21" s="2">
        <v>47.49</v>
      </c>
      <c r="AS21" s="2">
        <v>2.79</v>
      </c>
      <c r="AT21" s="2">
        <v>18.829999999999998</v>
      </c>
      <c r="AU21" s="2">
        <v>10.36</v>
      </c>
      <c r="AV21" s="2">
        <v>0.28999999999999998</v>
      </c>
      <c r="AW21" s="2">
        <v>3.31</v>
      </c>
      <c r="AX21" s="2">
        <v>6.95</v>
      </c>
      <c r="AY21" s="2">
        <v>6.03</v>
      </c>
      <c r="AZ21" s="2">
        <v>2.78</v>
      </c>
      <c r="BA21" s="2">
        <v>1.17</v>
      </c>
    </row>
    <row r="22" spans="1:53">
      <c r="A22" s="2" t="s">
        <v>29</v>
      </c>
      <c r="B22" s="2" t="s">
        <v>30</v>
      </c>
      <c r="C22" s="2">
        <v>1</v>
      </c>
      <c r="D22" s="2">
        <v>2.12E-2</v>
      </c>
      <c r="E22" s="2">
        <v>2639</v>
      </c>
      <c r="F22" s="2">
        <v>2.5000000000000001E-2</v>
      </c>
      <c r="G22" s="2">
        <v>4.4400000000000002E-2</v>
      </c>
      <c r="H22" s="2"/>
      <c r="I22" s="2"/>
      <c r="J22" s="1">
        <v>3.43</v>
      </c>
      <c r="K22" s="3"/>
      <c r="L22" s="2"/>
      <c r="N22" s="2"/>
      <c r="AH22" s="11">
        <f t="shared" si="0"/>
        <v>2.1320894508631811</v>
      </c>
      <c r="AI22" s="11">
        <f t="shared" si="1"/>
        <v>1.2973153989377466</v>
      </c>
      <c r="AJ22" s="11">
        <f t="shared" si="2"/>
        <v>3.4294048498009277</v>
      </c>
      <c r="AR22" s="2">
        <v>48.69</v>
      </c>
      <c r="AS22" s="2">
        <v>0.98</v>
      </c>
      <c r="AT22" s="2">
        <v>15.26</v>
      </c>
      <c r="AU22" s="2">
        <v>8.15</v>
      </c>
      <c r="AV22" s="2">
        <v>0.23</v>
      </c>
      <c r="AW22" s="2">
        <v>6.68</v>
      </c>
      <c r="AX22" s="2">
        <v>11.6</v>
      </c>
      <c r="AY22" s="2">
        <v>1.93</v>
      </c>
      <c r="AZ22" s="2">
        <v>5.86</v>
      </c>
      <c r="BA22" s="2">
        <v>0.62</v>
      </c>
    </row>
    <row r="23" spans="1:53">
      <c r="A23" s="2" t="s">
        <v>29</v>
      </c>
      <c r="B23" s="2" t="s">
        <v>30</v>
      </c>
      <c r="C23" s="2">
        <v>4</v>
      </c>
      <c r="D23" s="2">
        <v>5.3E-3</v>
      </c>
      <c r="E23" s="2">
        <v>2639</v>
      </c>
      <c r="F23" s="2">
        <v>6.1999999999999998E-3</v>
      </c>
      <c r="G23" s="2">
        <v>1.0999999999999999E-2</v>
      </c>
      <c r="H23" s="2">
        <v>1.218</v>
      </c>
      <c r="I23" s="2">
        <v>0.58199999999999996</v>
      </c>
      <c r="J23" s="2">
        <v>3.4</v>
      </c>
      <c r="K23" s="2"/>
      <c r="L23" s="2">
        <v>2.4900000000000002</v>
      </c>
      <c r="N23" s="1">
        <v>4963</v>
      </c>
      <c r="P23" s="11">
        <f t="shared" si="3"/>
        <v>0.9099999999999997</v>
      </c>
      <c r="R23" s="11">
        <f t="shared" ref="R23" si="55">(G23/0.67)/(G23/0.67+F23/0.62)</f>
        <v>0.62146892655367236</v>
      </c>
      <c r="T23" s="11">
        <f t="shared" ref="T23" si="56">R23*H23</f>
        <v>0.75694915254237294</v>
      </c>
      <c r="U23" s="11">
        <f t="shared" ref="U23" si="57">(1-R23)*H23</f>
        <v>0.46105084745762703</v>
      </c>
      <c r="W23" s="11">
        <f t="shared" si="14"/>
        <v>2.5282082494498805</v>
      </c>
      <c r="Y23" s="11">
        <f>100*18*T23/(D23*E23*$Y$3)</f>
        <v>1.7067689663226557</v>
      </c>
      <c r="Z23" s="11">
        <f>100*18*U23/(D23*E23*$Z$3)</f>
        <v>1.363440638222662</v>
      </c>
      <c r="AB23" s="11">
        <f t="shared" ref="AB23" si="58">Z23+Y23</f>
        <v>3.070209604545318</v>
      </c>
      <c r="AC23" s="11">
        <f t="shared" ref="AC23" si="59">J23</f>
        <v>3.4</v>
      </c>
      <c r="AE23" s="11">
        <f t="shared" si="8"/>
        <v>0.10876170493415549</v>
      </c>
      <c r="AH23" s="11">
        <f t="shared" si="0"/>
        <v>2.1128814377923413</v>
      </c>
      <c r="AI23" s="11">
        <f t="shared" si="1"/>
        <v>1.2869368757462447</v>
      </c>
      <c r="AJ23" s="11">
        <f t="shared" si="2"/>
        <v>3.399818313538586</v>
      </c>
      <c r="AL23" s="11">
        <f t="shared" ref="AL23" si="60">((100*18*H23)/(E23*D23)-$AM$3*AI23)-$AL$3*AH23</f>
        <v>-15.231649945917354</v>
      </c>
      <c r="AN23" s="11">
        <f t="shared" si="18"/>
        <v>232.00316007496414</v>
      </c>
      <c r="AO23" s="11">
        <f>AL23*(E23*D23)/(100*18)</f>
        <v>-0.11835584349920125</v>
      </c>
      <c r="AP23" s="11">
        <f>((100*18*H23)/(E23*D23)-$AM$3*AI23)/$AL$3</f>
        <v>1.8395002711116251</v>
      </c>
      <c r="AR23" s="2">
        <v>48.69</v>
      </c>
      <c r="AS23" s="2">
        <v>0.98</v>
      </c>
      <c r="AT23" s="2">
        <v>15.26</v>
      </c>
      <c r="AU23" s="2">
        <v>8.15</v>
      </c>
      <c r="AV23" s="2">
        <v>0.23</v>
      </c>
      <c r="AW23" s="2">
        <v>6.68</v>
      </c>
      <c r="AX23" s="2">
        <v>11.6</v>
      </c>
      <c r="AY23" s="2">
        <v>1.93</v>
      </c>
      <c r="AZ23" s="2">
        <v>5.86</v>
      </c>
      <c r="BA23" s="2">
        <v>0.62</v>
      </c>
    </row>
    <row r="24" spans="1:53">
      <c r="A24" s="2" t="s">
        <v>29</v>
      </c>
      <c r="B24" s="2" t="s">
        <v>31</v>
      </c>
      <c r="C24" s="2">
        <v>1</v>
      </c>
      <c r="D24" s="2">
        <v>1.9099999999999999E-2</v>
      </c>
      <c r="E24" s="2">
        <v>2658</v>
      </c>
      <c r="F24" s="2">
        <v>1.49E-2</v>
      </c>
      <c r="G24" s="2">
        <v>3.5700000000000003E-2</v>
      </c>
      <c r="H24" s="2"/>
      <c r="I24" s="2"/>
      <c r="J24" s="1">
        <v>2.74</v>
      </c>
      <c r="K24" s="3"/>
      <c r="L24" s="2"/>
      <c r="N24" s="2"/>
      <c r="AH24" s="11">
        <f t="shared" si="0"/>
        <v>1.8891984242215349</v>
      </c>
      <c r="AI24" s="11">
        <f t="shared" si="1"/>
        <v>0.85207679899718003</v>
      </c>
      <c r="AJ24" s="11">
        <f t="shared" si="2"/>
        <v>2.741275223218715</v>
      </c>
      <c r="AR24" s="2">
        <v>48.69</v>
      </c>
      <c r="AS24" s="2">
        <v>0.98</v>
      </c>
      <c r="AT24" s="2">
        <v>15.26</v>
      </c>
      <c r="AU24" s="2">
        <v>8.15</v>
      </c>
      <c r="AV24" s="2">
        <v>0.23</v>
      </c>
      <c r="AW24" s="2">
        <v>6.68</v>
      </c>
      <c r="AX24" s="2">
        <v>11.6</v>
      </c>
      <c r="AY24" s="2">
        <v>1.93</v>
      </c>
      <c r="AZ24" s="2">
        <v>5.86</v>
      </c>
      <c r="BA24" s="2">
        <v>0.62</v>
      </c>
    </row>
    <row r="25" spans="1:53">
      <c r="A25" s="2" t="s">
        <v>29</v>
      </c>
      <c r="B25" s="2" t="s">
        <v>31</v>
      </c>
      <c r="C25" s="2">
        <v>4</v>
      </c>
      <c r="D25" s="2">
        <v>5.8999999999999999E-3</v>
      </c>
      <c r="E25" s="2">
        <v>2658</v>
      </c>
      <c r="F25" s="2">
        <v>4.4000000000000003E-3</v>
      </c>
      <c r="G25" s="2">
        <v>1.1299999999999999E-2</v>
      </c>
      <c r="H25" s="2">
        <v>1.1140000000000001</v>
      </c>
      <c r="I25" s="2">
        <v>0.9</v>
      </c>
      <c r="J25" s="2">
        <v>2.75</v>
      </c>
      <c r="K25" s="2"/>
      <c r="L25" s="2">
        <v>2.0299999999999998</v>
      </c>
      <c r="N25" s="1">
        <v>6845</v>
      </c>
      <c r="P25" s="11">
        <f t="shared" ref="P25" si="61">J25-L25</f>
        <v>0.7200000000000002</v>
      </c>
      <c r="R25" s="11">
        <f t="shared" ref="R25" si="62">(G25/0.67)/(G25/0.67+F25/0.62)</f>
        <v>0.70383765320474179</v>
      </c>
      <c r="T25" s="11">
        <f t="shared" ref="T25" si="63">R25*H25</f>
        <v>0.78407514567008241</v>
      </c>
      <c r="U25" s="11">
        <f t="shared" ref="U25" si="64">(1-R25)*H25</f>
        <v>0.32992485432991769</v>
      </c>
      <c r="W25" s="11">
        <f t="shared" si="14"/>
        <v>2.0623340783736319</v>
      </c>
      <c r="Y25" s="11">
        <f>100*18*T25/(D25*E25*$Y$3)</f>
        <v>1.576790481122833</v>
      </c>
      <c r="Z25" s="11">
        <f>100*18*U25/(D25*E25*$Z$3)</f>
        <v>0.87018324088835497</v>
      </c>
      <c r="AB25" s="11">
        <f t="shared" ref="AB25" si="65">Z25+Y25</f>
        <v>2.446973722011188</v>
      </c>
      <c r="AC25" s="11">
        <f t="shared" ref="AC25" si="66">J25</f>
        <v>2.75</v>
      </c>
      <c r="AE25" s="11">
        <f t="shared" si="8"/>
        <v>9.1824925151752765E-2</v>
      </c>
      <c r="AH25" s="11">
        <f t="shared" si="0"/>
        <v>1.9358386549861548</v>
      </c>
      <c r="AI25" s="11">
        <f t="shared" si="1"/>
        <v>0.81456642233787979</v>
      </c>
      <c r="AJ25" s="11">
        <f t="shared" si="2"/>
        <v>2.7504050773240345</v>
      </c>
      <c r="AL25" s="11">
        <f t="shared" ref="AL25" si="67">((100*18*H25)/(E25*D25)-$AM$3*AI25)-$AL$3*AH25</f>
        <v>-14.335739544055784</v>
      </c>
      <c r="AN25" s="11">
        <f t="shared" si="18"/>
        <v>205.51342827500474</v>
      </c>
      <c r="AO25" s="11">
        <f>AL25*(E25*D25)/(100*18)</f>
        <v>-0.124897741487662</v>
      </c>
      <c r="AP25" s="11">
        <f>((100*18*H25)/(E25*D25)-$AM$3*AI25)/$AL$3</f>
        <v>1.6785374948557439</v>
      </c>
      <c r="AR25" s="2">
        <v>48.69</v>
      </c>
      <c r="AS25" s="2">
        <v>0.98</v>
      </c>
      <c r="AT25" s="2">
        <v>15.26</v>
      </c>
      <c r="AU25" s="2">
        <v>8.15</v>
      </c>
      <c r="AV25" s="2">
        <v>0.23</v>
      </c>
      <c r="AW25" s="2">
        <v>6.68</v>
      </c>
      <c r="AX25" s="2">
        <v>11.6</v>
      </c>
      <c r="AY25" s="2">
        <v>1.93</v>
      </c>
      <c r="AZ25" s="2">
        <v>5.86</v>
      </c>
      <c r="BA25" s="2">
        <v>0.62</v>
      </c>
    </row>
    <row r="26" spans="1:53">
      <c r="A26" s="2" t="s">
        <v>29</v>
      </c>
      <c r="B26" s="2" t="s">
        <v>32</v>
      </c>
      <c r="C26" s="2">
        <v>1</v>
      </c>
      <c r="D26" s="2">
        <v>2.01E-2</v>
      </c>
      <c r="E26" s="2">
        <v>2626</v>
      </c>
      <c r="F26" s="2">
        <v>3.5799999999999998E-2</v>
      </c>
      <c r="G26" s="2">
        <v>3.8800000000000001E-2</v>
      </c>
      <c r="H26" s="2"/>
      <c r="I26" s="2"/>
      <c r="J26" s="1">
        <v>3.95</v>
      </c>
      <c r="K26" s="3"/>
      <c r="L26" s="2"/>
      <c r="N26" s="2"/>
      <c r="AH26" s="11">
        <f t="shared" si="0"/>
        <v>1.9748706196767354</v>
      </c>
      <c r="AI26" s="11">
        <f t="shared" si="1"/>
        <v>1.9691239891738517</v>
      </c>
      <c r="AJ26" s="11">
        <f t="shared" si="2"/>
        <v>3.9439946088505868</v>
      </c>
      <c r="AR26" s="2">
        <v>48.69</v>
      </c>
      <c r="AS26" s="2">
        <v>0.98</v>
      </c>
      <c r="AT26" s="2">
        <v>15.26</v>
      </c>
      <c r="AU26" s="2">
        <v>8.15</v>
      </c>
      <c r="AV26" s="2">
        <v>0.23</v>
      </c>
      <c r="AW26" s="2">
        <v>6.68</v>
      </c>
      <c r="AX26" s="2">
        <v>11.6</v>
      </c>
      <c r="AY26" s="2">
        <v>1.93</v>
      </c>
      <c r="AZ26" s="2">
        <v>5.86</v>
      </c>
      <c r="BA26" s="2">
        <v>0.62</v>
      </c>
    </row>
    <row r="27" spans="1:53">
      <c r="A27" s="2" t="s">
        <v>29</v>
      </c>
      <c r="B27" s="2" t="s">
        <v>32</v>
      </c>
      <c r="C27" s="2">
        <v>5</v>
      </c>
      <c r="D27" s="2">
        <v>4.5999999999999999E-3</v>
      </c>
      <c r="E27" s="2">
        <v>2626</v>
      </c>
      <c r="F27" s="2">
        <v>8.0999999999999996E-3</v>
      </c>
      <c r="G27" s="2">
        <v>8.9999999999999993E-3</v>
      </c>
      <c r="H27" s="2">
        <v>1.4510000000000001</v>
      </c>
      <c r="I27" s="2">
        <v>0.86099999999999999</v>
      </c>
      <c r="J27" s="2">
        <v>3.95</v>
      </c>
      <c r="K27" s="2"/>
      <c r="L27" s="2">
        <v>3.44</v>
      </c>
      <c r="N27" s="1">
        <v>8501</v>
      </c>
      <c r="P27" s="11">
        <f t="shared" si="3"/>
        <v>0.51000000000000023</v>
      </c>
      <c r="R27" s="11">
        <f t="shared" ref="R27" si="68">(G27/0.67)/(G27/0.67+F27/0.62)</f>
        <v>0.50695012264922323</v>
      </c>
      <c r="T27" s="11">
        <f t="shared" ref="T27" si="69">R27*H27</f>
        <v>0.73558462796402291</v>
      </c>
      <c r="U27" s="11">
        <f t="shared" ref="U27" si="70">(1-R27)*H27</f>
        <v>0.71541537203597716</v>
      </c>
      <c r="W27" s="11">
        <f t="shared" si="14"/>
        <v>3.4873511086139368</v>
      </c>
      <c r="Y27" s="11">
        <f>100*18*T27/(D27*E27*$Y$3)</f>
        <v>1.9204516682279589</v>
      </c>
      <c r="Z27" s="11">
        <f>100*18*U27/(D27*E27*$Z$3)</f>
        <v>2.4496745122126993</v>
      </c>
      <c r="AB27" s="11">
        <f t="shared" ref="AB27" si="71">Z27+Y27</f>
        <v>4.3701261804406579</v>
      </c>
      <c r="AC27" s="11">
        <f t="shared" ref="AC27" si="72">J27</f>
        <v>3.95</v>
      </c>
      <c r="AE27" s="11">
        <f t="shared" si="8"/>
        <v>0.17650600749165613</v>
      </c>
      <c r="AH27" s="11">
        <f t="shared" si="0"/>
        <v>2.0016477762187437</v>
      </c>
      <c r="AI27" s="11">
        <f t="shared" si="1"/>
        <v>1.9467638855804883</v>
      </c>
      <c r="AJ27" s="11">
        <f t="shared" si="2"/>
        <v>3.948411661799232</v>
      </c>
      <c r="AL27" s="11">
        <f t="shared" ref="AL27" si="73">((100*18*H27)/(E27*D27)-$AM$3*AI27)-$AL$3*AH27</f>
        <v>22.613128656268117</v>
      </c>
      <c r="AN27" s="11">
        <f t="shared" si="18"/>
        <v>511.35358762493428</v>
      </c>
      <c r="AO27" s="11">
        <f>AL27*(E27*D27)/(100*18)</f>
        <v>0.1517541938423646</v>
      </c>
      <c r="AP27" s="11">
        <f>((100*18*H27)/(E27*D27)-$AM$3*AI27)/$AL$3</f>
        <v>2.4075134254623913</v>
      </c>
      <c r="AR27" s="2">
        <v>48.69</v>
      </c>
      <c r="AS27" s="2">
        <v>0.98</v>
      </c>
      <c r="AT27" s="2">
        <v>15.26</v>
      </c>
      <c r="AU27" s="2">
        <v>8.15</v>
      </c>
      <c r="AV27" s="2">
        <v>0.23</v>
      </c>
      <c r="AW27" s="2">
        <v>6.68</v>
      </c>
      <c r="AX27" s="2">
        <v>11.6</v>
      </c>
      <c r="AY27" s="2">
        <v>1.93</v>
      </c>
      <c r="AZ27" s="2">
        <v>5.86</v>
      </c>
      <c r="BA27" s="2">
        <v>0.62</v>
      </c>
    </row>
    <row r="28" spans="1:53">
      <c r="A28" s="2" t="s">
        <v>29</v>
      </c>
      <c r="B28" s="2" t="s">
        <v>33</v>
      </c>
      <c r="C28" s="2">
        <v>1</v>
      </c>
      <c r="D28" s="2">
        <v>1.9300000000000001E-2</v>
      </c>
      <c r="E28" s="2">
        <v>2604</v>
      </c>
      <c r="F28" s="2">
        <v>4.5400000000000003E-2</v>
      </c>
      <c r="G28" s="2">
        <v>3.73E-2</v>
      </c>
      <c r="H28" s="2"/>
      <c r="I28" s="2"/>
      <c r="J28" s="1">
        <v>4.62</v>
      </c>
      <c r="K28" s="3"/>
      <c r="L28" s="2"/>
      <c r="N28" s="2"/>
      <c r="AH28" s="11">
        <f t="shared" si="0"/>
        <v>1.9939223678175582</v>
      </c>
      <c r="AI28" s="11">
        <f t="shared" si="1"/>
        <v>2.6226381814526718</v>
      </c>
      <c r="AJ28" s="11">
        <f t="shared" si="2"/>
        <v>4.61656054927023</v>
      </c>
      <c r="AR28" s="2">
        <v>48.69</v>
      </c>
      <c r="AS28" s="2">
        <v>0.98</v>
      </c>
      <c r="AT28" s="2">
        <v>15.26</v>
      </c>
      <c r="AU28" s="2">
        <v>8.15</v>
      </c>
      <c r="AV28" s="2">
        <v>0.23</v>
      </c>
      <c r="AW28" s="2">
        <v>6.68</v>
      </c>
      <c r="AX28" s="2">
        <v>11.6</v>
      </c>
      <c r="AY28" s="2">
        <v>1.93</v>
      </c>
      <c r="AZ28" s="2">
        <v>5.86</v>
      </c>
      <c r="BA28" s="2">
        <v>0.62</v>
      </c>
    </row>
    <row r="29" spans="1:53">
      <c r="A29" s="2" t="s">
        <v>29</v>
      </c>
      <c r="B29" s="2" t="s">
        <v>33</v>
      </c>
      <c r="C29" s="2">
        <v>6</v>
      </c>
      <c r="D29" s="2">
        <v>4.1999999999999997E-3</v>
      </c>
      <c r="E29" s="2">
        <v>2604</v>
      </c>
      <c r="F29" s="2">
        <v>8.8000000000000005E-3</v>
      </c>
      <c r="G29" s="2">
        <v>9.1000000000000004E-3</v>
      </c>
      <c r="H29" s="2">
        <v>1.391</v>
      </c>
      <c r="I29" s="2">
        <v>0.875</v>
      </c>
      <c r="J29" s="2">
        <v>4.58</v>
      </c>
      <c r="K29" s="2"/>
      <c r="L29" s="2">
        <v>3.64</v>
      </c>
      <c r="N29" s="1">
        <v>9542</v>
      </c>
      <c r="P29" s="11">
        <f t="shared" ref="P29" si="74">J29-L29</f>
        <v>0.94</v>
      </c>
      <c r="R29" s="11">
        <f t="shared" ref="R29" si="75">(G29/0.67)/(G29/0.67+F29/0.62)</f>
        <v>0.48899289304905524</v>
      </c>
      <c r="T29" s="11">
        <f t="shared" ref="T29" si="76">R29*H29</f>
        <v>0.68018911423123585</v>
      </c>
      <c r="U29" s="11">
        <f t="shared" ref="U29" si="77">(1-R29)*H29</f>
        <v>0.71081088576876417</v>
      </c>
      <c r="W29" s="11">
        <f t="shared" si="14"/>
        <v>3.6924759497971928</v>
      </c>
      <c r="Y29" s="11">
        <f>100*18*T29/(D29*E29*$Y$3)</f>
        <v>1.9613843116856686</v>
      </c>
      <c r="Z29" s="11">
        <f>100*18*U29/(D29*E29*$Z$3)</f>
        <v>2.688230284651139</v>
      </c>
      <c r="AB29" s="11">
        <f t="shared" ref="AB29" si="78">Z29+Y29</f>
        <v>4.6496145963368072</v>
      </c>
      <c r="AC29" s="11">
        <f t="shared" ref="AC29" si="79">J29</f>
        <v>4.58</v>
      </c>
      <c r="AE29" s="11">
        <f t="shared" si="8"/>
        <v>4.8461920231365977E-3</v>
      </c>
      <c r="AH29" s="11">
        <f t="shared" si="0"/>
        <v>2.2353669440814365</v>
      </c>
      <c r="AI29" s="11">
        <f t="shared" si="1"/>
        <v>2.3360020386926887</v>
      </c>
      <c r="AJ29" s="11">
        <f t="shared" si="2"/>
        <v>4.5713689827741248</v>
      </c>
      <c r="AL29" s="11">
        <f t="shared" ref="AL29" si="80">((100*18*H29)/(E29*D29)-$AM$3*AI29)-$AL$3*AH29</f>
        <v>5.8980042987289778</v>
      </c>
      <c r="AN29" s="11">
        <f t="shared" si="18"/>
        <v>34.786454707825499</v>
      </c>
      <c r="AO29" s="11">
        <f>AL29*(E29*D29)/(100*18)</f>
        <v>3.5836274119077263E-2</v>
      </c>
      <c r="AP29" s="11">
        <f>((100*18*H29)/(E29*D29)-$AM$3*AI29)/$AL$3</f>
        <v>2.3412256857147811</v>
      </c>
      <c r="AR29" s="2">
        <v>48.69</v>
      </c>
      <c r="AS29" s="2">
        <v>0.98</v>
      </c>
      <c r="AT29" s="2">
        <v>15.26</v>
      </c>
      <c r="AU29" s="2">
        <v>8.15</v>
      </c>
      <c r="AV29" s="2">
        <v>0.23</v>
      </c>
      <c r="AW29" s="2">
        <v>6.68</v>
      </c>
      <c r="AX29" s="2">
        <v>11.6</v>
      </c>
      <c r="AY29" s="2">
        <v>1.93</v>
      </c>
      <c r="AZ29" s="2">
        <v>5.86</v>
      </c>
      <c r="BA29" s="2">
        <v>0.62</v>
      </c>
    </row>
    <row r="30" spans="1:53">
      <c r="A30" s="2" t="s">
        <v>34</v>
      </c>
      <c r="B30" s="2" t="s">
        <v>35</v>
      </c>
      <c r="C30" s="2">
        <v>1</v>
      </c>
      <c r="D30" s="2">
        <v>2.0299999999999999E-2</v>
      </c>
      <c r="E30" s="2">
        <v>2683</v>
      </c>
      <c r="F30" s="2">
        <v>1.4500000000000001E-2</v>
      </c>
      <c r="G30" s="2">
        <v>3.8600000000000002E-2</v>
      </c>
      <c r="H30" s="2"/>
      <c r="I30" s="2"/>
      <c r="J30" s="1">
        <v>2.68</v>
      </c>
      <c r="K30" s="3"/>
      <c r="L30" s="2"/>
      <c r="N30" s="2"/>
      <c r="AH30" s="11">
        <f t="shared" si="0"/>
        <v>1.9040059292739626</v>
      </c>
      <c r="AI30" s="11">
        <f t="shared" si="1"/>
        <v>0.77291566116064458</v>
      </c>
      <c r="AJ30" s="11">
        <f t="shared" si="2"/>
        <v>2.6769215904346071</v>
      </c>
      <c r="AR30" s="2">
        <v>47.46</v>
      </c>
      <c r="AS30" s="2">
        <v>1.81</v>
      </c>
      <c r="AT30" s="2">
        <v>16.170000000000002</v>
      </c>
      <c r="AU30" s="2">
        <v>10.47</v>
      </c>
      <c r="AV30" s="2">
        <v>0.2</v>
      </c>
      <c r="AW30" s="2">
        <v>6.74</v>
      </c>
      <c r="AX30" s="2">
        <v>11.42</v>
      </c>
      <c r="AY30" s="2">
        <v>3.48</v>
      </c>
      <c r="AZ30" s="2">
        <v>1.72</v>
      </c>
      <c r="BA30" s="2">
        <v>0.52</v>
      </c>
    </row>
    <row r="31" spans="1:53">
      <c r="A31" s="2" t="s">
        <v>34</v>
      </c>
      <c r="B31" s="2" t="s">
        <v>35</v>
      </c>
      <c r="C31" s="2">
        <v>4</v>
      </c>
      <c r="D31" s="2">
        <v>6.1000000000000004E-3</v>
      </c>
      <c r="E31" s="2">
        <v>2683</v>
      </c>
      <c r="F31" s="2">
        <v>4.4999999999999997E-3</v>
      </c>
      <c r="G31" s="2">
        <v>1.14E-2</v>
      </c>
      <c r="H31" s="2">
        <v>1.248</v>
      </c>
      <c r="I31" s="2">
        <v>0.48299999999999998</v>
      </c>
      <c r="J31" s="2">
        <v>2.67</v>
      </c>
      <c r="K31" s="2"/>
      <c r="L31" s="2">
        <v>2.1800000000000002</v>
      </c>
      <c r="N31" s="1">
        <v>3996</v>
      </c>
      <c r="P31" s="11">
        <f t="shared" si="3"/>
        <v>0.48999999999999977</v>
      </c>
      <c r="R31" s="11">
        <f t="shared" ref="R31" si="81">(G31/0.67)/(G31/0.67+F31/0.62)</f>
        <v>0.70098185063969065</v>
      </c>
      <c r="T31" s="11">
        <f>R31*H31</f>
        <v>0.87482534959833391</v>
      </c>
      <c r="U31" s="11">
        <f t="shared" ref="U31" si="82">(1-R31)*H31</f>
        <v>0.37317465040166609</v>
      </c>
      <c r="W31" s="11">
        <f t="shared" si="14"/>
        <v>2.2138331855407838</v>
      </c>
      <c r="Y31" s="11">
        <f>100*18*T31/(D31*E31*$Y$3)</f>
        <v>1.6857537779433744</v>
      </c>
      <c r="Z31" s="11">
        <f>100*18*U31/(D31*E31*$Z$3)</f>
        <v>0.94311422727194316</v>
      </c>
      <c r="AB31" s="11">
        <f t="shared" ref="AB31" si="83">Z31+Y31</f>
        <v>2.6288680052153177</v>
      </c>
      <c r="AC31" s="11">
        <f t="shared" ref="AC31" si="84">J31</f>
        <v>2.67</v>
      </c>
      <c r="AE31" s="11">
        <f t="shared" si="8"/>
        <v>1.6918409949671248E-3</v>
      </c>
      <c r="AH31" s="11">
        <f t="shared" si="0"/>
        <v>1.8713371789373152</v>
      </c>
      <c r="AI31" s="11">
        <f t="shared" si="1"/>
        <v>0.79825715824787868</v>
      </c>
      <c r="AJ31" s="11">
        <f t="shared" si="2"/>
        <v>2.669594337185194</v>
      </c>
      <c r="AL31" s="11">
        <f t="shared" ref="AL31" si="85">((100*18*H31)/(E31*D31)-$AM$3*AI31)-$AL$3*AH31</f>
        <v>-0.66141434196232751</v>
      </c>
      <c r="AN31" s="11">
        <f t="shared" si="18"/>
        <v>0.43746893175345869</v>
      </c>
      <c r="AO31" s="11">
        <f>AL31*(E31*D31)/(100*18)</f>
        <v>-6.0138364138100234E-3</v>
      </c>
      <c r="AP31" s="11">
        <f>((100*18*H31)/(E31*D31)-$AM$3*AI31)/$AL$3</f>
        <v>1.8594659617607752</v>
      </c>
      <c r="AR31" s="2">
        <v>47.46</v>
      </c>
      <c r="AS31" s="2">
        <v>1.81</v>
      </c>
      <c r="AT31" s="2">
        <v>16.170000000000002</v>
      </c>
      <c r="AU31" s="2">
        <v>10.47</v>
      </c>
      <c r="AV31" s="2">
        <v>0.2</v>
      </c>
      <c r="AW31" s="2">
        <v>6.74</v>
      </c>
      <c r="AX31" s="2">
        <v>11.42</v>
      </c>
      <c r="AY31" s="2">
        <v>3.48</v>
      </c>
      <c r="AZ31" s="2">
        <v>1.72</v>
      </c>
      <c r="BA31" s="2">
        <v>0.52</v>
      </c>
    </row>
    <row r="32" spans="1:53">
      <c r="A32" s="2" t="s">
        <v>34</v>
      </c>
      <c r="B32" s="2" t="s">
        <v>36</v>
      </c>
      <c r="C32" s="2">
        <v>3</v>
      </c>
      <c r="D32" s="2">
        <v>1.4800000000000001E-2</v>
      </c>
      <c r="E32" s="2">
        <v>2666</v>
      </c>
      <c r="F32" s="2">
        <v>1.49E-2</v>
      </c>
      <c r="G32" s="2">
        <v>3.3099999999999997E-2</v>
      </c>
      <c r="H32" s="2"/>
      <c r="I32" s="2">
        <v>1.2330000000000001</v>
      </c>
      <c r="J32" s="1">
        <v>3.35</v>
      </c>
      <c r="K32" s="3"/>
      <c r="L32" s="2"/>
      <c r="N32" s="2">
        <v>4232</v>
      </c>
      <c r="AH32" s="11">
        <f t="shared" si="0"/>
        <v>2.2537401191766273</v>
      </c>
      <c r="AI32" s="11">
        <f t="shared" si="1"/>
        <v>1.0963399088656209</v>
      </c>
      <c r="AJ32" s="11">
        <f t="shared" si="2"/>
        <v>3.3500800280422482</v>
      </c>
      <c r="AR32" s="2">
        <v>47.46</v>
      </c>
      <c r="AS32" s="2">
        <v>1.81</v>
      </c>
      <c r="AT32" s="2">
        <v>16.170000000000002</v>
      </c>
      <c r="AU32" s="2">
        <v>10.47</v>
      </c>
      <c r="AV32" s="2">
        <v>0.2</v>
      </c>
      <c r="AW32" s="2">
        <v>6.74</v>
      </c>
      <c r="AX32" s="2">
        <v>11.42</v>
      </c>
      <c r="AY32" s="2">
        <v>3.48</v>
      </c>
      <c r="AZ32" s="2">
        <v>1.72</v>
      </c>
      <c r="BA32" s="2">
        <v>0.52</v>
      </c>
    </row>
    <row r="33" spans="1:53">
      <c r="A33" s="2" t="s">
        <v>34</v>
      </c>
      <c r="B33" s="2" t="s">
        <v>36</v>
      </c>
      <c r="C33" s="2">
        <v>6</v>
      </c>
      <c r="D33" s="2">
        <v>8.3999999999999995E-3</v>
      </c>
      <c r="E33" s="2">
        <v>2666</v>
      </c>
      <c r="F33" s="2">
        <v>9.1999999999999998E-3</v>
      </c>
      <c r="G33" s="2">
        <v>1.7600000000000001E-2</v>
      </c>
      <c r="H33" s="2"/>
      <c r="I33" s="2">
        <v>0.73199999999999998</v>
      </c>
      <c r="J33" s="2">
        <v>3.31</v>
      </c>
      <c r="K33" s="2"/>
      <c r="L33" s="2"/>
      <c r="N33" s="1">
        <v>4426</v>
      </c>
      <c r="P33" s="11">
        <f t="shared" ref="P33" si="86">J33-L33</f>
        <v>3.31</v>
      </c>
      <c r="AH33" s="11">
        <f t="shared" si="0"/>
        <v>2.1114020509391742</v>
      </c>
      <c r="AI33" s="11">
        <f t="shared" si="1"/>
        <v>1.1926944869858018</v>
      </c>
      <c r="AJ33" s="11">
        <f t="shared" si="2"/>
        <v>3.304096537924976</v>
      </c>
      <c r="AR33" s="2">
        <v>47.46</v>
      </c>
      <c r="AS33" s="2">
        <v>1.81</v>
      </c>
      <c r="AT33" s="2">
        <v>16.170000000000002</v>
      </c>
      <c r="AU33" s="2">
        <v>10.47</v>
      </c>
      <c r="AV33" s="2">
        <v>0.2</v>
      </c>
      <c r="AW33" s="2">
        <v>6.74</v>
      </c>
      <c r="AX33" s="2">
        <v>11.42</v>
      </c>
      <c r="AY33" s="2">
        <v>3.48</v>
      </c>
      <c r="AZ33" s="2">
        <v>1.72</v>
      </c>
      <c r="BA33" s="2">
        <v>0.52</v>
      </c>
    </row>
    <row r="34" spans="1:53">
      <c r="A34" s="2" t="s">
        <v>34</v>
      </c>
      <c r="B34" s="2" t="s">
        <v>37</v>
      </c>
      <c r="C34" s="2">
        <v>1</v>
      </c>
      <c r="D34" s="2">
        <v>2.0799999999999999E-2</v>
      </c>
      <c r="E34" s="2">
        <v>2640</v>
      </c>
      <c r="F34" s="2">
        <v>3.0300000000000001E-2</v>
      </c>
      <c r="G34" s="2">
        <v>5.3900000000000003E-2</v>
      </c>
      <c r="H34" s="2"/>
      <c r="I34" s="2"/>
      <c r="J34" s="1">
        <v>4.24</v>
      </c>
      <c r="K34" s="3"/>
      <c r="L34" s="2"/>
      <c r="N34" s="2"/>
      <c r="AH34" s="11">
        <f t="shared" si="0"/>
        <v>2.6370551090700345</v>
      </c>
      <c r="AI34" s="11">
        <f t="shared" si="1"/>
        <v>1.6019766523798782</v>
      </c>
      <c r="AJ34" s="11">
        <f t="shared" si="2"/>
        <v>4.2390317614499127</v>
      </c>
      <c r="AR34" s="2">
        <v>47.46</v>
      </c>
      <c r="AS34" s="2">
        <v>1.81</v>
      </c>
      <c r="AT34" s="2">
        <v>16.170000000000002</v>
      </c>
      <c r="AU34" s="2">
        <v>10.47</v>
      </c>
      <c r="AV34" s="2">
        <v>0.2</v>
      </c>
      <c r="AW34" s="2">
        <v>6.74</v>
      </c>
      <c r="AX34" s="2">
        <v>11.42</v>
      </c>
      <c r="AY34" s="2">
        <v>3.48</v>
      </c>
      <c r="AZ34" s="2">
        <v>1.72</v>
      </c>
      <c r="BA34" s="2">
        <v>0.52</v>
      </c>
    </row>
    <row r="35" spans="1:53">
      <c r="A35" s="2" t="s">
        <v>34</v>
      </c>
      <c r="B35" s="2" t="s">
        <v>37</v>
      </c>
      <c r="C35" s="2">
        <v>4</v>
      </c>
      <c r="D35" s="2">
        <v>5.7999999999999996E-3</v>
      </c>
      <c r="E35" s="2">
        <v>2640</v>
      </c>
      <c r="F35" s="2">
        <v>8.8000000000000005E-3</v>
      </c>
      <c r="G35" s="2">
        <v>1.47E-2</v>
      </c>
      <c r="H35" s="2">
        <v>1.53</v>
      </c>
      <c r="I35" s="2">
        <v>0.61</v>
      </c>
      <c r="J35" s="2">
        <v>4.25</v>
      </c>
      <c r="K35" s="2"/>
      <c r="L35" s="2">
        <v>2.86</v>
      </c>
      <c r="N35" s="1">
        <v>5395</v>
      </c>
      <c r="P35" s="11">
        <f t="shared" si="3"/>
        <v>1.3900000000000001</v>
      </c>
      <c r="R35" s="11">
        <f t="shared" ref="R35" si="87">(G35/0.67)/(G35/0.67+F35/0.62)</f>
        <v>0.60719520319786802</v>
      </c>
      <c r="T35" s="11">
        <f t="shared" ref="T35" si="88">R35*H35</f>
        <v>0.92900866089273804</v>
      </c>
      <c r="U35" s="11">
        <f t="shared" ref="U35" si="89">(1-R35)*H35</f>
        <v>0.60099133910726199</v>
      </c>
      <c r="W35" s="11">
        <f t="shared" si="14"/>
        <v>2.9009505511174032</v>
      </c>
      <c r="Y35" s="11">
        <f>100*18*T35/(D35*E35*$Y$3)</f>
        <v>1.9134236287085125</v>
      </c>
      <c r="Z35" s="11">
        <f>100*18*U35/(D35*E35*$Z$3)</f>
        <v>1.6234501680511053</v>
      </c>
      <c r="AB35" s="11">
        <f t="shared" ref="AB35" si="90">Z35+Y35</f>
        <v>3.5368737967596178</v>
      </c>
      <c r="AC35" s="11">
        <f t="shared" ref="AC35" si="91">J35</f>
        <v>4.25</v>
      </c>
      <c r="AE35" s="11">
        <f t="shared" si="8"/>
        <v>0.50854898174804297</v>
      </c>
      <c r="AH35" s="11">
        <f t="shared" si="0"/>
        <v>2.579188696018341</v>
      </c>
      <c r="AI35" s="11">
        <f t="shared" si="1"/>
        <v>1.6685205784204675</v>
      </c>
      <c r="AJ35" s="11">
        <f t="shared" si="2"/>
        <v>4.2477092744388081</v>
      </c>
      <c r="AL35" s="11">
        <f t="shared" ref="AL35" si="92">((100*18*H35)/(E35*D35)-$AM$3*AI35)-$AL$3*AH35</f>
        <v>-34.190596822719471</v>
      </c>
      <c r="AN35" s="11">
        <f>(AL35)^2</f>
        <v>1168.9969110937548</v>
      </c>
      <c r="AO35" s="11">
        <f>AL35*(E35*D35)/(100*18)</f>
        <v>-0.29084801030526691</v>
      </c>
      <c r="AP35" s="11">
        <f>((100*18*H35)/(E35*D35)-$AM$3*AI35)/$AL$3</f>
        <v>1.9655279775739549</v>
      </c>
      <c r="AR35" s="2">
        <v>47.46</v>
      </c>
      <c r="AS35" s="2">
        <v>1.81</v>
      </c>
      <c r="AT35" s="2">
        <v>16.170000000000002</v>
      </c>
      <c r="AU35" s="2">
        <v>10.47</v>
      </c>
      <c r="AV35" s="2">
        <v>0.2</v>
      </c>
      <c r="AW35" s="2">
        <v>6.74</v>
      </c>
      <c r="AX35" s="2">
        <v>11.42</v>
      </c>
      <c r="AY35" s="2">
        <v>3.48</v>
      </c>
      <c r="AZ35" s="2">
        <v>1.72</v>
      </c>
      <c r="BA35" s="2">
        <v>0.52</v>
      </c>
    </row>
    <row r="36" spans="1:53">
      <c r="A36" s="2" t="s">
        <v>34</v>
      </c>
      <c r="B36" s="2" t="s">
        <v>38</v>
      </c>
      <c r="C36" s="2">
        <v>1</v>
      </c>
      <c r="D36" s="2">
        <v>2.0799999999999999E-2</v>
      </c>
      <c r="E36" s="2">
        <v>2607</v>
      </c>
      <c r="F36" s="2">
        <v>4.9700000000000001E-2</v>
      </c>
      <c r="G36" s="2">
        <v>5.0900000000000001E-2</v>
      </c>
      <c r="H36" s="2"/>
      <c r="I36" s="2"/>
      <c r="J36" s="1">
        <v>5.19</v>
      </c>
      <c r="K36" s="3"/>
      <c r="L36" s="2"/>
      <c r="N36" s="2"/>
      <c r="AH36" s="11">
        <f t="shared" si="0"/>
        <v>2.5218027768566214</v>
      </c>
      <c r="AI36" s="11">
        <f t="shared" si="1"/>
        <v>2.6609262521879917</v>
      </c>
      <c r="AJ36" s="11">
        <f t="shared" si="2"/>
        <v>5.1827290290446131</v>
      </c>
      <c r="AR36" s="2">
        <v>47.46</v>
      </c>
      <c r="AS36" s="2">
        <v>1.81</v>
      </c>
      <c r="AT36" s="2">
        <v>16.170000000000002</v>
      </c>
      <c r="AU36" s="2">
        <v>10.47</v>
      </c>
      <c r="AV36" s="2">
        <v>0.2</v>
      </c>
      <c r="AW36" s="2">
        <v>6.74</v>
      </c>
      <c r="AX36" s="2">
        <v>11.42</v>
      </c>
      <c r="AY36" s="2">
        <v>3.48</v>
      </c>
      <c r="AZ36" s="2">
        <v>1.72</v>
      </c>
      <c r="BA36" s="2">
        <v>0.52</v>
      </c>
    </row>
    <row r="37" spans="1:53">
      <c r="A37" s="2" t="s">
        <v>34</v>
      </c>
      <c r="B37" s="2" t="s">
        <v>38</v>
      </c>
      <c r="C37" s="2">
        <v>5</v>
      </c>
      <c r="D37" s="2">
        <v>3.8999999999999998E-3</v>
      </c>
      <c r="E37" s="2">
        <v>2607</v>
      </c>
      <c r="F37" s="2">
        <v>9.1999999999999998E-3</v>
      </c>
      <c r="G37" s="2">
        <v>9.7000000000000003E-3</v>
      </c>
      <c r="H37" s="2">
        <v>1.427</v>
      </c>
      <c r="I37" s="2">
        <v>0.53100000000000003</v>
      </c>
      <c r="J37" s="2">
        <v>5.2</v>
      </c>
      <c r="K37" s="2"/>
      <c r="L37" s="2">
        <v>4.01</v>
      </c>
      <c r="N37" s="1">
        <v>7072</v>
      </c>
      <c r="P37" s="11">
        <f t="shared" ref="P37" si="93">J37-L37</f>
        <v>1.1900000000000004</v>
      </c>
      <c r="R37" s="11">
        <f t="shared" ref="R37:R38" si="94">(G37/0.67)/(G37/0.67+F37/0.62)</f>
        <v>0.49384135325997697</v>
      </c>
      <c r="T37" s="11">
        <f t="shared" ref="T37" si="95">R37*H37</f>
        <v>0.7047116111019871</v>
      </c>
      <c r="U37" s="11">
        <f t="shared" ref="U37" si="96">(1-R37)*H37</f>
        <v>0.72228838889801283</v>
      </c>
      <c r="W37" s="11">
        <f t="shared" si="14"/>
        <v>4.0747329436590363</v>
      </c>
      <c r="Y37" s="11">
        <f>100*18*T37/(D37*E37*$Y$3)</f>
        <v>2.1858939059344435</v>
      </c>
      <c r="Z37" s="11">
        <f>100*18*U37/(D37*E37*$Z$3)</f>
        <v>2.9383780066355469</v>
      </c>
      <c r="AB37" s="11">
        <f t="shared" ref="AB37" si="97">Z37+Y37</f>
        <v>5.1242719125699905</v>
      </c>
      <c r="AC37" s="11">
        <f t="shared" ref="AC37" si="98">J37</f>
        <v>5.2</v>
      </c>
      <c r="AE37" s="11">
        <f t="shared" si="8"/>
        <v>5.734743225807192E-3</v>
      </c>
      <c r="AH37" s="11">
        <f t="shared" si="0"/>
        <v>2.5630896592544055</v>
      </c>
      <c r="AI37" s="11">
        <f t="shared" si="1"/>
        <v>2.6270177352251669</v>
      </c>
      <c r="AJ37" s="11">
        <f t="shared" si="2"/>
        <v>5.1901073944795719</v>
      </c>
      <c r="AL37" s="11">
        <f t="shared" ref="AL37:AL38" si="99">((100*18*H37)/(E37*D37)-$AM$3*AI37)-$AL$3*AH37</f>
        <v>-0.93116529558272987</v>
      </c>
      <c r="AN37" s="11">
        <f t="shared" si="18"/>
        <v>0.86706880769767269</v>
      </c>
      <c r="AO37" s="11">
        <f>AL37*(E37*D37)/(100*18)</f>
        <v>-5.2596871720990493E-3</v>
      </c>
      <c r="AP37" s="11">
        <f>((100*18*H37)/(E37*D37)-$AM$3*AI37)/$AL$3</f>
        <v>2.5463768897394234</v>
      </c>
      <c r="AR37" s="2">
        <v>47.46</v>
      </c>
      <c r="AS37" s="2">
        <v>1.81</v>
      </c>
      <c r="AT37" s="2">
        <v>16.170000000000002</v>
      </c>
      <c r="AU37" s="2">
        <v>10.47</v>
      </c>
      <c r="AV37" s="2">
        <v>0.2</v>
      </c>
      <c r="AW37" s="2">
        <v>6.74</v>
      </c>
      <c r="AX37" s="2">
        <v>11.42</v>
      </c>
      <c r="AY37" s="2">
        <v>3.48</v>
      </c>
      <c r="AZ37" s="2">
        <v>1.72</v>
      </c>
      <c r="BA37" s="2">
        <v>0.52</v>
      </c>
    </row>
    <row r="38" spans="1:53">
      <c r="A38" s="2" t="s">
        <v>34</v>
      </c>
      <c r="B38" s="2" t="s">
        <v>39</v>
      </c>
      <c r="C38" s="2">
        <v>4</v>
      </c>
      <c r="D38" s="2">
        <v>5.0000000000000001E-3</v>
      </c>
      <c r="E38" s="2">
        <v>2624</v>
      </c>
      <c r="F38" s="2">
        <v>1.12E-2</v>
      </c>
      <c r="G38" s="2">
        <v>0.01</v>
      </c>
      <c r="H38" s="2">
        <v>1.56</v>
      </c>
      <c r="I38" s="2">
        <v>0.74</v>
      </c>
      <c r="J38" s="1">
        <v>4.53</v>
      </c>
      <c r="K38" s="3"/>
      <c r="L38" s="2">
        <v>3.4</v>
      </c>
      <c r="N38" s="2">
        <v>7638</v>
      </c>
      <c r="P38" s="11">
        <f>J38-L38</f>
        <v>1.1300000000000003</v>
      </c>
      <c r="R38" s="11">
        <f t="shared" si="94"/>
        <v>0.4524226503210742</v>
      </c>
      <c r="T38" s="11">
        <f t="shared" ref="T38" si="100">R38*H38</f>
        <v>0.70577933450087582</v>
      </c>
      <c r="U38" s="11">
        <f t="shared" ref="U38" si="101">(1-R38)*H38</f>
        <v>0.85422066549912423</v>
      </c>
      <c r="W38" s="11">
        <f t="shared" si="14"/>
        <v>3.4520062942564906</v>
      </c>
      <c r="Y38" s="11">
        <f>100*18*T38/(D38*E38*$Y$3)</f>
        <v>1.6965176927162531</v>
      </c>
      <c r="Z38" s="11">
        <f>100*18*U38/(D38*E38*$Z$3)</f>
        <v>2.6930158419009436</v>
      </c>
      <c r="AB38" s="11">
        <f t="shared" ref="AB38" si="102">Z38+Y38</f>
        <v>4.3895335346171969</v>
      </c>
      <c r="AC38" s="11">
        <f t="shared" ref="AC38" si="103">J38</f>
        <v>4.53</v>
      </c>
      <c r="AE38" s="11">
        <f t="shared" si="8"/>
        <v>1.9730827897138301E-2</v>
      </c>
      <c r="AH38" s="11">
        <f t="shared" si="0"/>
        <v>2.0476883873316343</v>
      </c>
      <c r="AI38" s="11">
        <f t="shared" si="1"/>
        <v>2.4783634933123522</v>
      </c>
      <c r="AJ38" s="11">
        <f t="shared" si="2"/>
        <v>4.5260518806439869</v>
      </c>
      <c r="AL38" s="11">
        <f t="shared" si="99"/>
        <v>-4.5566810957610215</v>
      </c>
      <c r="AN38" s="11">
        <f t="shared" si="18"/>
        <v>20.763342608465862</v>
      </c>
      <c r="AO38" s="11">
        <f>AL38*(E38*D38)/(100*18)</f>
        <v>-3.3213142209102563E-2</v>
      </c>
      <c r="AP38" s="11">
        <f>((100*18*H38)/(E38*D38)-$AM$3*AI38)/$AL$3</f>
        <v>1.9659040239452494</v>
      </c>
      <c r="AR38" s="2">
        <v>47.46</v>
      </c>
      <c r="AS38" s="2">
        <v>1.81</v>
      </c>
      <c r="AT38" s="2">
        <v>16.170000000000002</v>
      </c>
      <c r="AU38" s="2">
        <v>10.47</v>
      </c>
      <c r="AV38" s="2">
        <v>0.2</v>
      </c>
      <c r="AW38" s="2">
        <v>6.74</v>
      </c>
      <c r="AX38" s="2">
        <v>11.42</v>
      </c>
      <c r="AY38" s="2">
        <v>3.48</v>
      </c>
      <c r="AZ38" s="2">
        <v>1.72</v>
      </c>
      <c r="BA38" s="2">
        <v>0.52</v>
      </c>
    </row>
    <row r="39" spans="1:53">
      <c r="A39" s="2" t="s">
        <v>34</v>
      </c>
      <c r="B39" s="2" t="s">
        <v>39</v>
      </c>
      <c r="C39" s="2">
        <v>5</v>
      </c>
      <c r="D39" s="2">
        <v>3.8E-3</v>
      </c>
      <c r="E39" s="2">
        <v>2624</v>
      </c>
      <c r="F39" s="2">
        <v>8.0999999999999996E-3</v>
      </c>
      <c r="G39" s="2">
        <v>8.0999999999999996E-3</v>
      </c>
      <c r="H39" s="2">
        <v>1.327</v>
      </c>
      <c r="I39" s="2">
        <v>0.56399999999999995</v>
      </c>
      <c r="J39" s="2">
        <v>4.55</v>
      </c>
      <c r="K39" s="2"/>
      <c r="L39" s="2">
        <v>3.81</v>
      </c>
      <c r="N39" s="1">
        <v>7659</v>
      </c>
      <c r="P39" s="11">
        <f>J39-L39</f>
        <v>0.73999999999999977</v>
      </c>
      <c r="R39" s="11">
        <f t="shared" ref="R39" si="104">(G39/0.67)/(G39/0.67+F39/0.62)</f>
        <v>0.48062015503875966</v>
      </c>
      <c r="T39" s="11">
        <f t="shared" ref="T39" si="105">R39*H39</f>
        <v>0.63778294573643401</v>
      </c>
      <c r="U39" s="11">
        <f t="shared" ref="U39" si="106">(1-R39)*H39</f>
        <v>0.68921705426356594</v>
      </c>
      <c r="W39" s="11">
        <f t="shared" si="14"/>
        <v>3.8637081245600231</v>
      </c>
      <c r="Y39" s="11">
        <f>100*18*T39/(D39*E39*$Y$3)</f>
        <v>2.017199097027714</v>
      </c>
      <c r="Z39" s="11">
        <f>100*18*U39/(D39*E39*$Z$3)</f>
        <v>2.8589809226185676</v>
      </c>
      <c r="AB39" s="11">
        <f t="shared" ref="AB39" si="107">Z39+Y39</f>
        <v>4.8761800196462817</v>
      </c>
      <c r="AC39" s="11">
        <f t="shared" ref="AC39" si="108">J39</f>
        <v>4.55</v>
      </c>
      <c r="AE39" s="11">
        <f t="shared" si="8"/>
        <v>0.10639340521644881</v>
      </c>
      <c r="AH39" s="11">
        <f t="shared" si="0"/>
        <v>2.1824047286034522</v>
      </c>
      <c r="AI39" s="11">
        <f t="shared" si="1"/>
        <v>2.3584051099424408</v>
      </c>
      <c r="AJ39" s="11">
        <f t="shared" si="2"/>
        <v>4.5408098385458935</v>
      </c>
      <c r="AL39" s="11">
        <f t="shared" ref="AL39" si="109">((100*18*H39)/(E39*D39)-$AM$3*AI39)-$AL$3*AH39</f>
        <v>18.520675522262508</v>
      </c>
      <c r="AN39" s="11">
        <f t="shared" si="18"/>
        <v>343.01542180093361</v>
      </c>
      <c r="AO39" s="11">
        <f>AL39*(E39*D39)/(100*18)</f>
        <v>0.10259631098199107</v>
      </c>
      <c r="AP39" s="11">
        <f>((100*18*H39)/(E39*D39)-$AM$3*AI39)/$AL$3</f>
        <v>2.51481808500075</v>
      </c>
      <c r="AR39" s="2">
        <v>47.46</v>
      </c>
      <c r="AS39" s="2">
        <v>1.81</v>
      </c>
      <c r="AT39" s="2">
        <v>16.170000000000002</v>
      </c>
      <c r="AU39" s="2">
        <v>10.47</v>
      </c>
      <c r="AV39" s="2">
        <v>0.2</v>
      </c>
      <c r="AW39" s="2">
        <v>6.74</v>
      </c>
      <c r="AX39" s="2">
        <v>11.42</v>
      </c>
      <c r="AY39" s="2">
        <v>3.48</v>
      </c>
      <c r="AZ39" s="2">
        <v>1.72</v>
      </c>
      <c r="BA39" s="2">
        <v>0.52</v>
      </c>
    </row>
    <row r="40" spans="1:53">
      <c r="A40" s="2" t="s">
        <v>40</v>
      </c>
      <c r="B40" s="2" t="s">
        <v>41</v>
      </c>
      <c r="C40" s="2">
        <v>1</v>
      </c>
      <c r="D40" s="2">
        <v>1.9400000000000001E-2</v>
      </c>
      <c r="E40" s="2">
        <v>2680</v>
      </c>
      <c r="F40" s="2">
        <v>1.37E-2</v>
      </c>
      <c r="G40" s="2">
        <v>3.0300000000000001E-2</v>
      </c>
      <c r="H40" s="2"/>
      <c r="I40" s="2"/>
      <c r="J40" s="1">
        <v>2.33</v>
      </c>
      <c r="K40" s="3"/>
      <c r="L40" s="2"/>
      <c r="N40" s="2"/>
      <c r="AH40" s="11">
        <f t="shared" si="0"/>
        <v>1.5656828949574328</v>
      </c>
      <c r="AI40" s="11">
        <f t="shared" si="1"/>
        <v>0.76500603070447548</v>
      </c>
      <c r="AJ40" s="11">
        <f t="shared" si="2"/>
        <v>2.3306889256619083</v>
      </c>
      <c r="AR40" s="2">
        <v>48.85</v>
      </c>
      <c r="AS40" s="2">
        <v>0.83</v>
      </c>
      <c r="AT40" s="2">
        <v>16.829999999999998</v>
      </c>
      <c r="AU40" s="2">
        <v>8.15</v>
      </c>
      <c r="AV40" s="2">
        <v>0.2</v>
      </c>
      <c r="AW40" s="2">
        <v>7.81</v>
      </c>
      <c r="AX40" s="2">
        <v>12.45</v>
      </c>
      <c r="AY40" s="2">
        <v>2.46</v>
      </c>
      <c r="AZ40" s="2">
        <v>1.99</v>
      </c>
      <c r="BA40" s="2">
        <v>0.43</v>
      </c>
    </row>
    <row r="41" spans="1:53">
      <c r="A41" s="2" t="s">
        <v>40</v>
      </c>
      <c r="B41" s="2" t="s">
        <v>41</v>
      </c>
      <c r="C41" s="2">
        <v>4</v>
      </c>
      <c r="D41" s="2">
        <v>6.7999999999999996E-3</v>
      </c>
      <c r="E41" s="2">
        <v>2680</v>
      </c>
      <c r="F41" s="2">
        <v>4.4000000000000003E-3</v>
      </c>
      <c r="G41" s="2">
        <v>1.1299999999999999E-2</v>
      </c>
      <c r="H41" s="2">
        <v>1.4</v>
      </c>
      <c r="I41" s="2">
        <v>0.52900000000000003</v>
      </c>
      <c r="J41" s="2">
        <v>2.37</v>
      </c>
      <c r="K41" s="2"/>
      <c r="L41" s="2">
        <v>2.2000000000000002</v>
      </c>
      <c r="N41" s="1">
        <v>3568</v>
      </c>
      <c r="P41" s="11">
        <f>J41-L41</f>
        <v>0.16999999999999993</v>
      </c>
      <c r="R41" s="11">
        <f t="shared" ref="R41" si="110">(G41/0.67)/(G41/0.67+F41/0.62)</f>
        <v>0.70383765320474179</v>
      </c>
      <c r="T41" s="11">
        <f t="shared" ref="T41" si="111">R41*H41</f>
        <v>0.98537271448663843</v>
      </c>
      <c r="U41" s="11">
        <f t="shared" ref="U41" si="112">(1-R41)*H41</f>
        <v>0.41462728551336148</v>
      </c>
      <c r="W41" s="11">
        <f t="shared" si="14"/>
        <v>2.2303095528052341</v>
      </c>
      <c r="Y41" s="11">
        <f>100*18*T41/(D41*E41*$Y$3)</f>
        <v>1.7052188147877225</v>
      </c>
      <c r="Z41" s="11">
        <f>100*18*U41/(D41*E41*$Z$3)</f>
        <v>0.94105897545698514</v>
      </c>
      <c r="AB41" s="11">
        <f t="shared" ref="AB41" si="113">Z41+Y41</f>
        <v>2.6462777902447074</v>
      </c>
      <c r="AC41" s="11">
        <f t="shared" ref="AC41" si="114">J41</f>
        <v>2.37</v>
      </c>
      <c r="AE41" s="11">
        <f t="shared" si="8"/>
        <v>7.6329417382498502E-2</v>
      </c>
      <c r="AH41" s="11">
        <f t="shared" si="0"/>
        <v>1.6658367512743568</v>
      </c>
      <c r="AI41" s="11">
        <f t="shared" si="1"/>
        <v>0.700954430881645</v>
      </c>
      <c r="AJ41" s="11">
        <f t="shared" si="2"/>
        <v>2.3667911821560019</v>
      </c>
      <c r="AL41" s="11">
        <f t="shared" ref="AL41" si="115">((100*18*H41)/(E41*D41)-$AM$3*AI41)-$AL$3*AH41</f>
        <v>15.912207271850747</v>
      </c>
      <c r="AN41" s="11">
        <f t="shared" si="18"/>
        <v>253.1983402623398</v>
      </c>
      <c r="AO41" s="11">
        <f>AL41*(E41*D41)/(100*18)</f>
        <v>0.16110225851233781</v>
      </c>
      <c r="AP41" s="11">
        <f>((100*18*H41)/(E41*D41)-$AM$3*AI41)/$AL$3</f>
        <v>1.951432717823596</v>
      </c>
      <c r="AR41" s="2">
        <v>48.85</v>
      </c>
      <c r="AS41" s="2">
        <v>0.83</v>
      </c>
      <c r="AT41" s="2">
        <v>16.829999999999998</v>
      </c>
      <c r="AU41" s="2">
        <v>8.15</v>
      </c>
      <c r="AV41" s="2">
        <v>0.2</v>
      </c>
      <c r="AW41" s="2">
        <v>7.81</v>
      </c>
      <c r="AX41" s="2">
        <v>12.45</v>
      </c>
      <c r="AY41" s="2">
        <v>2.46</v>
      </c>
      <c r="AZ41" s="2">
        <v>1.99</v>
      </c>
      <c r="BA41" s="2">
        <v>0.43</v>
      </c>
    </row>
    <row r="42" spans="1:53">
      <c r="A42" s="2" t="s">
        <v>40</v>
      </c>
      <c r="B42" s="2" t="s">
        <v>42</v>
      </c>
      <c r="C42" s="2">
        <v>1</v>
      </c>
      <c r="D42" s="2">
        <v>2.1000000000000001E-2</v>
      </c>
      <c r="E42" s="2">
        <v>2676</v>
      </c>
      <c r="F42" s="2">
        <v>1.84E-2</v>
      </c>
      <c r="G42" s="2">
        <v>3.5299999999999998E-2</v>
      </c>
      <c r="H42" s="2"/>
      <c r="I42" s="2"/>
      <c r="J42" s="1">
        <v>2.64</v>
      </c>
      <c r="K42" s="3"/>
      <c r="L42" s="2"/>
      <c r="N42" s="2"/>
      <c r="AH42" s="11">
        <f t="shared" si="0"/>
        <v>1.687590235880176</v>
      </c>
      <c r="AI42" s="11">
        <f t="shared" si="1"/>
        <v>0.95058998574115006</v>
      </c>
      <c r="AJ42" s="11">
        <f t="shared" si="2"/>
        <v>2.6381802216213259</v>
      </c>
      <c r="AR42" s="2">
        <v>48.85</v>
      </c>
      <c r="AS42" s="2">
        <v>0.83</v>
      </c>
      <c r="AT42" s="2">
        <v>16.829999999999998</v>
      </c>
      <c r="AU42" s="2">
        <v>8.15</v>
      </c>
      <c r="AV42" s="2">
        <v>0.2</v>
      </c>
      <c r="AW42" s="2">
        <v>7.81</v>
      </c>
      <c r="AX42" s="2">
        <v>12.45</v>
      </c>
      <c r="AY42" s="2">
        <v>2.46</v>
      </c>
      <c r="AZ42" s="2">
        <v>1.99</v>
      </c>
      <c r="BA42" s="2">
        <v>0.43</v>
      </c>
    </row>
    <row r="43" spans="1:53">
      <c r="A43" s="2" t="s">
        <v>40</v>
      </c>
      <c r="B43" s="2" t="s">
        <v>42</v>
      </c>
      <c r="C43" s="4">
        <v>43923</v>
      </c>
      <c r="D43" s="2">
        <v>4.1999999999999997E-3</v>
      </c>
      <c r="E43" s="2">
        <v>2676</v>
      </c>
      <c r="F43" s="2">
        <v>3.5999999999999999E-3</v>
      </c>
      <c r="G43" s="2">
        <v>7.1999999999999998E-3</v>
      </c>
      <c r="H43" s="2">
        <v>1.0169999999999999</v>
      </c>
      <c r="I43" s="2">
        <v>0.48199999999999998</v>
      </c>
      <c r="J43" s="2">
        <v>2.65</v>
      </c>
      <c r="K43" s="2"/>
      <c r="L43" s="2">
        <v>2.59</v>
      </c>
      <c r="N43" s="1">
        <v>5272</v>
      </c>
      <c r="P43" s="11">
        <f t="shared" si="3"/>
        <v>6.0000000000000053E-2</v>
      </c>
      <c r="R43" s="11">
        <f t="shared" ref="R43" si="116">(G43/0.67)/(G43/0.67+F43/0.62)</f>
        <v>0.64921465968586389</v>
      </c>
      <c r="T43" s="11">
        <f t="shared" ref="T43" si="117">R43*H43</f>
        <v>0.66025130890052353</v>
      </c>
      <c r="U43" s="11">
        <f t="shared" ref="U43" si="118">(1-R43)*H43</f>
        <v>0.35674869109947638</v>
      </c>
      <c r="W43" s="11">
        <f t="shared" si="14"/>
        <v>2.6270380855944286</v>
      </c>
      <c r="Y43" s="11">
        <f>100*18*T43/(D43*E43*$Y$3)</f>
        <v>1.8526661289893065</v>
      </c>
      <c r="Z43" s="11">
        <f>100*18*U43/(D43*E43*$Z$3)</f>
        <v>1.3128939841799976</v>
      </c>
      <c r="AB43" s="11">
        <f t="shared" ref="AB43:AB45" si="119">Z43+Y43</f>
        <v>3.1655601131693043</v>
      </c>
      <c r="AC43" s="11">
        <f t="shared" ref="AC43:AC45" si="120">J43</f>
        <v>2.65</v>
      </c>
      <c r="AE43" s="11">
        <f t="shared" si="8"/>
        <v>0.26580223029114597</v>
      </c>
      <c r="AH43" s="11">
        <f t="shared" si="0"/>
        <v>1.721055198064769</v>
      </c>
      <c r="AI43" s="11">
        <f t="shared" si="1"/>
        <v>0.92992498605112528</v>
      </c>
      <c r="AJ43" s="11">
        <f t="shared" si="2"/>
        <v>2.6509801841158942</v>
      </c>
      <c r="AL43" s="11">
        <f t="shared" ref="AL43" si="121">((100*18*H43)/(E43*D43)-$AM$3*AI43)-$AL$3*AH43</f>
        <v>27.7790061018827</v>
      </c>
      <c r="AN43" s="11">
        <f t="shared" si="18"/>
        <v>771.67318000843625</v>
      </c>
      <c r="AO43" s="11">
        <f>AL43*(E43*D43)/(100*18)</f>
        <v>0.17345211410015557</v>
      </c>
      <c r="AP43" s="11">
        <f>((100*18*H43)/(E43*D43)-$AM$3*AI43)/$AL$3</f>
        <v>2.2196392073039628</v>
      </c>
      <c r="AR43" s="2">
        <v>48.85</v>
      </c>
      <c r="AS43" s="2">
        <v>0.83</v>
      </c>
      <c r="AT43" s="2">
        <v>16.829999999999998</v>
      </c>
      <c r="AU43" s="2">
        <v>8.15</v>
      </c>
      <c r="AV43" s="2">
        <v>0.2</v>
      </c>
      <c r="AW43" s="2">
        <v>7.81</v>
      </c>
      <c r="AX43" s="2">
        <v>12.45</v>
      </c>
      <c r="AY43" s="2">
        <v>2.46</v>
      </c>
      <c r="AZ43" s="2">
        <v>1.99</v>
      </c>
      <c r="BA43" s="2">
        <v>0.43</v>
      </c>
    </row>
    <row r="44" spans="1:53">
      <c r="A44" s="2" t="s">
        <v>40</v>
      </c>
      <c r="B44" s="2" t="s">
        <v>43</v>
      </c>
      <c r="C44" s="2">
        <v>1</v>
      </c>
      <c r="D44" s="2">
        <v>1.8700000000000001E-2</v>
      </c>
      <c r="E44" s="2">
        <v>2634</v>
      </c>
      <c r="F44" s="2">
        <v>2.8400000000000002E-2</v>
      </c>
      <c r="G44" s="2">
        <v>4.5499999999999999E-2</v>
      </c>
      <c r="H44" s="2"/>
      <c r="I44" s="2"/>
      <c r="J44" s="1">
        <v>4.16</v>
      </c>
      <c r="K44" s="3"/>
      <c r="L44" s="2"/>
      <c r="N44" s="2"/>
      <c r="AH44" s="11">
        <f t="shared" si="0"/>
        <v>2.4817139498322884</v>
      </c>
      <c r="AI44" s="11">
        <f t="shared" si="1"/>
        <v>1.673947289521758</v>
      </c>
      <c r="AJ44" s="11">
        <f t="shared" si="2"/>
        <v>4.1556612393540462</v>
      </c>
      <c r="AR44" s="2">
        <v>48.85</v>
      </c>
      <c r="AS44" s="2">
        <v>0.83</v>
      </c>
      <c r="AT44" s="2">
        <v>16.829999999999998</v>
      </c>
      <c r="AU44" s="2">
        <v>8.15</v>
      </c>
      <c r="AV44" s="2">
        <v>0.2</v>
      </c>
      <c r="AW44" s="2">
        <v>7.81</v>
      </c>
      <c r="AX44" s="2">
        <v>12.45</v>
      </c>
      <c r="AY44" s="2">
        <v>2.46</v>
      </c>
      <c r="AZ44" s="2">
        <v>1.99</v>
      </c>
      <c r="BA44" s="2">
        <v>0.43</v>
      </c>
    </row>
    <row r="45" spans="1:53">
      <c r="A45" s="2" t="s">
        <v>40</v>
      </c>
      <c r="B45" s="2" t="s">
        <v>43</v>
      </c>
      <c r="C45" s="2">
        <v>5</v>
      </c>
      <c r="D45" s="2">
        <v>4.8999999999999998E-3</v>
      </c>
      <c r="E45" s="2">
        <v>2634</v>
      </c>
      <c r="F45" s="2">
        <v>7.0000000000000001E-3</v>
      </c>
      <c r="G45" s="2">
        <v>1.21E-2</v>
      </c>
      <c r="H45" s="2">
        <v>1.3109999999999999</v>
      </c>
      <c r="I45" s="2">
        <v>0.63900000000000001</v>
      </c>
      <c r="J45" s="2">
        <v>4.0999999999999996</v>
      </c>
      <c r="K45" s="2"/>
      <c r="L45" s="2">
        <v>2.91</v>
      </c>
      <c r="N45" s="1">
        <v>6086</v>
      </c>
      <c r="P45" s="11">
        <f>J45-L45</f>
        <v>1.1899999999999995</v>
      </c>
      <c r="R45" s="11">
        <f t="shared" ref="R45" si="122">(G45/0.67)/(G45/0.67+F45/0.62)</f>
        <v>0.61532152230971127</v>
      </c>
      <c r="T45" s="11">
        <f>R45*H45</f>
        <v>0.80668651574803141</v>
      </c>
      <c r="U45" s="11">
        <f>(1-R45)*H45</f>
        <v>0.50431348425196854</v>
      </c>
      <c r="W45" s="11">
        <f t="shared" si="14"/>
        <v>2.9489788420328082</v>
      </c>
      <c r="Y45" s="11">
        <f>100*18*T45/(D45*E45*$Y$3)</f>
        <v>1.9711343996872503</v>
      </c>
      <c r="Z45" s="11">
        <f>100*18*U45/(D45*E45*$Z$3)</f>
        <v>1.6161862187974692</v>
      </c>
      <c r="AB45" s="11">
        <f t="shared" si="119"/>
        <v>3.5873206184847195</v>
      </c>
      <c r="AC45" s="11">
        <f t="shared" si="120"/>
        <v>4.0999999999999996</v>
      </c>
      <c r="AE45" s="11">
        <f t="shared" si="8"/>
        <v>0.26284014823089019</v>
      </c>
      <c r="AH45" s="11">
        <f t="shared" si="0"/>
        <v>2.5186697260755864</v>
      </c>
      <c r="AI45" s="11">
        <f t="shared" si="1"/>
        <v>1.5745882451738871</v>
      </c>
      <c r="AJ45" s="11">
        <f t="shared" si="2"/>
        <v>4.0932579712494732</v>
      </c>
      <c r="AL45" s="11">
        <f t="shared" ref="AL45" si="123">((100*18*H45)/(E45*D45)-$AM$3*AI45)-$AL$3*AH45</f>
        <v>-23.880615771688426</v>
      </c>
      <c r="AN45" s="11">
        <f t="shared" si="18"/>
        <v>570.28380963501399</v>
      </c>
      <c r="AO45" s="11">
        <f>AL45*(E45*D45)/(100*18)</f>
        <v>-0.17123197528826326</v>
      </c>
      <c r="AP45" s="11">
        <f>((100*18*H45)/(E45*D45)-$AM$3*AI45)/$AL$3</f>
        <v>2.0900549257158936</v>
      </c>
      <c r="AR45" s="2">
        <v>48.85</v>
      </c>
      <c r="AS45" s="2">
        <v>0.83</v>
      </c>
      <c r="AT45" s="2">
        <v>16.829999999999998</v>
      </c>
      <c r="AU45" s="2">
        <v>8.15</v>
      </c>
      <c r="AV45" s="2">
        <v>0.2</v>
      </c>
      <c r="AW45" s="2">
        <v>7.81</v>
      </c>
      <c r="AX45" s="2">
        <v>12.45</v>
      </c>
      <c r="AY45" s="2">
        <v>2.46</v>
      </c>
      <c r="AZ45" s="2">
        <v>1.99</v>
      </c>
      <c r="BA45" s="2">
        <v>0.43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961EE-6555-5747-97D7-2493FB03527A}">
  <dimension ref="A1:AI39"/>
  <sheetViews>
    <sheetView tabSelected="1" topLeftCell="AB3" workbookViewId="0">
      <selection activeCell="AJ11" sqref="AJ11"/>
    </sheetView>
  </sheetViews>
  <sheetFormatPr baseColWidth="10" defaultRowHeight="16"/>
  <sheetData>
    <row r="1" spans="1:35" s="16" customFormat="1" ht="51">
      <c r="A1" s="15" t="s">
        <v>75</v>
      </c>
      <c r="B1" s="15" t="s">
        <v>76</v>
      </c>
      <c r="C1" s="15" t="s">
        <v>77</v>
      </c>
      <c r="D1" s="15" t="s">
        <v>78</v>
      </c>
      <c r="E1" s="15" t="s">
        <v>79</v>
      </c>
      <c r="F1" s="15" t="s">
        <v>80</v>
      </c>
      <c r="G1" s="15" t="s">
        <v>81</v>
      </c>
      <c r="H1" s="15" t="s">
        <v>82</v>
      </c>
      <c r="I1" s="15" t="s">
        <v>83</v>
      </c>
      <c r="L1" s="15" t="s">
        <v>84</v>
      </c>
      <c r="N1" s="15" t="s">
        <v>85</v>
      </c>
      <c r="P1" s="15" t="s">
        <v>86</v>
      </c>
      <c r="R1" s="15" t="s">
        <v>87</v>
      </c>
      <c r="T1" s="16" t="s">
        <v>321</v>
      </c>
      <c r="U1" s="8" t="s">
        <v>290</v>
      </c>
      <c r="V1" s="8" t="s">
        <v>295</v>
      </c>
      <c r="W1" s="8" t="s">
        <v>296</v>
      </c>
      <c r="X1" s="8" t="s">
        <v>289</v>
      </c>
      <c r="Z1" s="16" t="s">
        <v>300</v>
      </c>
      <c r="AA1" s="8" t="s">
        <v>294</v>
      </c>
      <c r="AB1" s="8" t="s">
        <v>293</v>
      </c>
      <c r="AC1" s="8" t="s">
        <v>297</v>
      </c>
      <c r="AE1" s="19"/>
    </row>
    <row r="2" spans="1:35" s="16" customFormat="1" ht="51">
      <c r="A2" s="17"/>
      <c r="B2" s="17"/>
      <c r="C2" s="17"/>
      <c r="D2" s="17"/>
      <c r="E2" s="17"/>
      <c r="F2" s="18" t="s">
        <v>88</v>
      </c>
      <c r="G2" s="18" t="s">
        <v>89</v>
      </c>
      <c r="H2" s="18" t="s">
        <v>90</v>
      </c>
      <c r="I2" s="18"/>
      <c r="J2" s="16" t="s">
        <v>252</v>
      </c>
      <c r="L2" s="18"/>
      <c r="M2" s="16" t="s">
        <v>261</v>
      </c>
      <c r="N2" s="18"/>
      <c r="O2" s="16" t="s">
        <v>279</v>
      </c>
      <c r="P2" s="18" t="s">
        <v>91</v>
      </c>
      <c r="R2" s="18" t="s">
        <v>92</v>
      </c>
      <c r="T2" s="18"/>
      <c r="AA2" s="9" t="s">
        <v>292</v>
      </c>
      <c r="AB2" s="9" t="s">
        <v>291</v>
      </c>
      <c r="AC2" s="19"/>
      <c r="AD2" s="19" t="s">
        <v>299</v>
      </c>
      <c r="AF2" s="16" t="s">
        <v>532</v>
      </c>
      <c r="AH2" s="16" t="s">
        <v>531</v>
      </c>
    </row>
    <row r="3" spans="1:35">
      <c r="A3" s="13"/>
      <c r="B3" s="13"/>
      <c r="C3" s="13"/>
      <c r="D3" s="13"/>
      <c r="E3" s="13"/>
      <c r="F3" s="14" t="s">
        <v>93</v>
      </c>
      <c r="G3" s="13"/>
      <c r="H3" s="13"/>
      <c r="I3" s="14" t="s">
        <v>94</v>
      </c>
      <c r="L3" s="14" t="s">
        <v>95</v>
      </c>
      <c r="N3" s="14" t="s">
        <v>95</v>
      </c>
      <c r="P3" s="13"/>
      <c r="R3" s="14" t="s">
        <v>96</v>
      </c>
      <c r="AA3" s="20">
        <v>37.66092481057062</v>
      </c>
      <c r="AB3" s="20">
        <v>108.05297845358088</v>
      </c>
      <c r="AC3" s="11"/>
      <c r="AD3" s="11">
        <f>SUM(AD5:AD36)</f>
        <v>3.6311402440417494E-2</v>
      </c>
    </row>
    <row r="4" spans="1:35">
      <c r="A4" s="12" t="s">
        <v>97</v>
      </c>
      <c r="B4" s="14">
        <v>50</v>
      </c>
      <c r="C4" s="14">
        <v>1</v>
      </c>
      <c r="D4" s="14" t="s">
        <v>98</v>
      </c>
      <c r="E4" s="14">
        <v>2.6</v>
      </c>
      <c r="F4" s="14" t="s">
        <v>99</v>
      </c>
      <c r="G4" s="14" t="s">
        <v>100</v>
      </c>
      <c r="H4" s="14" t="s">
        <v>101</v>
      </c>
      <c r="I4" s="14"/>
      <c r="L4" s="14" t="s">
        <v>101</v>
      </c>
      <c r="N4" s="14" t="s">
        <v>101</v>
      </c>
      <c r="P4" s="14"/>
      <c r="R4" s="14">
        <v>0</v>
      </c>
      <c r="AA4" s="11"/>
      <c r="AB4" s="11"/>
      <c r="AC4" s="11"/>
      <c r="AD4" s="11" t="s">
        <v>298</v>
      </c>
    </row>
    <row r="5" spans="1:35">
      <c r="A5" s="12" t="s">
        <v>102</v>
      </c>
      <c r="B5" s="14">
        <v>50</v>
      </c>
      <c r="C5" s="14">
        <v>0.93</v>
      </c>
      <c r="D5" s="14" t="s">
        <v>103</v>
      </c>
      <c r="E5" s="14">
        <v>2.6</v>
      </c>
      <c r="F5" s="14" t="s">
        <v>104</v>
      </c>
      <c r="G5" s="14" t="s">
        <v>100</v>
      </c>
      <c r="H5" s="14" t="s">
        <v>105</v>
      </c>
      <c r="I5" s="14">
        <v>1.59</v>
      </c>
      <c r="J5" t="s">
        <v>253</v>
      </c>
      <c r="L5" s="14">
        <v>0.59</v>
      </c>
      <c r="M5" t="s">
        <v>262</v>
      </c>
      <c r="N5" s="14">
        <v>1.1200000000000001</v>
      </c>
      <c r="O5" t="s">
        <v>257</v>
      </c>
      <c r="P5" s="14">
        <v>1.71</v>
      </c>
      <c r="Q5" t="s">
        <v>256</v>
      </c>
      <c r="R5" s="14">
        <v>0</v>
      </c>
      <c r="T5">
        <f>N5/P5</f>
        <v>0.6549707602339182</v>
      </c>
      <c r="U5" s="14">
        <v>1.59</v>
      </c>
      <c r="V5">
        <f>IF(NOT(ISBLANK($I5)),L5,NA())</f>
        <v>0.59</v>
      </c>
      <c r="W5">
        <f>IF(NOT(ISBLANK($I5)),N5,NA())</f>
        <v>1.1200000000000001</v>
      </c>
      <c r="X5">
        <f>IF(NOT(ISBLANK($I5)),P5,NA())</f>
        <v>1.71</v>
      </c>
      <c r="AA5" s="11">
        <f>$U5*68/AA$3 *V5/$X5</f>
        <v>0.99053758215300602</v>
      </c>
      <c r="AB5" s="11">
        <f>$U5*68/AB$3 *W5/$X5</f>
        <v>0.65537701607099397</v>
      </c>
      <c r="AC5" s="11">
        <f>AA5+AB5</f>
        <v>1.645914598224</v>
      </c>
      <c r="AD5" s="11">
        <f>(X5-AC5)^2</f>
        <v>4.1069387207913408E-3</v>
      </c>
      <c r="AF5">
        <f>U5*65/63</f>
        <v>1.6404761904761906</v>
      </c>
      <c r="AH5">
        <v>1.82</v>
      </c>
      <c r="AI5" t="str">
        <f>A5</f>
        <v>M14</v>
      </c>
    </row>
    <row r="6" spans="1:35">
      <c r="A6" s="12" t="s">
        <v>106</v>
      </c>
      <c r="B6" s="14">
        <v>50</v>
      </c>
      <c r="C6" s="14">
        <v>0.78</v>
      </c>
      <c r="D6" s="14" t="s">
        <v>107</v>
      </c>
      <c r="E6" s="14">
        <v>2</v>
      </c>
      <c r="F6" s="14" t="s">
        <v>108</v>
      </c>
      <c r="G6" s="14" t="s">
        <v>100</v>
      </c>
      <c r="H6" s="14" t="s">
        <v>109</v>
      </c>
      <c r="I6" s="14">
        <v>1.43</v>
      </c>
      <c r="J6" t="s">
        <v>254</v>
      </c>
      <c r="L6" s="14">
        <v>0.54</v>
      </c>
      <c r="M6" t="s">
        <v>262</v>
      </c>
      <c r="N6" s="14">
        <v>0.98</v>
      </c>
      <c r="O6" t="s">
        <v>263</v>
      </c>
      <c r="P6" s="14">
        <v>1.52</v>
      </c>
      <c r="Q6" t="s">
        <v>257</v>
      </c>
      <c r="R6" s="14" t="s">
        <v>110</v>
      </c>
      <c r="T6">
        <f t="shared" ref="T6:T27" si="0">N6/P6</f>
        <v>0.64473684210526316</v>
      </c>
      <c r="U6" s="14">
        <v>1.43</v>
      </c>
      <c r="V6">
        <f>IF(NOT(ISBLANK($I6)),L6,NA())</f>
        <v>0.54</v>
      </c>
      <c r="W6">
        <f>IF(NOT(ISBLANK($I6)),N6,NA())</f>
        <v>0.98</v>
      </c>
      <c r="X6">
        <f>IF(NOT(ISBLANK($I6)),P6,NA())</f>
        <v>1.52</v>
      </c>
      <c r="AA6" s="11">
        <f t="shared" ref="AA6:AA27" si="1">$U6*68/AA$3 *V6/$X6</f>
        <v>0.91728468292918663</v>
      </c>
      <c r="AB6" s="11">
        <f t="shared" ref="AB6:AB27" si="2">$U6*68/AB$3 *W6/$X6</f>
        <v>0.58021732879162569</v>
      </c>
      <c r="AC6" s="11">
        <f t="shared" ref="AC6:AC22" si="3">AA6+AB6</f>
        <v>1.4975020117208122</v>
      </c>
      <c r="AD6" s="11">
        <f t="shared" ref="AD6:AD27" si="4">(X6-AC6)^2</f>
        <v>5.0615947661047196E-4</v>
      </c>
      <c r="AF6">
        <f t="shared" ref="AF6:AF27" si="5">U6*65/63</f>
        <v>1.4753968253968255</v>
      </c>
      <c r="AH6">
        <v>1.54</v>
      </c>
      <c r="AI6" t="str">
        <f t="shared" ref="AI6:AI27" si="6">A6</f>
        <v>M15</v>
      </c>
    </row>
    <row r="7" spans="1:35">
      <c r="A7" s="12" t="s">
        <v>111</v>
      </c>
      <c r="B7" s="14">
        <v>50</v>
      </c>
      <c r="C7" s="14">
        <v>0.54</v>
      </c>
      <c r="D7" s="14" t="s">
        <v>112</v>
      </c>
      <c r="E7" s="14">
        <v>1.28</v>
      </c>
      <c r="F7" s="14" t="s">
        <v>113</v>
      </c>
      <c r="G7" s="14">
        <v>6.55</v>
      </c>
      <c r="H7" s="14" t="s">
        <v>114</v>
      </c>
      <c r="I7" s="14">
        <v>1.1000000000000001</v>
      </c>
      <c r="J7" t="s">
        <v>255</v>
      </c>
      <c r="L7" s="14" t="s">
        <v>101</v>
      </c>
      <c r="N7" s="14" t="s">
        <v>101</v>
      </c>
      <c r="P7" s="14"/>
      <c r="R7" s="14" t="s">
        <v>115</v>
      </c>
      <c r="U7" s="14">
        <v>1.1000000000000001</v>
      </c>
      <c r="AA7" s="11"/>
      <c r="AB7" s="11"/>
      <c r="AC7" s="11"/>
      <c r="AD7" s="11"/>
      <c r="AF7">
        <f t="shared" si="5"/>
        <v>1.1349206349206349</v>
      </c>
      <c r="AH7">
        <v>1.07</v>
      </c>
      <c r="AI7" t="str">
        <f t="shared" si="6"/>
        <v>M16</v>
      </c>
    </row>
    <row r="8" spans="1:35">
      <c r="A8" s="12" t="s">
        <v>116</v>
      </c>
      <c r="B8" s="14">
        <v>50</v>
      </c>
      <c r="C8" s="14">
        <v>0.94</v>
      </c>
      <c r="D8" s="14" t="s">
        <v>117</v>
      </c>
      <c r="E8" s="14">
        <v>2.58</v>
      </c>
      <c r="F8" s="14" t="s">
        <v>118</v>
      </c>
      <c r="G8" s="14" t="s">
        <v>100</v>
      </c>
      <c r="H8" s="14" t="s">
        <v>119</v>
      </c>
      <c r="I8" s="14"/>
      <c r="L8" s="14">
        <v>0.96</v>
      </c>
      <c r="M8" t="s">
        <v>263</v>
      </c>
      <c r="N8" s="14">
        <v>1.38</v>
      </c>
      <c r="O8" t="s">
        <v>272</v>
      </c>
      <c r="P8" s="14">
        <v>2.34</v>
      </c>
      <c r="Q8" t="s">
        <v>255</v>
      </c>
      <c r="R8" s="14">
        <v>0</v>
      </c>
      <c r="U8" s="14"/>
      <c r="AA8" s="11"/>
      <c r="AB8" s="11"/>
      <c r="AC8" s="11"/>
      <c r="AD8" s="11"/>
    </row>
    <row r="9" spans="1:35">
      <c r="A9" s="12" t="s">
        <v>120</v>
      </c>
      <c r="B9" s="14">
        <v>50</v>
      </c>
      <c r="C9" s="14">
        <v>0.83</v>
      </c>
      <c r="D9" s="14" t="s">
        <v>121</v>
      </c>
      <c r="E9" s="14">
        <v>2.27</v>
      </c>
      <c r="F9" s="14" t="s">
        <v>122</v>
      </c>
      <c r="G9" s="14" t="s">
        <v>100</v>
      </c>
      <c r="H9" s="14" t="s">
        <v>123</v>
      </c>
      <c r="I9" s="14"/>
      <c r="L9" s="14">
        <v>0.73</v>
      </c>
      <c r="M9" t="s">
        <v>264</v>
      </c>
      <c r="N9" s="14">
        <v>1.17</v>
      </c>
      <c r="O9" t="s">
        <v>256</v>
      </c>
      <c r="P9" s="14">
        <v>1.9</v>
      </c>
      <c r="Q9" t="s">
        <v>268</v>
      </c>
      <c r="R9" s="14" t="s">
        <v>124</v>
      </c>
      <c r="U9" s="14"/>
      <c r="AA9" s="11"/>
      <c r="AB9" s="11"/>
      <c r="AC9" s="11"/>
      <c r="AD9" s="11"/>
    </row>
    <row r="10" spans="1:35">
      <c r="A10" s="12" t="s">
        <v>125</v>
      </c>
      <c r="B10" s="14">
        <v>50</v>
      </c>
      <c r="C10" s="14">
        <v>0.52</v>
      </c>
      <c r="D10" s="14" t="s">
        <v>126</v>
      </c>
      <c r="E10" s="14">
        <v>1.64</v>
      </c>
      <c r="F10" s="14" t="s">
        <v>127</v>
      </c>
      <c r="G10" s="14">
        <v>6.04</v>
      </c>
      <c r="H10" s="14" t="s">
        <v>128</v>
      </c>
      <c r="I10" s="14"/>
      <c r="L10" s="14">
        <v>0.44</v>
      </c>
      <c r="M10" t="s">
        <v>265</v>
      </c>
      <c r="N10" s="14">
        <v>0.79</v>
      </c>
      <c r="O10" t="s">
        <v>264</v>
      </c>
      <c r="P10" s="14">
        <v>1.23</v>
      </c>
      <c r="Q10" t="s">
        <v>263</v>
      </c>
      <c r="R10" s="14" t="s">
        <v>129</v>
      </c>
      <c r="U10" s="14"/>
      <c r="AA10" s="11"/>
      <c r="AB10" s="11"/>
      <c r="AC10" s="11"/>
      <c r="AD10" s="11"/>
    </row>
    <row r="11" spans="1:35">
      <c r="A11" s="12" t="s">
        <v>130</v>
      </c>
      <c r="B11" s="14">
        <v>50</v>
      </c>
      <c r="C11" s="14">
        <v>0</v>
      </c>
      <c r="D11" s="14" t="s">
        <v>112</v>
      </c>
      <c r="E11" s="14">
        <v>1.24</v>
      </c>
      <c r="F11" s="14" t="s">
        <v>131</v>
      </c>
      <c r="G11" s="14">
        <v>12.47</v>
      </c>
      <c r="H11" s="14" t="s">
        <v>132</v>
      </c>
      <c r="I11" s="14">
        <v>0.7</v>
      </c>
      <c r="J11" t="s">
        <v>256</v>
      </c>
      <c r="L11" s="14">
        <v>0.34</v>
      </c>
      <c r="M11" t="s">
        <v>266</v>
      </c>
      <c r="N11" s="14">
        <v>0.51</v>
      </c>
      <c r="O11" t="s">
        <v>265</v>
      </c>
      <c r="P11" s="14">
        <v>0.85</v>
      </c>
      <c r="Q11" t="s">
        <v>262</v>
      </c>
      <c r="R11" s="14" t="s">
        <v>133</v>
      </c>
      <c r="T11">
        <f t="shared" si="0"/>
        <v>0.6</v>
      </c>
      <c r="U11" s="14">
        <v>0.7</v>
      </c>
      <c r="V11">
        <f>IF(NOT(ISBLANK($I11)),L11,NA())</f>
        <v>0.34</v>
      </c>
      <c r="W11">
        <f>IF(NOT(ISBLANK($I11)),N11,NA())</f>
        <v>0.51</v>
      </c>
      <c r="X11">
        <f>IF(NOT(ISBLANK($I11)),P11,NA())</f>
        <v>0.85</v>
      </c>
      <c r="AA11" s="11">
        <f t="shared" si="1"/>
        <v>0.50556379312958022</v>
      </c>
      <c r="AB11" s="11">
        <f t="shared" si="2"/>
        <v>0.26431478714183948</v>
      </c>
      <c r="AC11" s="11">
        <f t="shared" si="3"/>
        <v>0.76987858027141964</v>
      </c>
      <c r="AD11" s="11">
        <f t="shared" si="4"/>
        <v>6.419441899323342E-3</v>
      </c>
      <c r="AF11">
        <f t="shared" si="5"/>
        <v>0.72222222222222221</v>
      </c>
      <c r="AH11">
        <v>0.77</v>
      </c>
      <c r="AI11" t="str">
        <f t="shared" si="6"/>
        <v>M48</v>
      </c>
    </row>
    <row r="12" spans="1:35">
      <c r="A12" s="12" t="s">
        <v>134</v>
      </c>
      <c r="B12" s="14">
        <v>50</v>
      </c>
      <c r="C12" s="14">
        <v>0</v>
      </c>
      <c r="D12" s="14" t="s">
        <v>135</v>
      </c>
      <c r="E12" s="14">
        <v>1.2</v>
      </c>
      <c r="F12" s="14" t="s">
        <v>136</v>
      </c>
      <c r="G12" s="14">
        <v>10.6</v>
      </c>
      <c r="H12" s="14" t="s">
        <v>128</v>
      </c>
      <c r="I12" s="14">
        <v>0.73</v>
      </c>
      <c r="J12" t="s">
        <v>257</v>
      </c>
      <c r="L12" s="14">
        <v>0.34</v>
      </c>
      <c r="M12" t="s">
        <v>266</v>
      </c>
      <c r="N12" s="14">
        <v>0.51</v>
      </c>
      <c r="O12" t="s">
        <v>265</v>
      </c>
      <c r="P12" s="14">
        <v>0.85</v>
      </c>
      <c r="Q12" t="s">
        <v>281</v>
      </c>
      <c r="R12" s="14" t="s">
        <v>137</v>
      </c>
      <c r="T12">
        <f t="shared" si="0"/>
        <v>0.6</v>
      </c>
      <c r="U12" s="14">
        <v>0.73</v>
      </c>
      <c r="V12">
        <f>IF(NOT(ISBLANK($I12)),L12,NA())</f>
        <v>0.34</v>
      </c>
      <c r="W12">
        <f>IF(NOT(ISBLANK($I12)),N12,NA())</f>
        <v>0.51</v>
      </c>
      <c r="X12">
        <f>IF(NOT(ISBLANK($I12)),P12,NA())</f>
        <v>0.85</v>
      </c>
      <c r="AA12" s="11">
        <f t="shared" si="1"/>
        <v>0.52723081283513373</v>
      </c>
      <c r="AB12" s="11">
        <f t="shared" si="2"/>
        <v>0.27564256373363266</v>
      </c>
      <c r="AC12" s="11">
        <f t="shared" si="3"/>
        <v>0.80287337656876634</v>
      </c>
      <c r="AD12" s="11">
        <f t="shared" si="4"/>
        <v>2.2209186360292992E-3</v>
      </c>
      <c r="AF12">
        <f t="shared" si="5"/>
        <v>0.75317460317460305</v>
      </c>
      <c r="AH12">
        <v>0.82</v>
      </c>
      <c r="AI12" t="str">
        <f t="shared" si="6"/>
        <v>M47</v>
      </c>
    </row>
    <row r="13" spans="1:35">
      <c r="A13" s="12" t="s">
        <v>138</v>
      </c>
      <c r="B13" s="14">
        <v>100</v>
      </c>
      <c r="C13" s="14">
        <v>1</v>
      </c>
      <c r="D13" s="14" t="s">
        <v>103</v>
      </c>
      <c r="E13" s="14">
        <v>2.6</v>
      </c>
      <c r="F13" s="14" t="s">
        <v>139</v>
      </c>
      <c r="G13" s="14" t="s">
        <v>100</v>
      </c>
      <c r="H13" s="14" t="s">
        <v>105</v>
      </c>
      <c r="I13" s="14"/>
      <c r="L13" s="14">
        <v>1.46</v>
      </c>
      <c r="M13" t="s">
        <v>267</v>
      </c>
      <c r="N13" s="14">
        <v>1.68</v>
      </c>
      <c r="O13" t="s">
        <v>255</v>
      </c>
      <c r="P13" s="14">
        <v>3.14</v>
      </c>
      <c r="Q13" t="s">
        <v>258</v>
      </c>
      <c r="R13" s="14">
        <v>0</v>
      </c>
      <c r="U13" s="14"/>
      <c r="AA13" s="11"/>
      <c r="AB13" s="11"/>
      <c r="AC13" s="11"/>
      <c r="AD13" s="11"/>
    </row>
    <row r="14" spans="1:35">
      <c r="A14" s="12" t="s">
        <v>140</v>
      </c>
      <c r="B14" s="14">
        <v>100</v>
      </c>
      <c r="C14" s="14">
        <v>0.94</v>
      </c>
      <c r="D14" s="14" t="s">
        <v>141</v>
      </c>
      <c r="E14" s="14">
        <v>2.1800000000000002</v>
      </c>
      <c r="F14" s="14" t="s">
        <v>142</v>
      </c>
      <c r="G14" s="14" t="s">
        <v>100</v>
      </c>
      <c r="H14" s="14" t="s">
        <v>143</v>
      </c>
      <c r="I14" s="14"/>
      <c r="L14" s="14">
        <v>1.49</v>
      </c>
      <c r="M14" t="s">
        <v>268</v>
      </c>
      <c r="N14" s="14">
        <v>1.6</v>
      </c>
      <c r="O14" t="s">
        <v>267</v>
      </c>
      <c r="P14" s="14">
        <v>3.08</v>
      </c>
      <c r="Q14" t="s">
        <v>271</v>
      </c>
      <c r="R14" s="14">
        <v>0</v>
      </c>
      <c r="U14" s="14"/>
      <c r="AA14" s="11"/>
      <c r="AB14" s="11"/>
      <c r="AC14" s="11"/>
      <c r="AD14" s="11"/>
    </row>
    <row r="15" spans="1:35">
      <c r="A15" s="12" t="s">
        <v>144</v>
      </c>
      <c r="B15" s="14">
        <v>100</v>
      </c>
      <c r="C15" s="14">
        <v>0.77</v>
      </c>
      <c r="D15" s="14" t="s">
        <v>145</v>
      </c>
      <c r="E15" s="14">
        <v>2.02</v>
      </c>
      <c r="F15" s="14" t="s">
        <v>146</v>
      </c>
      <c r="G15" s="14" t="s">
        <v>100</v>
      </c>
      <c r="H15" s="14" t="s">
        <v>147</v>
      </c>
      <c r="I15" s="14">
        <v>2.06</v>
      </c>
      <c r="J15" t="s">
        <v>258</v>
      </c>
      <c r="L15" s="14">
        <v>0.94</v>
      </c>
      <c r="M15" t="s">
        <v>263</v>
      </c>
      <c r="N15" s="14">
        <v>1.27</v>
      </c>
      <c r="O15" t="s">
        <v>256</v>
      </c>
      <c r="P15" s="14">
        <v>2.21</v>
      </c>
      <c r="Q15" t="s">
        <v>255</v>
      </c>
      <c r="R15" s="14" t="s">
        <v>148</v>
      </c>
      <c r="T15">
        <f t="shared" si="0"/>
        <v>0.57466063348416296</v>
      </c>
      <c r="U15" s="14">
        <v>2.06</v>
      </c>
      <c r="V15">
        <f>IF(NOT(ISBLANK($I15)),L15,NA())</f>
        <v>0.94</v>
      </c>
      <c r="W15">
        <f>IF(NOT(ISBLANK($I15)),N15,NA())</f>
        <v>1.27</v>
      </c>
      <c r="X15">
        <f>IF(NOT(ISBLANK($I15)),P15,NA())</f>
        <v>2.21</v>
      </c>
      <c r="AA15" s="11">
        <f t="shared" si="1"/>
        <v>1.5820519214869411</v>
      </c>
      <c r="AB15" s="11">
        <f t="shared" si="2"/>
        <v>0.7449906767081238</v>
      </c>
      <c r="AC15" s="11">
        <f t="shared" si="3"/>
        <v>2.3270425981950646</v>
      </c>
      <c r="AD15" s="11">
        <f t="shared" si="4"/>
        <v>1.3698969792251358E-2</v>
      </c>
      <c r="AF15">
        <f t="shared" si="5"/>
        <v>2.1253968253968254</v>
      </c>
      <c r="AH15">
        <v>2.2599999999999998</v>
      </c>
      <c r="AI15" t="str">
        <f t="shared" si="6"/>
        <v>M8</v>
      </c>
    </row>
    <row r="16" spans="1:35">
      <c r="A16" s="12" t="s">
        <v>149</v>
      </c>
      <c r="B16" s="14">
        <v>100</v>
      </c>
      <c r="C16" s="14">
        <v>0.38</v>
      </c>
      <c r="D16" s="14" t="s">
        <v>150</v>
      </c>
      <c r="E16" s="14">
        <v>0.87</v>
      </c>
      <c r="F16" s="14" t="s">
        <v>151</v>
      </c>
      <c r="G16" s="14">
        <v>13.33</v>
      </c>
      <c r="H16" s="14" t="s">
        <v>152</v>
      </c>
      <c r="I16" s="14">
        <v>1.31</v>
      </c>
      <c r="J16" t="s">
        <v>254</v>
      </c>
      <c r="L16" s="14">
        <v>0</v>
      </c>
      <c r="N16" s="14">
        <v>0.78</v>
      </c>
      <c r="O16" t="s">
        <v>259</v>
      </c>
      <c r="P16" s="14">
        <v>0.78</v>
      </c>
      <c r="Q16" t="s">
        <v>259</v>
      </c>
      <c r="R16" s="14" t="s">
        <v>153</v>
      </c>
      <c r="T16">
        <f t="shared" si="0"/>
        <v>1</v>
      </c>
      <c r="U16" s="14">
        <v>1.31</v>
      </c>
      <c r="V16">
        <f>IF(NOT(ISBLANK($I16)),L16,NA())</f>
        <v>0</v>
      </c>
      <c r="W16">
        <f>IF(NOT(ISBLANK($I16)),N16,NA())</f>
        <v>0.78</v>
      </c>
      <c r="X16">
        <f>IF(NOT(ISBLANK($I16)),P16,NA())</f>
        <v>0.78</v>
      </c>
      <c r="AA16" s="11">
        <f t="shared" si="1"/>
        <v>0</v>
      </c>
      <c r="AB16" s="11">
        <f t="shared" si="2"/>
        <v>0.82441040751383288</v>
      </c>
      <c r="AC16" s="11">
        <f t="shared" si="3"/>
        <v>0.82441040751383288</v>
      </c>
      <c r="AD16" s="11">
        <f t="shared" si="4"/>
        <v>1.9722842955447015E-3</v>
      </c>
      <c r="AF16">
        <f t="shared" si="5"/>
        <v>1.3515873015873017</v>
      </c>
      <c r="AH16">
        <v>1.2</v>
      </c>
      <c r="AI16" t="str">
        <f t="shared" si="6"/>
        <v>M9</v>
      </c>
    </row>
    <row r="17" spans="1:35">
      <c r="A17" s="12" t="s">
        <v>154</v>
      </c>
      <c r="B17" s="14">
        <v>100</v>
      </c>
      <c r="C17" s="14">
        <v>0</v>
      </c>
      <c r="D17" s="14" t="s">
        <v>155</v>
      </c>
      <c r="E17" s="14">
        <v>2.6</v>
      </c>
      <c r="F17" s="14" t="s">
        <v>156</v>
      </c>
      <c r="G17" s="14">
        <v>16.84</v>
      </c>
      <c r="H17" s="14" t="s">
        <v>157</v>
      </c>
      <c r="I17" s="14">
        <v>0.84</v>
      </c>
      <c r="J17" t="s">
        <v>255</v>
      </c>
      <c r="L17" s="14">
        <v>0</v>
      </c>
      <c r="N17" s="14">
        <v>0.55000000000000004</v>
      </c>
      <c r="O17" t="s">
        <v>262</v>
      </c>
      <c r="P17" s="14">
        <v>0.55000000000000004</v>
      </c>
      <c r="Q17" t="s">
        <v>262</v>
      </c>
      <c r="R17" s="14" t="s">
        <v>158</v>
      </c>
      <c r="T17">
        <f t="shared" si="0"/>
        <v>1</v>
      </c>
      <c r="U17" s="14">
        <v>0.84</v>
      </c>
      <c r="V17">
        <f>IF(NOT(ISBLANK($I17)),L17,NA())</f>
        <v>0</v>
      </c>
      <c r="W17">
        <f>IF(NOT(ISBLANK($I17)),N17,NA())</f>
        <v>0.55000000000000004</v>
      </c>
      <c r="X17">
        <f>IF(NOT(ISBLANK($I17)),P17,NA())</f>
        <v>0.55000000000000004</v>
      </c>
      <c r="AA17" s="11">
        <f t="shared" si="1"/>
        <v>0</v>
      </c>
      <c r="AB17" s="11">
        <f t="shared" si="2"/>
        <v>0.52862957428367896</v>
      </c>
      <c r="AC17" s="11">
        <f t="shared" si="3"/>
        <v>0.52862957428367896</v>
      </c>
      <c r="AD17" s="11">
        <f t="shared" si="4"/>
        <v>4.5669509529679754E-4</v>
      </c>
      <c r="AF17">
        <f t="shared" si="5"/>
        <v>0.8666666666666667</v>
      </c>
      <c r="AH17">
        <v>0.75</v>
      </c>
      <c r="AI17" t="str">
        <f t="shared" si="6"/>
        <v>M10</v>
      </c>
    </row>
    <row r="18" spans="1:35">
      <c r="A18" s="12" t="s">
        <v>159</v>
      </c>
      <c r="B18" s="14">
        <v>200</v>
      </c>
      <c r="C18" s="14">
        <v>1</v>
      </c>
      <c r="D18" s="14" t="s">
        <v>160</v>
      </c>
      <c r="E18" s="14">
        <v>2.6</v>
      </c>
      <c r="F18" s="14" t="s">
        <v>161</v>
      </c>
      <c r="G18" s="14" t="s">
        <v>100</v>
      </c>
      <c r="H18" s="14" t="s">
        <v>162</v>
      </c>
      <c r="I18" s="14"/>
      <c r="L18" s="14">
        <v>2.92</v>
      </c>
      <c r="M18" t="s">
        <v>269</v>
      </c>
      <c r="N18" s="14">
        <v>2.06</v>
      </c>
      <c r="O18" t="s">
        <v>253</v>
      </c>
      <c r="P18" s="14">
        <v>4.9800000000000004</v>
      </c>
      <c r="Q18" t="s">
        <v>282</v>
      </c>
      <c r="R18" s="14">
        <v>0</v>
      </c>
      <c r="U18" s="14"/>
      <c r="AA18" s="11"/>
      <c r="AB18" s="11"/>
      <c r="AC18" s="11"/>
      <c r="AD18" s="11"/>
    </row>
    <row r="19" spans="1:35">
      <c r="A19" s="12" t="s">
        <v>163</v>
      </c>
      <c r="B19" s="14">
        <v>200</v>
      </c>
      <c r="C19" s="14">
        <v>0.94</v>
      </c>
      <c r="D19" s="14" t="s">
        <v>164</v>
      </c>
      <c r="E19" s="14">
        <v>2.4900000000000002</v>
      </c>
      <c r="F19" s="14" t="s">
        <v>165</v>
      </c>
      <c r="G19" s="14" t="s">
        <v>100</v>
      </c>
      <c r="H19" s="14" t="s">
        <v>166</v>
      </c>
      <c r="I19" s="14"/>
      <c r="L19" s="14">
        <v>2.31</v>
      </c>
      <c r="M19" t="s">
        <v>270</v>
      </c>
      <c r="N19" s="14">
        <v>1.91</v>
      </c>
      <c r="O19" t="s">
        <v>254</v>
      </c>
      <c r="P19" s="14">
        <v>4.22</v>
      </c>
      <c r="Q19" t="s">
        <v>283</v>
      </c>
      <c r="R19" s="14" t="s">
        <v>167</v>
      </c>
      <c r="U19" s="14"/>
      <c r="AA19" s="11"/>
      <c r="AB19" s="11"/>
      <c r="AC19" s="11"/>
      <c r="AD19" s="11"/>
    </row>
    <row r="20" spans="1:35">
      <c r="A20" s="12" t="s">
        <v>168</v>
      </c>
      <c r="B20" s="14">
        <v>200</v>
      </c>
      <c r="C20" s="14">
        <v>0.89</v>
      </c>
      <c r="D20" s="14" t="s">
        <v>169</v>
      </c>
      <c r="E20" s="14">
        <v>2.23</v>
      </c>
      <c r="F20" s="14" t="s">
        <v>170</v>
      </c>
      <c r="G20" s="14" t="s">
        <v>100</v>
      </c>
      <c r="H20" s="14" t="s">
        <v>171</v>
      </c>
      <c r="I20" s="14"/>
      <c r="L20" s="14">
        <v>2.09</v>
      </c>
      <c r="M20" t="s">
        <v>271</v>
      </c>
      <c r="N20" s="14">
        <v>1.88</v>
      </c>
      <c r="O20" t="s">
        <v>254</v>
      </c>
      <c r="P20" s="14">
        <v>3.97</v>
      </c>
      <c r="Q20" t="s">
        <v>269</v>
      </c>
      <c r="R20" s="14" t="s">
        <v>172</v>
      </c>
      <c r="U20" s="14"/>
      <c r="AA20" s="11"/>
      <c r="AB20" s="11"/>
      <c r="AC20" s="11"/>
      <c r="AD20" s="11"/>
    </row>
    <row r="21" spans="1:35">
      <c r="A21" s="12" t="s">
        <v>173</v>
      </c>
      <c r="B21" s="14">
        <v>200</v>
      </c>
      <c r="C21" s="14">
        <v>0.78</v>
      </c>
      <c r="D21" s="14" t="s">
        <v>174</v>
      </c>
      <c r="E21" s="14">
        <v>2.0099999999999998</v>
      </c>
      <c r="F21" s="14" t="s">
        <v>175</v>
      </c>
      <c r="G21" s="14" t="s">
        <v>100</v>
      </c>
      <c r="H21" s="14" t="s">
        <v>176</v>
      </c>
      <c r="I21" s="14"/>
      <c r="L21" s="14">
        <v>1.36</v>
      </c>
      <c r="M21" t="s">
        <v>272</v>
      </c>
      <c r="N21" s="14">
        <v>1.65</v>
      </c>
      <c r="O21" t="s">
        <v>255</v>
      </c>
      <c r="P21" s="14">
        <v>3</v>
      </c>
      <c r="Q21" t="s">
        <v>271</v>
      </c>
      <c r="R21" s="14" t="s">
        <v>177</v>
      </c>
      <c r="U21" s="14"/>
      <c r="AA21" s="11"/>
      <c r="AB21" s="11"/>
      <c r="AC21" s="11"/>
      <c r="AD21" s="11"/>
    </row>
    <row r="22" spans="1:35">
      <c r="A22" s="12" t="s">
        <v>178</v>
      </c>
      <c r="B22" s="14">
        <v>200</v>
      </c>
      <c r="C22" s="14">
        <v>0</v>
      </c>
      <c r="D22" s="14" t="s">
        <v>179</v>
      </c>
      <c r="E22" s="14">
        <v>0.31</v>
      </c>
      <c r="F22" s="14" t="s">
        <v>180</v>
      </c>
      <c r="G22" s="14">
        <v>12.53</v>
      </c>
      <c r="H22" s="14" t="s">
        <v>157</v>
      </c>
      <c r="I22" s="14">
        <v>0.82</v>
      </c>
      <c r="J22" t="s">
        <v>255</v>
      </c>
      <c r="L22" s="14">
        <v>0</v>
      </c>
      <c r="N22" s="14">
        <v>0.52</v>
      </c>
      <c r="O22" t="s">
        <v>265</v>
      </c>
      <c r="P22" s="14">
        <v>0.52</v>
      </c>
      <c r="Q22" t="s">
        <v>265</v>
      </c>
      <c r="R22" s="14" t="s">
        <v>181</v>
      </c>
      <c r="T22">
        <f t="shared" si="0"/>
        <v>1</v>
      </c>
      <c r="U22" s="14">
        <v>0.82</v>
      </c>
      <c r="V22">
        <f>IF(NOT(ISBLANK($I22)),L22,NA())</f>
        <v>0</v>
      </c>
      <c r="W22">
        <f>IF(NOT(ISBLANK($I22)),N22,NA())</f>
        <v>0.52</v>
      </c>
      <c r="X22">
        <f>IF(NOT(ISBLANK($I22)),P22,NA())</f>
        <v>0.52</v>
      </c>
      <c r="AA22" s="11">
        <f t="shared" si="1"/>
        <v>0</v>
      </c>
      <c r="AB22" s="11">
        <f t="shared" si="2"/>
        <v>0.51604315584835325</v>
      </c>
      <c r="AC22" s="11">
        <f t="shared" si="3"/>
        <v>0.51604315584835325</v>
      </c>
      <c r="AD22" s="11">
        <f t="shared" si="4"/>
        <v>1.5656615640421211E-5</v>
      </c>
      <c r="AF22">
        <f t="shared" si="5"/>
        <v>0.84603174603174602</v>
      </c>
      <c r="AH22">
        <v>0.64</v>
      </c>
      <c r="AI22" t="str">
        <f t="shared" si="6"/>
        <v>M5</v>
      </c>
    </row>
    <row r="23" spans="1:35">
      <c r="A23" s="12" t="s">
        <v>182</v>
      </c>
      <c r="B23" s="14">
        <v>300</v>
      </c>
      <c r="C23" s="14">
        <v>1</v>
      </c>
      <c r="D23" s="14" t="s">
        <v>183</v>
      </c>
      <c r="E23" s="14">
        <v>2.6</v>
      </c>
      <c r="F23" s="14" t="s">
        <v>184</v>
      </c>
      <c r="G23" s="14" t="s">
        <v>100</v>
      </c>
      <c r="H23" s="14" t="s">
        <v>101</v>
      </c>
      <c r="I23" s="14"/>
      <c r="L23" s="14">
        <v>4.16</v>
      </c>
      <c r="M23" t="s">
        <v>273</v>
      </c>
      <c r="N23" s="14">
        <v>2.23</v>
      </c>
      <c r="O23" t="s">
        <v>258</v>
      </c>
      <c r="P23" s="14">
        <v>6.39</v>
      </c>
      <c r="Q23" t="s">
        <v>284</v>
      </c>
      <c r="R23" s="14">
        <v>0</v>
      </c>
      <c r="U23" s="14"/>
      <c r="AA23" s="11"/>
      <c r="AB23" s="11"/>
      <c r="AC23" s="11"/>
      <c r="AD23" s="11"/>
    </row>
    <row r="24" spans="1:35">
      <c r="A24" s="12" t="s">
        <v>185</v>
      </c>
      <c r="B24" s="14">
        <v>300</v>
      </c>
      <c r="C24" s="14">
        <v>0.95</v>
      </c>
      <c r="D24" s="14" t="s">
        <v>186</v>
      </c>
      <c r="E24" s="14">
        <v>2.4900000000000002</v>
      </c>
      <c r="F24" s="14" t="s">
        <v>187</v>
      </c>
      <c r="G24" s="14" t="s">
        <v>100</v>
      </c>
      <c r="H24" s="14" t="s">
        <v>166</v>
      </c>
      <c r="I24" s="14"/>
      <c r="L24" s="14">
        <v>3.62</v>
      </c>
      <c r="M24" t="s">
        <v>274</v>
      </c>
      <c r="N24" s="14">
        <v>2.2200000000000002</v>
      </c>
      <c r="O24" t="s">
        <v>258</v>
      </c>
      <c r="P24" s="14">
        <v>5.84</v>
      </c>
      <c r="Q24" t="s">
        <v>285</v>
      </c>
      <c r="R24" s="14" t="s">
        <v>188</v>
      </c>
      <c r="U24" s="14"/>
      <c r="AA24" s="11"/>
      <c r="AB24" s="11"/>
      <c r="AC24" s="11"/>
      <c r="AD24" s="11"/>
    </row>
    <row r="25" spans="1:35">
      <c r="A25" s="12" t="s">
        <v>189</v>
      </c>
      <c r="B25" s="14">
        <v>300</v>
      </c>
      <c r="C25" s="14">
        <v>0.84</v>
      </c>
      <c r="D25" s="14" t="s">
        <v>190</v>
      </c>
      <c r="E25" s="14">
        <v>2.17</v>
      </c>
      <c r="F25" s="14" t="s">
        <v>191</v>
      </c>
      <c r="G25" s="14" t="s">
        <v>100</v>
      </c>
      <c r="H25" s="14" t="s">
        <v>192</v>
      </c>
      <c r="I25" s="14"/>
      <c r="L25" s="14">
        <v>2.2799999999999998</v>
      </c>
      <c r="M25" t="s">
        <v>258</v>
      </c>
      <c r="N25" s="14">
        <v>1.94</v>
      </c>
      <c r="O25" t="s">
        <v>254</v>
      </c>
      <c r="P25" s="14">
        <v>4.2300000000000004</v>
      </c>
      <c r="Q25" t="s">
        <v>283</v>
      </c>
      <c r="R25" s="14" t="s">
        <v>193</v>
      </c>
      <c r="U25" s="14"/>
      <c r="AA25" s="11"/>
      <c r="AB25" s="11"/>
      <c r="AC25" s="11"/>
      <c r="AD25" s="11"/>
    </row>
    <row r="26" spans="1:35">
      <c r="A26" s="12" t="s">
        <v>194</v>
      </c>
      <c r="B26" s="14">
        <v>300</v>
      </c>
      <c r="C26" s="14">
        <v>0.71</v>
      </c>
      <c r="D26" s="14" t="s">
        <v>195</v>
      </c>
      <c r="E26" s="14">
        <v>1.78</v>
      </c>
      <c r="F26" s="14" t="s">
        <v>196</v>
      </c>
      <c r="G26" s="14" t="s">
        <v>100</v>
      </c>
      <c r="H26" s="14" t="s">
        <v>143</v>
      </c>
      <c r="I26" s="14"/>
      <c r="L26" s="14">
        <v>1.44</v>
      </c>
      <c r="M26" t="s">
        <v>268</v>
      </c>
      <c r="N26" s="14">
        <v>1.61</v>
      </c>
      <c r="O26" t="s">
        <v>255</v>
      </c>
      <c r="P26" s="14">
        <v>3.05</v>
      </c>
      <c r="Q26" t="s">
        <v>271</v>
      </c>
      <c r="R26" s="14" t="s">
        <v>197</v>
      </c>
      <c r="U26" s="14"/>
      <c r="AA26" s="11"/>
      <c r="AB26" s="11"/>
      <c r="AC26" s="11"/>
      <c r="AD26" s="11"/>
    </row>
    <row r="27" spans="1:35">
      <c r="A27" s="12" t="s">
        <v>198</v>
      </c>
      <c r="B27" s="14">
        <v>300</v>
      </c>
      <c r="C27" s="14">
        <v>0</v>
      </c>
      <c r="D27" s="14" t="s">
        <v>199</v>
      </c>
      <c r="E27" s="14">
        <v>0.19</v>
      </c>
      <c r="F27" s="14" t="s">
        <v>200</v>
      </c>
      <c r="G27" s="14">
        <v>26.72</v>
      </c>
      <c r="H27" s="14" t="s">
        <v>201</v>
      </c>
      <c r="I27" s="14">
        <v>0.48</v>
      </c>
      <c r="J27" t="s">
        <v>259</v>
      </c>
      <c r="L27" s="14">
        <v>0.27</v>
      </c>
      <c r="M27" t="s">
        <v>275</v>
      </c>
      <c r="N27" s="14">
        <v>0.26</v>
      </c>
      <c r="O27" t="s">
        <v>275</v>
      </c>
      <c r="P27" s="14">
        <v>0.53</v>
      </c>
      <c r="Q27" t="s">
        <v>266</v>
      </c>
      <c r="R27" s="14" t="s">
        <v>202</v>
      </c>
      <c r="T27">
        <f t="shared" si="0"/>
        <v>0.49056603773584906</v>
      </c>
      <c r="U27" s="14">
        <v>0.48</v>
      </c>
      <c r="V27">
        <f>IF(NOT(ISBLANK($I27)),L27,NA())</f>
        <v>0.27</v>
      </c>
      <c r="W27">
        <f>IF(NOT(ISBLANK($I27)),N27,NA())</f>
        <v>0.26</v>
      </c>
      <c r="X27">
        <f>IF(NOT(ISBLANK($I27)),P27,NA())</f>
        <v>0.53</v>
      </c>
      <c r="AA27" s="11">
        <f t="shared" si="1"/>
        <v>0.44151662796222102</v>
      </c>
      <c r="AB27" s="11">
        <f t="shared" si="2"/>
        <v>0.14818726610647606</v>
      </c>
      <c r="AC27" s="11">
        <f>AA27+AB27</f>
        <v>0.58970389406869705</v>
      </c>
      <c r="AD27" s="11">
        <f t="shared" si="4"/>
        <v>3.5645549669661961E-3</v>
      </c>
      <c r="AF27">
        <f t="shared" si="5"/>
        <v>0.4952380952380952</v>
      </c>
      <c r="AH27">
        <v>0.65</v>
      </c>
      <c r="AI27" t="str">
        <f t="shared" si="6"/>
        <v>M37</v>
      </c>
    </row>
    <row r="28" spans="1:35">
      <c r="A28" s="12" t="s">
        <v>203</v>
      </c>
      <c r="B28" s="14">
        <v>400</v>
      </c>
      <c r="C28" s="14">
        <v>1</v>
      </c>
      <c r="D28" s="14" t="s">
        <v>103</v>
      </c>
      <c r="E28" s="14">
        <v>2.6</v>
      </c>
      <c r="F28" s="14" t="s">
        <v>204</v>
      </c>
      <c r="G28" s="14" t="s">
        <v>100</v>
      </c>
      <c r="H28" s="14" t="s">
        <v>205</v>
      </c>
      <c r="I28" s="14"/>
      <c r="L28" s="14" t="s">
        <v>101</v>
      </c>
      <c r="N28" s="14" t="s">
        <v>101</v>
      </c>
      <c r="P28" s="14"/>
      <c r="R28" s="14">
        <v>0</v>
      </c>
      <c r="U28" s="14"/>
      <c r="AA28" s="11"/>
      <c r="AB28" s="11"/>
      <c r="AC28" s="11"/>
      <c r="AD28" s="11"/>
    </row>
    <row r="29" spans="1:35">
      <c r="A29" s="12" t="s">
        <v>206</v>
      </c>
      <c r="B29" s="14">
        <v>400</v>
      </c>
      <c r="C29" s="14">
        <v>0.96</v>
      </c>
      <c r="D29" s="14" t="s">
        <v>207</v>
      </c>
      <c r="E29" s="14">
        <v>2.5099999999999998</v>
      </c>
      <c r="F29" s="14" t="s">
        <v>208</v>
      </c>
      <c r="G29" s="14" t="s">
        <v>100</v>
      </c>
      <c r="H29" s="14" t="s">
        <v>205</v>
      </c>
      <c r="I29" s="14"/>
      <c r="L29" s="14">
        <v>4.59</v>
      </c>
      <c r="M29" t="s">
        <v>276</v>
      </c>
      <c r="N29" s="14">
        <v>2.2999999999999998</v>
      </c>
      <c r="O29" t="s">
        <v>270</v>
      </c>
      <c r="P29" s="14">
        <v>6.89</v>
      </c>
      <c r="Q29" t="s">
        <v>286</v>
      </c>
      <c r="R29" s="14" t="s">
        <v>209</v>
      </c>
      <c r="U29" s="14"/>
      <c r="AA29" s="11"/>
      <c r="AB29" s="11"/>
      <c r="AC29" s="11"/>
      <c r="AD29" s="11"/>
    </row>
    <row r="30" spans="1:35">
      <c r="A30" s="12" t="s">
        <v>210</v>
      </c>
      <c r="B30" s="14">
        <v>400</v>
      </c>
      <c r="C30" s="14">
        <v>0.88</v>
      </c>
      <c r="D30" s="14" t="s">
        <v>211</v>
      </c>
      <c r="E30" s="14">
        <v>2.2999999999999998</v>
      </c>
      <c r="F30" s="14" t="s">
        <v>212</v>
      </c>
      <c r="G30" s="14" t="s">
        <v>100</v>
      </c>
      <c r="H30" s="14" t="s">
        <v>213</v>
      </c>
      <c r="I30" s="14"/>
      <c r="L30" s="14">
        <v>3.22</v>
      </c>
      <c r="M30" t="s">
        <v>277</v>
      </c>
      <c r="N30" s="14">
        <v>1.97</v>
      </c>
      <c r="O30" t="s">
        <v>253</v>
      </c>
      <c r="P30" s="14">
        <v>5.18</v>
      </c>
      <c r="Q30" t="s">
        <v>287</v>
      </c>
      <c r="R30" s="14" t="s">
        <v>214</v>
      </c>
      <c r="U30" s="14"/>
      <c r="AA30" s="11"/>
      <c r="AB30" s="11"/>
      <c r="AC30" s="11"/>
      <c r="AD30" s="11"/>
    </row>
    <row r="31" spans="1:35">
      <c r="A31" s="12" t="s">
        <v>215</v>
      </c>
      <c r="B31" s="14">
        <v>400</v>
      </c>
      <c r="C31" s="14">
        <v>0.63</v>
      </c>
      <c r="D31" s="14" t="s">
        <v>216</v>
      </c>
      <c r="E31" s="14">
        <v>1.73</v>
      </c>
      <c r="F31" s="14" t="s">
        <v>217</v>
      </c>
      <c r="G31" s="14" t="s">
        <v>100</v>
      </c>
      <c r="H31" s="14" t="s">
        <v>105</v>
      </c>
      <c r="I31" s="14"/>
      <c r="L31" s="14">
        <v>1.43</v>
      </c>
      <c r="M31" t="s">
        <v>268</v>
      </c>
      <c r="N31" s="14">
        <v>1.6</v>
      </c>
      <c r="O31" t="s">
        <v>267</v>
      </c>
      <c r="P31" s="14">
        <v>3.03</v>
      </c>
      <c r="Q31" t="s">
        <v>271</v>
      </c>
      <c r="R31" s="14" t="s">
        <v>218</v>
      </c>
      <c r="U31" s="14"/>
      <c r="AA31" s="11"/>
      <c r="AB31" s="11"/>
      <c r="AC31" s="11"/>
      <c r="AD31" s="11"/>
    </row>
    <row r="32" spans="1:35">
      <c r="A32" s="12" t="s">
        <v>219</v>
      </c>
      <c r="B32" s="14">
        <v>500</v>
      </c>
      <c r="C32" s="14">
        <v>0.64</v>
      </c>
      <c r="D32" s="14" t="s">
        <v>220</v>
      </c>
      <c r="E32" s="14">
        <v>1.45</v>
      </c>
      <c r="F32" s="14" t="s">
        <v>221</v>
      </c>
      <c r="G32" s="14" t="s">
        <v>100</v>
      </c>
      <c r="H32" s="14" t="s">
        <v>123</v>
      </c>
      <c r="I32" s="14"/>
      <c r="L32" s="14">
        <v>1.49</v>
      </c>
      <c r="M32" t="s">
        <v>268</v>
      </c>
      <c r="N32" s="14">
        <v>1.68</v>
      </c>
      <c r="O32" t="s">
        <v>255</v>
      </c>
      <c r="P32" s="14">
        <v>3.16</v>
      </c>
      <c r="Q32" t="s">
        <v>258</v>
      </c>
      <c r="R32" s="14" t="s">
        <v>222</v>
      </c>
      <c r="U32" s="14"/>
      <c r="AA32" s="11"/>
      <c r="AB32" s="11"/>
      <c r="AC32" s="11"/>
      <c r="AD32" s="11"/>
    </row>
    <row r="33" spans="1:30">
      <c r="A33" s="12" t="s">
        <v>223</v>
      </c>
      <c r="B33" s="14">
        <v>500</v>
      </c>
      <c r="C33" s="14">
        <v>0.87</v>
      </c>
      <c r="D33" s="14" t="s">
        <v>224</v>
      </c>
      <c r="E33" s="14">
        <v>2.2799999999999998</v>
      </c>
      <c r="F33" s="14" t="s">
        <v>225</v>
      </c>
      <c r="G33" s="14" t="s">
        <v>100</v>
      </c>
      <c r="H33" s="14" t="s">
        <v>192</v>
      </c>
      <c r="I33" s="14"/>
      <c r="L33" s="14">
        <v>3.73</v>
      </c>
      <c r="M33" t="s">
        <v>274</v>
      </c>
      <c r="N33" s="14">
        <v>2.19</v>
      </c>
      <c r="O33" t="s">
        <v>271</v>
      </c>
      <c r="P33" s="14">
        <v>5.91</v>
      </c>
      <c r="Q33" t="s">
        <v>285</v>
      </c>
      <c r="R33" s="14" t="s">
        <v>226</v>
      </c>
      <c r="U33" s="14"/>
      <c r="AA33" s="11"/>
      <c r="AB33" s="11"/>
      <c r="AC33" s="11"/>
      <c r="AD33" s="11"/>
    </row>
    <row r="34" spans="1:30">
      <c r="A34" s="12" t="s">
        <v>227</v>
      </c>
      <c r="B34" s="14">
        <v>500</v>
      </c>
      <c r="C34" s="14">
        <v>0.97</v>
      </c>
      <c r="D34" s="14" t="s">
        <v>228</v>
      </c>
      <c r="E34" s="14">
        <v>2.52</v>
      </c>
      <c r="F34" s="14" t="s">
        <v>229</v>
      </c>
      <c r="G34" s="14" t="s">
        <v>100</v>
      </c>
      <c r="H34" s="14" t="s">
        <v>162</v>
      </c>
      <c r="I34" s="14"/>
      <c r="L34" s="14" t="s">
        <v>101</v>
      </c>
      <c r="N34" s="14" t="s">
        <v>101</v>
      </c>
      <c r="P34" s="14"/>
      <c r="R34" s="14" t="s">
        <v>230</v>
      </c>
      <c r="U34" s="14"/>
      <c r="AA34" s="11"/>
      <c r="AB34" s="11"/>
      <c r="AC34" s="11"/>
      <c r="AD34" s="11"/>
    </row>
    <row r="35" spans="1:30">
      <c r="A35" s="12" t="s">
        <v>231</v>
      </c>
      <c r="B35" s="14">
        <v>500</v>
      </c>
      <c r="C35" s="14">
        <v>1</v>
      </c>
      <c r="D35" s="14" t="s">
        <v>232</v>
      </c>
      <c r="E35" s="14">
        <v>2.6</v>
      </c>
      <c r="F35" s="14" t="s">
        <v>233</v>
      </c>
      <c r="G35" s="14" t="s">
        <v>100</v>
      </c>
      <c r="H35" s="14" t="s">
        <v>205</v>
      </c>
      <c r="I35" s="14"/>
      <c r="L35" s="14" t="s">
        <v>101</v>
      </c>
      <c r="N35" s="14" t="s">
        <v>101</v>
      </c>
      <c r="P35" s="14"/>
      <c r="R35" s="14">
        <v>0</v>
      </c>
      <c r="U35" s="14"/>
      <c r="AA35" s="11"/>
      <c r="AB35" s="11"/>
      <c r="AC35" s="11"/>
      <c r="AD35" s="11"/>
    </row>
    <row r="36" spans="1:30">
      <c r="A36" s="12" t="s">
        <v>234</v>
      </c>
      <c r="B36" s="14">
        <v>500</v>
      </c>
      <c r="C36" s="14">
        <v>0.23</v>
      </c>
      <c r="D36" s="14" t="s">
        <v>235</v>
      </c>
      <c r="E36" s="14">
        <v>0.55000000000000004</v>
      </c>
      <c r="F36" s="14" t="s">
        <v>236</v>
      </c>
      <c r="G36" s="14">
        <v>5.44</v>
      </c>
      <c r="H36" s="14" t="s">
        <v>128</v>
      </c>
      <c r="I36" s="14">
        <v>1.42</v>
      </c>
      <c r="J36" t="s">
        <v>260</v>
      </c>
      <c r="L36" s="14">
        <v>0.69</v>
      </c>
      <c r="M36" t="s">
        <v>264</v>
      </c>
      <c r="N36" s="14">
        <v>0.96</v>
      </c>
      <c r="O36" t="s">
        <v>280</v>
      </c>
      <c r="P36" s="14">
        <v>1.65</v>
      </c>
      <c r="Q36" t="s">
        <v>256</v>
      </c>
      <c r="R36" s="14" t="s">
        <v>237</v>
      </c>
      <c r="T36">
        <f t="shared" ref="T36" si="7">N36/P36</f>
        <v>0.58181818181818179</v>
      </c>
      <c r="U36" s="14">
        <v>1.42</v>
      </c>
      <c r="V36">
        <f>IF(NOT(ISBLANK($I36)),L36,NA())</f>
        <v>0.69</v>
      </c>
      <c r="W36">
        <f>IF(NOT(ISBLANK($I36)),N36,NA())</f>
        <v>0.96</v>
      </c>
      <c r="X36">
        <f>IF(NOT(ISBLANK($I36)),P36,NA())</f>
        <v>1.65</v>
      </c>
      <c r="AA36" s="11">
        <f>$U36*68/AA$3 *V36/$X36</f>
        <v>1.0721891872475384</v>
      </c>
      <c r="AB36" s="11">
        <f>$U36*68/AB$3 *W36/$X36</f>
        <v>0.51993350336472677</v>
      </c>
      <c r="AC36" s="11">
        <f t="shared" ref="AC36" si="8">AA36+AB36</f>
        <v>1.5921226906122652</v>
      </c>
      <c r="AD36" s="11">
        <f t="shared" ref="AD36" si="9">(X36-AC36)^2</f>
        <v>3.3497829419635657E-3</v>
      </c>
    </row>
    <row r="37" spans="1:30">
      <c r="A37" s="12" t="s">
        <v>238</v>
      </c>
      <c r="B37" s="14">
        <v>500</v>
      </c>
      <c r="C37" s="14">
        <v>0.52</v>
      </c>
      <c r="D37" s="14" t="s">
        <v>239</v>
      </c>
      <c r="E37" s="14">
        <v>1.24</v>
      </c>
      <c r="F37" s="14" t="s">
        <v>240</v>
      </c>
      <c r="G37" s="14" t="s">
        <v>100</v>
      </c>
      <c r="H37" s="14" t="s">
        <v>241</v>
      </c>
      <c r="I37" s="14"/>
      <c r="L37" s="14">
        <v>1.24</v>
      </c>
      <c r="M37" t="s">
        <v>256</v>
      </c>
      <c r="N37" s="14">
        <v>1.55</v>
      </c>
      <c r="O37" t="s">
        <v>267</v>
      </c>
      <c r="P37" s="14">
        <v>2.79</v>
      </c>
      <c r="Q37" t="s">
        <v>253</v>
      </c>
      <c r="R37" s="14" t="s">
        <v>242</v>
      </c>
    </row>
    <row r="38" spans="1:30">
      <c r="A38" s="12" t="s">
        <v>243</v>
      </c>
      <c r="B38" s="14">
        <v>500</v>
      </c>
      <c r="C38" s="14">
        <v>0.73</v>
      </c>
      <c r="D38" s="14" t="s">
        <v>244</v>
      </c>
      <c r="E38" s="14">
        <v>1.65</v>
      </c>
      <c r="F38" s="14" t="s">
        <v>245</v>
      </c>
      <c r="G38" s="14" t="s">
        <v>100</v>
      </c>
      <c r="H38" s="14" t="s">
        <v>246</v>
      </c>
      <c r="I38" s="14"/>
      <c r="L38" s="14">
        <v>2.2000000000000002</v>
      </c>
      <c r="M38" t="s">
        <v>258</v>
      </c>
      <c r="N38" s="14">
        <v>1.91</v>
      </c>
      <c r="O38" t="s">
        <v>260</v>
      </c>
      <c r="P38" s="14">
        <v>4.1100000000000003</v>
      </c>
      <c r="Q38" t="s">
        <v>269</v>
      </c>
      <c r="R38" s="14" t="s">
        <v>247</v>
      </c>
    </row>
    <row r="39" spans="1:30">
      <c r="A39" s="12" t="s">
        <v>248</v>
      </c>
      <c r="B39" s="14">
        <v>500</v>
      </c>
      <c r="C39" s="14">
        <v>0.91</v>
      </c>
      <c r="D39" s="14" t="s">
        <v>249</v>
      </c>
      <c r="E39" s="14">
        <v>2.39</v>
      </c>
      <c r="F39" s="14" t="s">
        <v>250</v>
      </c>
      <c r="G39" s="14" t="s">
        <v>100</v>
      </c>
      <c r="H39" s="14" t="s">
        <v>166</v>
      </c>
      <c r="I39" s="14"/>
      <c r="L39" s="14">
        <v>4.8</v>
      </c>
      <c r="M39" t="s">
        <v>278</v>
      </c>
      <c r="N39" s="14">
        <v>2.2799999999999998</v>
      </c>
      <c r="O39" t="s">
        <v>258</v>
      </c>
      <c r="P39" s="14">
        <v>7.09</v>
      </c>
      <c r="Q39" t="s">
        <v>288</v>
      </c>
      <c r="R39" s="14" t="s">
        <v>251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C654E-ECA5-DD48-9905-60F0D9CAC615}">
  <dimension ref="A1:BW90"/>
  <sheetViews>
    <sheetView zoomScale="75" workbookViewId="0">
      <pane xSplit="1" ySplit="1" topLeftCell="H9" activePane="bottomRight" state="frozen"/>
      <selection pane="topRight" activeCell="B1" sqref="B1"/>
      <selection pane="bottomLeft" activeCell="A2" sqref="A2"/>
      <selection pane="bottomRight" activeCell="AA3" sqref="AA3:AB3"/>
    </sheetView>
  </sheetViews>
  <sheetFormatPr baseColWidth="10" defaultRowHeight="16"/>
  <cols>
    <col min="73" max="73" width="16" customWidth="1"/>
    <col min="74" max="74" width="13" bestFit="1" customWidth="1"/>
  </cols>
  <sheetData>
    <row r="1" spans="1:75" s="16" customFormat="1" ht="68">
      <c r="A1" s="15" t="s">
        <v>75</v>
      </c>
      <c r="B1" s="15" t="s">
        <v>76</v>
      </c>
      <c r="C1" s="15" t="s">
        <v>77</v>
      </c>
      <c r="D1" s="15" t="s">
        <v>78</v>
      </c>
      <c r="E1" s="15" t="s">
        <v>79</v>
      </c>
      <c r="F1" s="15" t="s">
        <v>80</v>
      </c>
      <c r="G1" s="15" t="s">
        <v>81</v>
      </c>
      <c r="H1" s="15" t="s">
        <v>82</v>
      </c>
      <c r="I1" s="15" t="s">
        <v>83</v>
      </c>
      <c r="L1" s="15" t="s">
        <v>84</v>
      </c>
      <c r="N1" s="15" t="s">
        <v>85</v>
      </c>
      <c r="P1" s="15" t="s">
        <v>86</v>
      </c>
      <c r="R1" s="15" t="s">
        <v>87</v>
      </c>
      <c r="U1" s="8" t="s">
        <v>290</v>
      </c>
      <c r="V1" s="8" t="s">
        <v>295</v>
      </c>
      <c r="W1" s="8" t="s">
        <v>296</v>
      </c>
      <c r="X1" s="8" t="s">
        <v>289</v>
      </c>
      <c r="Z1" s="16" t="s">
        <v>300</v>
      </c>
      <c r="AA1" s="8" t="s">
        <v>294</v>
      </c>
      <c r="AB1" s="8" t="s">
        <v>293</v>
      </c>
      <c r="AC1" s="8" t="s">
        <v>297</v>
      </c>
      <c r="AE1" s="19"/>
      <c r="AG1" s="16" t="s">
        <v>317</v>
      </c>
      <c r="BA1" s="16" t="s">
        <v>318</v>
      </c>
      <c r="BU1" s="8" t="s">
        <v>323</v>
      </c>
      <c r="BV1" s="16" t="s">
        <v>326</v>
      </c>
    </row>
    <row r="2" spans="1:75" s="16" customFormat="1" ht="51">
      <c r="A2" s="17"/>
      <c r="B2" s="17"/>
      <c r="C2" s="17"/>
      <c r="D2" s="17"/>
      <c r="E2" s="17"/>
      <c r="F2" s="18" t="s">
        <v>88</v>
      </c>
      <c r="G2" s="18" t="s">
        <v>89</v>
      </c>
      <c r="H2" s="18" t="s">
        <v>90</v>
      </c>
      <c r="I2" s="18"/>
      <c r="J2" s="16" t="s">
        <v>252</v>
      </c>
      <c r="L2" s="18"/>
      <c r="M2" s="16" t="s">
        <v>261</v>
      </c>
      <c r="N2" s="18"/>
      <c r="O2" s="16" t="s">
        <v>279</v>
      </c>
      <c r="P2" s="18" t="s">
        <v>91</v>
      </c>
      <c r="R2" s="18" t="s">
        <v>92</v>
      </c>
      <c r="T2" s="18"/>
      <c r="Z2" s="16" t="s">
        <v>301</v>
      </c>
      <c r="AA2" s="9" t="s">
        <v>292</v>
      </c>
      <c r="AB2" s="9" t="s">
        <v>291</v>
      </c>
      <c r="AC2" s="19"/>
      <c r="AD2" s="19" t="s">
        <v>299</v>
      </c>
      <c r="BU2" s="8">
        <v>51.883285267114253</v>
      </c>
      <c r="BV2" s="16">
        <f>SUM(BV5:BV90)</f>
        <v>7.0748936970174467</v>
      </c>
    </row>
    <row r="3" spans="1:75" ht="28">
      <c r="A3" s="13"/>
      <c r="B3" s="13"/>
      <c r="C3" s="13"/>
      <c r="D3" s="13"/>
      <c r="E3" s="13"/>
      <c r="F3" s="14" t="s">
        <v>93</v>
      </c>
      <c r="G3" s="13"/>
      <c r="H3" s="13"/>
      <c r="I3" s="14" t="s">
        <v>94</v>
      </c>
      <c r="L3" s="14" t="s">
        <v>95</v>
      </c>
      <c r="N3" s="14" t="s">
        <v>95</v>
      </c>
      <c r="P3" s="13"/>
      <c r="R3" s="14" t="s">
        <v>96</v>
      </c>
      <c r="Y3">
        <v>0</v>
      </c>
      <c r="Z3">
        <v>0</v>
      </c>
      <c r="AA3" s="20">
        <v>38.88023016668442</v>
      </c>
      <c r="AB3" s="20">
        <v>67.311049628894679</v>
      </c>
      <c r="AC3" s="11"/>
      <c r="AD3" s="11">
        <f>SUM(AD5:AD90)+'Allison et al. 2019'!AE2</f>
        <v>6.042737083491315</v>
      </c>
      <c r="AG3" s="21"/>
      <c r="AH3" s="22" t="s">
        <v>305</v>
      </c>
      <c r="AI3" s="23" t="s">
        <v>306</v>
      </c>
      <c r="AJ3" s="23" t="s">
        <v>307</v>
      </c>
      <c r="AK3" s="23" t="s">
        <v>308</v>
      </c>
      <c r="AL3" s="23" t="s">
        <v>309</v>
      </c>
      <c r="AM3" s="23" t="s">
        <v>68</v>
      </c>
      <c r="AN3" s="23" t="s">
        <v>69</v>
      </c>
      <c r="AO3" s="23" t="s">
        <v>70</v>
      </c>
      <c r="AP3" s="23" t="s">
        <v>310</v>
      </c>
      <c r="AQ3" s="23" t="s">
        <v>311</v>
      </c>
      <c r="AR3" s="24" t="s">
        <v>74</v>
      </c>
      <c r="AT3" s="36" t="s">
        <v>314</v>
      </c>
      <c r="AU3" s="36" t="s">
        <v>315</v>
      </c>
      <c r="AV3" s="36" t="s">
        <v>319</v>
      </c>
      <c r="AW3" s="36" t="s">
        <v>316</v>
      </c>
      <c r="AX3" s="36" t="s">
        <v>320</v>
      </c>
      <c r="AZ3" s="22" t="s">
        <v>305</v>
      </c>
      <c r="BA3" s="23" t="s">
        <v>306</v>
      </c>
      <c r="BB3" s="23" t="s">
        <v>307</v>
      </c>
      <c r="BC3" s="23" t="s">
        <v>308</v>
      </c>
      <c r="BD3" s="23" t="s">
        <v>309</v>
      </c>
      <c r="BE3" s="23" t="s">
        <v>68</v>
      </c>
      <c r="BF3" s="23" t="s">
        <v>69</v>
      </c>
      <c r="BG3" s="23" t="s">
        <v>70</v>
      </c>
      <c r="BH3" s="23" t="s">
        <v>310</v>
      </c>
      <c r="BI3" s="23" t="s">
        <v>311</v>
      </c>
      <c r="BJ3" s="24" t="s">
        <v>74</v>
      </c>
      <c r="BU3" s="5" t="s">
        <v>322</v>
      </c>
      <c r="BV3" s="5" t="s">
        <v>325</v>
      </c>
      <c r="BW3" t="s">
        <v>324</v>
      </c>
    </row>
    <row r="4" spans="1:75">
      <c r="A4" s="12" t="s">
        <v>97</v>
      </c>
      <c r="B4" s="14">
        <v>50</v>
      </c>
      <c r="C4" s="14">
        <v>1</v>
      </c>
      <c r="D4" s="14" t="s">
        <v>98</v>
      </c>
      <c r="E4" s="14">
        <v>2.6</v>
      </c>
      <c r="F4" s="14" t="s">
        <v>99</v>
      </c>
      <c r="G4" s="14" t="s">
        <v>100</v>
      </c>
      <c r="H4" s="14" t="s">
        <v>101</v>
      </c>
      <c r="I4" s="14"/>
      <c r="L4" s="14" t="s">
        <v>101</v>
      </c>
      <c r="N4" s="14" t="s">
        <v>101</v>
      </c>
      <c r="P4" s="14"/>
      <c r="R4" s="14">
        <v>0</v>
      </c>
      <c r="AA4" s="11"/>
      <c r="AB4" s="11"/>
      <c r="AC4" s="11"/>
      <c r="AD4" s="11" t="s">
        <v>298</v>
      </c>
      <c r="AG4" s="25" t="s">
        <v>97</v>
      </c>
      <c r="AH4" s="26">
        <v>49.703153577418007</v>
      </c>
      <c r="AI4" s="26">
        <v>0.94567882071215137</v>
      </c>
      <c r="AJ4" s="26">
        <v>18.413509990212017</v>
      </c>
      <c r="AK4" s="27" t="s">
        <v>101</v>
      </c>
      <c r="AL4" s="27" t="s">
        <v>312</v>
      </c>
      <c r="AM4" s="26">
        <v>0.15739841779404248</v>
      </c>
      <c r="AN4" s="26">
        <v>7.2615440095266734</v>
      </c>
      <c r="AO4" s="26">
        <v>11.293449898533368</v>
      </c>
      <c r="AP4" s="26">
        <v>2.4078777151289534</v>
      </c>
      <c r="AQ4" s="26">
        <v>0.25372165129573465</v>
      </c>
      <c r="AR4" s="28">
        <v>100</v>
      </c>
      <c r="AT4" s="11"/>
      <c r="AU4" s="11"/>
      <c r="AV4" s="11"/>
      <c r="AW4" s="11"/>
      <c r="AX4" s="11"/>
    </row>
    <row r="5" spans="1:75">
      <c r="A5" s="12" t="s">
        <v>102</v>
      </c>
      <c r="B5" s="14">
        <v>50</v>
      </c>
      <c r="C5" s="14">
        <v>0.93</v>
      </c>
      <c r="D5" s="14" t="s">
        <v>103</v>
      </c>
      <c r="E5" s="14">
        <v>2.6</v>
      </c>
      <c r="F5" s="14" t="s">
        <v>104</v>
      </c>
      <c r="G5" s="14" t="s">
        <v>100</v>
      </c>
      <c r="H5" s="14" t="s">
        <v>105</v>
      </c>
      <c r="I5" s="14">
        <v>1.59</v>
      </c>
      <c r="J5" t="s">
        <v>253</v>
      </c>
      <c r="L5" s="14">
        <v>0.59</v>
      </c>
      <c r="M5" t="s">
        <v>262</v>
      </c>
      <c r="N5" s="14">
        <v>1.1200000000000001</v>
      </c>
      <c r="O5" t="s">
        <v>257</v>
      </c>
      <c r="P5" s="14">
        <v>1.71</v>
      </c>
      <c r="Q5" t="s">
        <v>256</v>
      </c>
      <c r="R5" s="14">
        <v>0</v>
      </c>
      <c r="U5" s="14">
        <v>1.59</v>
      </c>
      <c r="V5">
        <f>IF(NOT(ISBLANK($I5)),L5,NA())</f>
        <v>0.59</v>
      </c>
      <c r="W5">
        <f>IF(NOT(ISBLANK($I5)),N5,NA())</f>
        <v>1.1200000000000001</v>
      </c>
      <c r="X5">
        <f>IF(NOT(ISBLANK($I5)),P5,NA())</f>
        <v>1.71</v>
      </c>
      <c r="AA5" s="11">
        <f>$U5*68/AA$3 *V5/$X5</f>
        <v>0.95947377995396232</v>
      </c>
      <c r="AB5" s="11">
        <f>$U5*68/AB$3 *W5/$X5</f>
        <v>1.0520626106251094</v>
      </c>
      <c r="AC5" s="11">
        <f>AA5+AB5</f>
        <v>2.0115363905790717</v>
      </c>
      <c r="AD5" s="11">
        <f>(X5-AC5)^2</f>
        <v>9.0924194843454528E-2</v>
      </c>
      <c r="AG5" s="29" t="s">
        <v>102</v>
      </c>
      <c r="AH5" s="11">
        <v>50.376684183644009</v>
      </c>
      <c r="AI5" s="11">
        <v>0.93660578988439502</v>
      </c>
      <c r="AJ5" s="11">
        <v>18.250423426096958</v>
      </c>
      <c r="AK5" s="30">
        <v>3.3309956018139841</v>
      </c>
      <c r="AL5" s="30">
        <v>5.9150046732167221</v>
      </c>
      <c r="AM5" s="11">
        <v>0.20113855162840846</v>
      </c>
      <c r="AN5" s="11">
        <v>6.9663335279228278</v>
      </c>
      <c r="AO5" s="11">
        <v>11.421436096582239</v>
      </c>
      <c r="AP5" s="11">
        <v>2.3591248828869391</v>
      </c>
      <c r="AQ5" s="11">
        <v>0.24225326632351701</v>
      </c>
      <c r="AR5" s="31">
        <v>100</v>
      </c>
      <c r="AT5" s="11">
        <f>BH5+BI5</f>
        <v>2.5568945828589573</v>
      </c>
      <c r="AU5" s="11">
        <f>AZ5+BB5</f>
        <v>67.453584069614408</v>
      </c>
      <c r="AV5" s="11">
        <f>AT5/AU5</f>
        <v>3.7905985547338074E-2</v>
      </c>
      <c r="AW5" s="11">
        <f t="shared" ref="AW5:AW68" si="0">AC5-X5</f>
        <v>0.30153639057907178</v>
      </c>
      <c r="AX5" s="11">
        <f>(BF5/40.3044)/((BF5/40.3044)+(BD5/71.844))</f>
        <v>0.5821736842101255</v>
      </c>
      <c r="AZ5" s="11">
        <f t="shared" ref="AZ5:BB6" si="1">AH5*$BJ5/100</f>
        <v>49.515242884103699</v>
      </c>
      <c r="BA5" s="11">
        <f t="shared" si="1"/>
        <v>0.9205898308773719</v>
      </c>
      <c r="BB5" s="11">
        <f t="shared" si="1"/>
        <v>17.938341185510701</v>
      </c>
      <c r="BC5" s="11"/>
      <c r="BD5" s="11">
        <f>AL5*$BJ5/100 + AK5*$BJ5/100 *(71.844/159.69)*2</f>
        <v>8.7598135319124921</v>
      </c>
      <c r="BE5" s="11">
        <f t="shared" ref="BE5:BI6" si="2">AM5*$BJ5/100</f>
        <v>0.19769908239556269</v>
      </c>
      <c r="BF5" s="11">
        <f t="shared" si="2"/>
        <v>6.847209224595348</v>
      </c>
      <c r="BG5" s="11">
        <f t="shared" si="2"/>
        <v>11.226129539330683</v>
      </c>
      <c r="BH5" s="11">
        <f t="shared" si="2"/>
        <v>2.3187838473895725</v>
      </c>
      <c r="BI5" s="11">
        <f t="shared" si="2"/>
        <v>0.23811073546938488</v>
      </c>
      <c r="BJ5">
        <f>100-P5</f>
        <v>98.29</v>
      </c>
      <c r="BU5">
        <f>U5*68/$BU$2</f>
        <v>2.0839081303999629</v>
      </c>
      <c r="BV5">
        <f>(BU5-X5)^2</f>
        <v>0.1398072899791957</v>
      </c>
      <c r="BW5">
        <f>(BU5-X5)</f>
        <v>0.37390813039996296</v>
      </c>
    </row>
    <row r="6" spans="1:75">
      <c r="A6" s="12" t="s">
        <v>106</v>
      </c>
      <c r="B6" s="14">
        <v>50</v>
      </c>
      <c r="C6" s="14">
        <v>0.78</v>
      </c>
      <c r="D6" s="14" t="s">
        <v>107</v>
      </c>
      <c r="E6" s="14">
        <v>2</v>
      </c>
      <c r="F6" s="14" t="s">
        <v>108</v>
      </c>
      <c r="G6" s="14" t="s">
        <v>100</v>
      </c>
      <c r="H6" s="14" t="s">
        <v>109</v>
      </c>
      <c r="I6" s="14">
        <v>1.43</v>
      </c>
      <c r="J6" t="s">
        <v>254</v>
      </c>
      <c r="L6" s="14">
        <v>0.54</v>
      </c>
      <c r="M6" t="s">
        <v>262</v>
      </c>
      <c r="N6" s="14">
        <v>0.98</v>
      </c>
      <c r="O6" t="s">
        <v>263</v>
      </c>
      <c r="P6" s="14">
        <v>1.52</v>
      </c>
      <c r="Q6" t="s">
        <v>257</v>
      </c>
      <c r="R6" s="14" t="s">
        <v>110</v>
      </c>
      <c r="U6" s="14">
        <v>1.43</v>
      </c>
      <c r="V6">
        <f>IF(NOT(ISBLANK($I6)),L6,NA())</f>
        <v>0.54</v>
      </c>
      <c r="W6">
        <f>IF(NOT(ISBLANK($I6)),N6,NA())</f>
        <v>0.98</v>
      </c>
      <c r="X6">
        <f>IF(NOT(ISBLANK($I6)),P6,NA())</f>
        <v>1.52</v>
      </c>
      <c r="AA6" s="11">
        <f t="shared" ref="AA6:AA22" si="3">$U6*68/AA$3 *V6/$X6</f>
        <v>0.88851813185215434</v>
      </c>
      <c r="AB6" s="11">
        <f t="shared" ref="AB6:AB22" si="4">$U6*68/AB$3 *W6/$X6</f>
        <v>0.93141038316839708</v>
      </c>
      <c r="AC6" s="11">
        <f t="shared" ref="AC6:AC22" si="5">AA6+AB6</f>
        <v>1.8199285150205515</v>
      </c>
      <c r="AD6" s="11">
        <f t="shared" ref="AD6:AD27" si="6">(X6-AC6)^2</f>
        <v>8.9957114122433193E-2</v>
      </c>
      <c r="AG6" s="29" t="s">
        <v>106</v>
      </c>
      <c r="AH6" s="11">
        <v>50.482330909203945</v>
      </c>
      <c r="AI6" s="11">
        <v>0.94738383647304381</v>
      </c>
      <c r="AJ6" s="11">
        <v>18.367072272013893</v>
      </c>
      <c r="AK6" s="30">
        <v>2.9075003751347674</v>
      </c>
      <c r="AL6" s="30">
        <v>6.177709965404083</v>
      </c>
      <c r="AM6" s="11">
        <v>0.1441745500111494</v>
      </c>
      <c r="AN6" s="11">
        <v>7.0255853376206234</v>
      </c>
      <c r="AO6" s="11">
        <v>11.225819068469562</v>
      </c>
      <c r="AP6" s="11">
        <v>2.4938355239135768</v>
      </c>
      <c r="AQ6" s="11">
        <v>0.22858816175535787</v>
      </c>
      <c r="AR6" s="31">
        <v>100</v>
      </c>
      <c r="AT6" s="11">
        <f t="shared" ref="AT6:AT69" si="7">BH6+BI6</f>
        <v>2.681042845646767</v>
      </c>
      <c r="AU6" s="11">
        <f>AZ6+BB6</f>
        <v>67.80289225286333</v>
      </c>
      <c r="AV6" s="11">
        <f t="shared" ref="AV6:AV69" si="8">AT6/AU6</f>
        <v>3.9541718008844172E-2</v>
      </c>
      <c r="AW6" s="11">
        <f t="shared" si="0"/>
        <v>0.29992851502055151</v>
      </c>
      <c r="AX6" s="11">
        <f t="shared" ref="AX6:AX69" si="9">(BF6/40.3044)/((BF6/40.3044)+(BD6/71.844))</f>
        <v>0.58747607104105293</v>
      </c>
      <c r="AZ6" s="11">
        <f t="shared" si="1"/>
        <v>49.714999479384048</v>
      </c>
      <c r="BA6" s="11">
        <f t="shared" si="1"/>
        <v>0.93298360215865361</v>
      </c>
      <c r="BB6" s="11">
        <f t="shared" si="1"/>
        <v>18.087892773479282</v>
      </c>
      <c r="BC6" s="11"/>
      <c r="BD6" s="11">
        <f>AL6*$BJ6/100 + AK6*$BJ6/100 *(71.844/159.69)*2</f>
        <v>8.6601928030554234</v>
      </c>
      <c r="BE6" s="11">
        <f t="shared" si="2"/>
        <v>0.14198309685097993</v>
      </c>
      <c r="BF6" s="11">
        <f t="shared" si="2"/>
        <v>6.9187964404887907</v>
      </c>
      <c r="BG6" s="11">
        <f t="shared" si="2"/>
        <v>11.055186618628825</v>
      </c>
      <c r="BH6" s="11">
        <f t="shared" si="2"/>
        <v>2.4559292239500907</v>
      </c>
      <c r="BI6" s="11">
        <f t="shared" si="2"/>
        <v>0.22511362169667645</v>
      </c>
      <c r="BJ6">
        <f>100-P6</f>
        <v>98.48</v>
      </c>
      <c r="BU6">
        <f>U6*68/$BU$2</f>
        <v>1.8742066833156898</v>
      </c>
      <c r="BV6">
        <f>(BU6-X6)^2</f>
        <v>0.12546237450550138</v>
      </c>
      <c r="BW6">
        <f t="shared" ref="BW6:BW68" si="10">(BU6-X6)</f>
        <v>0.35420668331568983</v>
      </c>
    </row>
    <row r="7" spans="1:75">
      <c r="A7" s="12" t="s">
        <v>111</v>
      </c>
      <c r="B7" s="14">
        <v>50</v>
      </c>
      <c r="C7" s="14">
        <v>0.54</v>
      </c>
      <c r="D7" s="14" t="s">
        <v>112</v>
      </c>
      <c r="E7" s="14">
        <v>1.28</v>
      </c>
      <c r="F7" s="14" t="s">
        <v>113</v>
      </c>
      <c r="G7" s="14">
        <v>6.55</v>
      </c>
      <c r="H7" s="14" t="s">
        <v>114</v>
      </c>
      <c r="I7" s="14">
        <v>1.1000000000000001</v>
      </c>
      <c r="J7" t="s">
        <v>255</v>
      </c>
      <c r="L7" s="14" t="s">
        <v>101</v>
      </c>
      <c r="N7" s="14" t="s">
        <v>101</v>
      </c>
      <c r="P7" s="14"/>
      <c r="R7" s="14" t="s">
        <v>115</v>
      </c>
      <c r="U7" s="14">
        <v>1.1000000000000001</v>
      </c>
      <c r="AA7" s="11"/>
      <c r="AB7" s="11"/>
      <c r="AC7" s="11"/>
      <c r="AD7" s="11"/>
      <c r="AG7" s="29" t="s">
        <v>111</v>
      </c>
      <c r="AH7" s="11">
        <v>50.607558062746278</v>
      </c>
      <c r="AI7" s="11">
        <v>0.95411968857179752</v>
      </c>
      <c r="AJ7" s="11">
        <v>18.288893242690968</v>
      </c>
      <c r="AK7" s="30">
        <v>2.3596711437424815</v>
      </c>
      <c r="AL7" s="30">
        <v>6.3954318185555277</v>
      </c>
      <c r="AM7" s="11">
        <v>0.11445018693435989</v>
      </c>
      <c r="AN7" s="11">
        <v>7.1241776244343242</v>
      </c>
      <c r="AO7" s="11">
        <v>11.492348513903432</v>
      </c>
      <c r="AP7" s="11">
        <v>2.4187018969341847</v>
      </c>
      <c r="AQ7" s="11">
        <v>0.24464782148664721</v>
      </c>
      <c r="AR7" s="31">
        <v>100</v>
      </c>
      <c r="AT7" s="11">
        <f t="shared" si="7"/>
        <v>0</v>
      </c>
      <c r="AU7" s="11"/>
      <c r="AV7" s="11"/>
      <c r="AW7" s="11"/>
      <c r="AX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U7">
        <f>U7*68/$BU$2</f>
        <v>1.441697448704377</v>
      </c>
      <c r="BV7">
        <f>(BU7-X7)^2</f>
        <v>2.0784915336007099</v>
      </c>
      <c r="BW7">
        <f t="shared" si="10"/>
        <v>1.441697448704377</v>
      </c>
    </row>
    <row r="8" spans="1:75">
      <c r="A8" s="12" t="s">
        <v>116</v>
      </c>
      <c r="B8" s="14">
        <v>50</v>
      </c>
      <c r="C8" s="14">
        <v>0.94</v>
      </c>
      <c r="D8" s="14" t="s">
        <v>117</v>
      </c>
      <c r="E8" s="14">
        <v>2.58</v>
      </c>
      <c r="F8" s="14" t="s">
        <v>118</v>
      </c>
      <c r="G8" s="14" t="s">
        <v>100</v>
      </c>
      <c r="H8" s="14" t="s">
        <v>119</v>
      </c>
      <c r="I8" s="14"/>
      <c r="L8" s="14">
        <v>0.96</v>
      </c>
      <c r="M8" t="s">
        <v>263</v>
      </c>
      <c r="N8" s="14">
        <v>1.38</v>
      </c>
      <c r="O8" t="s">
        <v>272</v>
      </c>
      <c r="P8" s="14">
        <v>2.34</v>
      </c>
      <c r="Q8" t="s">
        <v>255</v>
      </c>
      <c r="R8" s="14">
        <v>0</v>
      </c>
      <c r="U8" s="14"/>
      <c r="AA8" s="11"/>
      <c r="AB8" s="11"/>
      <c r="AC8" s="11"/>
      <c r="AD8" s="11"/>
      <c r="AG8" s="29" t="s">
        <v>116</v>
      </c>
      <c r="AH8" s="11">
        <v>50.174591536795809</v>
      </c>
      <c r="AI8" s="11">
        <v>0.93966528105220526</v>
      </c>
      <c r="AJ8" s="11">
        <v>18.296665003959337</v>
      </c>
      <c r="AK8" s="30">
        <v>3.1566534726887552</v>
      </c>
      <c r="AL8" s="30">
        <v>6.2285094950713118</v>
      </c>
      <c r="AM8" s="11">
        <v>0.2231694686352364</v>
      </c>
      <c r="AN8" s="11">
        <v>7.0457474406524581</v>
      </c>
      <c r="AO8" s="11">
        <v>11.277940791088223</v>
      </c>
      <c r="AP8" s="11">
        <v>2.3930175938796547</v>
      </c>
      <c r="AQ8" s="11">
        <v>0.26403991617700828</v>
      </c>
      <c r="AR8" s="31">
        <v>100</v>
      </c>
      <c r="AT8" s="11">
        <f t="shared" si="7"/>
        <v>2.5948823643213368</v>
      </c>
      <c r="AU8" s="11">
        <f t="shared" ref="AU8:AU27" si="11">AZ8+BB8</f>
        <v>66.869029137701474</v>
      </c>
      <c r="AV8" s="11">
        <f t="shared" si="8"/>
        <v>3.8805443981813612E-2</v>
      </c>
      <c r="AW8" s="11"/>
      <c r="AX8" s="11">
        <f t="shared" si="9"/>
        <v>0.58069223965647299</v>
      </c>
      <c r="AZ8" s="11">
        <f t="shared" ref="AZ8:AZ27" si="12">AH8*$BJ8/100</f>
        <v>49.000506094834783</v>
      </c>
      <c r="BA8" s="11">
        <f t="shared" ref="BA8:BA27" si="13">AI8*$BJ8/100</f>
        <v>0.91767711347558356</v>
      </c>
      <c r="BB8" s="11">
        <f t="shared" ref="BB8:BB27" si="14">AJ8*$BJ8/100</f>
        <v>17.868523042866688</v>
      </c>
      <c r="BC8" s="11"/>
      <c r="BD8" s="11">
        <f t="shared" ref="BD8:BD22" si="15">AL8*$BJ8/100 + AK8*$BJ8/100 *(71.844/159.69)*2</f>
        <v>8.8566343168894193</v>
      </c>
      <c r="BE8" s="11">
        <f t="shared" ref="BE8:BE27" si="16">AM8*$BJ8/100</f>
        <v>0.21794730306917184</v>
      </c>
      <c r="BF8" s="11">
        <f t="shared" ref="BF8:BF27" si="17">AN8*$BJ8/100</f>
        <v>6.8808769505411904</v>
      </c>
      <c r="BG8" s="11">
        <f t="shared" ref="BG8:BG27" si="18">AO8*$BJ8/100</f>
        <v>11.014036976576758</v>
      </c>
      <c r="BH8" s="11">
        <f t="shared" ref="BH8:BH27" si="19">AP8*$BJ8/100</f>
        <v>2.3370209821828705</v>
      </c>
      <c r="BI8" s="11">
        <f t="shared" ref="BI8:BI27" si="20">AQ8*$BJ8/100</f>
        <v>0.25786138213846627</v>
      </c>
      <c r="BJ8">
        <f t="shared" ref="BJ8:BJ27" si="21">100-P8</f>
        <v>97.66</v>
      </c>
    </row>
    <row r="9" spans="1:75">
      <c r="A9" s="12" t="s">
        <v>120</v>
      </c>
      <c r="B9" s="14">
        <v>50</v>
      </c>
      <c r="C9" s="14">
        <v>0.83</v>
      </c>
      <c r="D9" s="14" t="s">
        <v>121</v>
      </c>
      <c r="E9" s="14">
        <v>2.27</v>
      </c>
      <c r="F9" s="14" t="s">
        <v>122</v>
      </c>
      <c r="G9" s="14" t="s">
        <v>100</v>
      </c>
      <c r="H9" s="14" t="s">
        <v>123</v>
      </c>
      <c r="I9" s="14"/>
      <c r="L9" s="14">
        <v>0.73</v>
      </c>
      <c r="M9" t="s">
        <v>264</v>
      </c>
      <c r="N9" s="14">
        <v>1.17</v>
      </c>
      <c r="O9" t="s">
        <v>256</v>
      </c>
      <c r="P9" s="14">
        <v>1.9</v>
      </c>
      <c r="Q9" t="s">
        <v>268</v>
      </c>
      <c r="R9" s="14" t="s">
        <v>124</v>
      </c>
      <c r="U9" s="14"/>
      <c r="AA9" s="11"/>
      <c r="AB9" s="11"/>
      <c r="AC9" s="11"/>
      <c r="AD9" s="11"/>
      <c r="AG9" s="29" t="s">
        <v>120</v>
      </c>
      <c r="AH9" s="11">
        <v>50.552620149167787</v>
      </c>
      <c r="AI9" s="11">
        <v>0.93093310775613458</v>
      </c>
      <c r="AJ9" s="11">
        <v>18.249267296052167</v>
      </c>
      <c r="AK9" s="30">
        <v>2.7062170561359791</v>
      </c>
      <c r="AL9" s="30">
        <v>6.3834513173615841</v>
      </c>
      <c r="AM9" s="11">
        <v>0.19795246843420217</v>
      </c>
      <c r="AN9" s="11">
        <v>7.0333068305951985</v>
      </c>
      <c r="AO9" s="11">
        <v>11.324586995422575</v>
      </c>
      <c r="AP9" s="11">
        <v>2.3680664396771407</v>
      </c>
      <c r="AQ9" s="11">
        <v>0.2535983393972242</v>
      </c>
      <c r="AR9" s="31">
        <v>100</v>
      </c>
      <c r="AT9" s="11">
        <f t="shared" si="7"/>
        <v>2.5718531482719516</v>
      </c>
      <c r="AU9" s="11">
        <f t="shared" si="11"/>
        <v>67.494651583760771</v>
      </c>
      <c r="AV9" s="11">
        <f t="shared" si="8"/>
        <v>3.8104547366694462E-2</v>
      </c>
      <c r="AW9" s="11"/>
      <c r="AX9" s="11">
        <f t="shared" si="9"/>
        <v>0.58706444941830915</v>
      </c>
      <c r="AZ9" s="11">
        <f t="shared" si="12"/>
        <v>49.592120366333596</v>
      </c>
      <c r="BA9" s="11">
        <f t="shared" si="13"/>
        <v>0.91324537870876799</v>
      </c>
      <c r="BB9" s="11">
        <f t="shared" si="14"/>
        <v>17.902531217427175</v>
      </c>
      <c r="BC9" s="11"/>
      <c r="BD9" s="11">
        <f t="shared" si="15"/>
        <v>8.6509361659724391</v>
      </c>
      <c r="BE9" s="11">
        <f t="shared" si="16"/>
        <v>0.1941913715339523</v>
      </c>
      <c r="BF9" s="11">
        <f t="shared" si="17"/>
        <v>6.8996740008138895</v>
      </c>
      <c r="BG9" s="11">
        <f t="shared" si="18"/>
        <v>11.109419842509544</v>
      </c>
      <c r="BH9" s="11">
        <f t="shared" si="19"/>
        <v>2.3230731773232747</v>
      </c>
      <c r="BI9" s="11">
        <f t="shared" si="20"/>
        <v>0.24877997094867696</v>
      </c>
      <c r="BJ9">
        <f t="shared" si="21"/>
        <v>98.1</v>
      </c>
    </row>
    <row r="10" spans="1:75">
      <c r="A10" s="12" t="s">
        <v>125</v>
      </c>
      <c r="B10" s="14">
        <v>50</v>
      </c>
      <c r="C10" s="14">
        <v>0.52</v>
      </c>
      <c r="D10" s="14" t="s">
        <v>126</v>
      </c>
      <c r="E10" s="14">
        <v>1.64</v>
      </c>
      <c r="F10" s="14" t="s">
        <v>127</v>
      </c>
      <c r="G10" s="14">
        <v>6.04</v>
      </c>
      <c r="H10" s="14" t="s">
        <v>128</v>
      </c>
      <c r="I10" s="14"/>
      <c r="L10" s="14">
        <v>0.44</v>
      </c>
      <c r="M10" t="s">
        <v>265</v>
      </c>
      <c r="N10" s="14">
        <v>0.79</v>
      </c>
      <c r="O10" t="s">
        <v>264</v>
      </c>
      <c r="P10" s="14">
        <v>1.23</v>
      </c>
      <c r="Q10" t="s">
        <v>263</v>
      </c>
      <c r="R10" s="14" t="s">
        <v>129</v>
      </c>
      <c r="U10" s="14"/>
      <c r="AA10" s="11"/>
      <c r="AB10" s="11"/>
      <c r="AC10" s="11"/>
      <c r="AD10" s="11"/>
      <c r="AG10" s="29" t="s">
        <v>125</v>
      </c>
      <c r="AH10" s="11">
        <v>50.582049141263369</v>
      </c>
      <c r="AI10" s="11">
        <v>0.9497353392940141</v>
      </c>
      <c r="AJ10" s="11">
        <v>18.330422554618174</v>
      </c>
      <c r="AK10" s="30">
        <v>2.1942922210863047</v>
      </c>
      <c r="AL10" s="30">
        <v>6.6086514348456786</v>
      </c>
      <c r="AM10" s="11">
        <v>0.14581305254751828</v>
      </c>
      <c r="AN10" s="11">
        <v>7.1446638921439227</v>
      </c>
      <c r="AO10" s="11">
        <v>11.261476646658533</v>
      </c>
      <c r="AP10" s="11">
        <v>2.5392362375375646</v>
      </c>
      <c r="AQ10" s="11">
        <v>0.24365948000492238</v>
      </c>
      <c r="AR10" s="31">
        <v>100</v>
      </c>
      <c r="AT10" s="11">
        <f t="shared" si="7"/>
        <v>2.7486661002167145</v>
      </c>
      <c r="AU10" s="11">
        <f t="shared" si="11"/>
        <v>68.064848294022198</v>
      </c>
      <c r="AV10" s="11">
        <f t="shared" si="8"/>
        <v>4.038304894683966E-2</v>
      </c>
      <c r="AW10" s="11"/>
      <c r="AX10" s="11">
        <f t="shared" si="9"/>
        <v>0.59739235804467006</v>
      </c>
      <c r="AZ10" s="11">
        <f t="shared" si="12"/>
        <v>49.959889936825832</v>
      </c>
      <c r="BA10" s="11">
        <f t="shared" si="13"/>
        <v>0.93805359462069771</v>
      </c>
      <c r="BB10" s="11">
        <f t="shared" si="14"/>
        <v>18.10495835719637</v>
      </c>
      <c r="BC10" s="11"/>
      <c r="BD10" s="11">
        <f t="shared" si="15"/>
        <v>8.4774893324061598</v>
      </c>
      <c r="BE10" s="11">
        <f t="shared" si="16"/>
        <v>0.1440195520011838</v>
      </c>
      <c r="BF10" s="11">
        <f t="shared" si="17"/>
        <v>7.056784526270552</v>
      </c>
      <c r="BG10" s="11">
        <f t="shared" si="18"/>
        <v>11.122960483904633</v>
      </c>
      <c r="BH10" s="11">
        <f t="shared" si="19"/>
        <v>2.5080036318158525</v>
      </c>
      <c r="BI10" s="11">
        <f t="shared" si="20"/>
        <v>0.24066246840086183</v>
      </c>
      <c r="BJ10">
        <f t="shared" si="21"/>
        <v>98.77</v>
      </c>
    </row>
    <row r="11" spans="1:75">
      <c r="A11" s="12" t="s">
        <v>130</v>
      </c>
      <c r="B11" s="14">
        <v>50</v>
      </c>
      <c r="C11" s="14">
        <v>0</v>
      </c>
      <c r="D11" s="14" t="s">
        <v>112</v>
      </c>
      <c r="E11" s="14">
        <v>1.24</v>
      </c>
      <c r="F11" s="14" t="s">
        <v>131</v>
      </c>
      <c r="G11" s="14">
        <v>12.47</v>
      </c>
      <c r="H11" s="14" t="s">
        <v>132</v>
      </c>
      <c r="I11" s="14">
        <v>0.7</v>
      </c>
      <c r="J11" t="s">
        <v>256</v>
      </c>
      <c r="L11" s="14">
        <v>0.34</v>
      </c>
      <c r="M11" t="s">
        <v>266</v>
      </c>
      <c r="N11" s="14">
        <v>0.51</v>
      </c>
      <c r="O11" t="s">
        <v>265</v>
      </c>
      <c r="P11" s="14">
        <v>0.85</v>
      </c>
      <c r="Q11" t="s">
        <v>262</v>
      </c>
      <c r="R11" s="14" t="s">
        <v>133</v>
      </c>
      <c r="U11" s="14">
        <v>0.7</v>
      </c>
      <c r="V11">
        <f>IF(NOT(ISBLANK($I11)),L11,NA())</f>
        <v>0.34</v>
      </c>
      <c r="W11">
        <f>IF(NOT(ISBLANK($I11)),N11,NA())</f>
        <v>0.51</v>
      </c>
      <c r="X11">
        <f>IF(NOT(ISBLANK($I11)),P11,NA())</f>
        <v>0.85</v>
      </c>
      <c r="AA11" s="11">
        <f t="shared" si="3"/>
        <v>0.48970903511561364</v>
      </c>
      <c r="AB11" s="11">
        <f t="shared" si="4"/>
        <v>0.42429883588890016</v>
      </c>
      <c r="AC11" s="11">
        <f t="shared" si="5"/>
        <v>0.91400787100451386</v>
      </c>
      <c r="AD11" s="11">
        <f t="shared" si="6"/>
        <v>4.097007550530489E-3</v>
      </c>
      <c r="AG11" s="29" t="s">
        <v>130</v>
      </c>
      <c r="AH11" s="11">
        <v>51.012372590509145</v>
      </c>
      <c r="AI11" s="11">
        <v>0.94321285101865349</v>
      </c>
      <c r="AJ11" s="11">
        <v>18.4610087955942</v>
      </c>
      <c r="AK11" s="30">
        <v>1.7401789879904275</v>
      </c>
      <c r="AL11" s="30">
        <v>6.4603685050976569</v>
      </c>
      <c r="AM11" s="11">
        <v>0.1892592623465883</v>
      </c>
      <c r="AN11" s="11">
        <v>7.096768514712041</v>
      </c>
      <c r="AO11" s="11">
        <v>11.378069477718807</v>
      </c>
      <c r="AP11" s="11">
        <v>2.4671630691995277</v>
      </c>
      <c r="AQ11" s="11">
        <v>0.25159794581295414</v>
      </c>
      <c r="AR11" s="31">
        <v>100</v>
      </c>
      <c r="AT11" s="11">
        <f t="shared" si="7"/>
        <v>2.6956515463848758</v>
      </c>
      <c r="AU11" s="11">
        <f t="shared" si="11"/>
        <v>68.882857644321462</v>
      </c>
      <c r="AV11" s="11">
        <f t="shared" si="8"/>
        <v>3.9133851854752412E-2</v>
      </c>
      <c r="AW11" s="11">
        <f t="shared" si="0"/>
        <v>6.4007871004513883E-2</v>
      </c>
      <c r="AX11" s="11">
        <f t="shared" si="9"/>
        <v>0.61181989935885839</v>
      </c>
      <c r="AZ11" s="11">
        <f t="shared" si="12"/>
        <v>50.578767423489815</v>
      </c>
      <c r="BA11" s="11">
        <f t="shared" si="13"/>
        <v>0.93519554178499509</v>
      </c>
      <c r="BB11" s="11">
        <f t="shared" si="14"/>
        <v>18.30409022083165</v>
      </c>
      <c r="BC11" s="11"/>
      <c r="BD11" s="11">
        <f t="shared" si="15"/>
        <v>7.957947540753131</v>
      </c>
      <c r="BE11" s="11">
        <f t="shared" si="16"/>
        <v>0.18765055861664229</v>
      </c>
      <c r="BF11" s="11">
        <f t="shared" si="17"/>
        <v>7.0364459823369891</v>
      </c>
      <c r="BG11" s="11">
        <f t="shared" si="18"/>
        <v>11.281355887158197</v>
      </c>
      <c r="BH11" s="11">
        <f t="shared" si="19"/>
        <v>2.4461921831113318</v>
      </c>
      <c r="BI11" s="11">
        <f t="shared" si="20"/>
        <v>0.24945936327354404</v>
      </c>
      <c r="BJ11">
        <f t="shared" si="21"/>
        <v>99.15</v>
      </c>
      <c r="BU11">
        <f>U11*68/$BU$2</f>
        <v>0.9174438309936942</v>
      </c>
      <c r="BV11">
        <f>(BU11-X11)^2</f>
        <v>4.5486703391059893E-3</v>
      </c>
      <c r="BW11">
        <f t="shared" si="10"/>
        <v>6.744383099369422E-2</v>
      </c>
    </row>
    <row r="12" spans="1:75">
      <c r="A12" s="12" t="s">
        <v>134</v>
      </c>
      <c r="B12" s="14">
        <v>50</v>
      </c>
      <c r="C12" s="14">
        <v>0</v>
      </c>
      <c r="D12" s="14" t="s">
        <v>135</v>
      </c>
      <c r="E12" s="14">
        <v>1.2</v>
      </c>
      <c r="F12" s="14" t="s">
        <v>136</v>
      </c>
      <c r="G12" s="14">
        <v>10.6</v>
      </c>
      <c r="H12" s="14" t="s">
        <v>128</v>
      </c>
      <c r="I12" s="14">
        <v>0.73</v>
      </c>
      <c r="J12" t="s">
        <v>257</v>
      </c>
      <c r="L12" s="14">
        <v>0.34</v>
      </c>
      <c r="M12" t="s">
        <v>266</v>
      </c>
      <c r="N12" s="14">
        <v>0.51</v>
      </c>
      <c r="O12" t="s">
        <v>265</v>
      </c>
      <c r="P12" s="14">
        <v>0.85</v>
      </c>
      <c r="Q12" t="s">
        <v>281</v>
      </c>
      <c r="R12" s="14" t="s">
        <v>137</v>
      </c>
      <c r="U12" s="14">
        <v>0.73</v>
      </c>
      <c r="V12">
        <f>IF(NOT(ISBLANK($I12)),L12,NA())</f>
        <v>0.34</v>
      </c>
      <c r="W12">
        <f>IF(NOT(ISBLANK($I12)),N12,NA())</f>
        <v>0.51</v>
      </c>
      <c r="X12">
        <f>IF(NOT(ISBLANK($I12)),P12,NA())</f>
        <v>0.85</v>
      </c>
      <c r="AA12" s="11">
        <f t="shared" si="3"/>
        <v>0.51069656519199713</v>
      </c>
      <c r="AB12" s="11">
        <f t="shared" si="4"/>
        <v>0.44248307171271023</v>
      </c>
      <c r="AC12" s="11">
        <f t="shared" si="5"/>
        <v>0.95317963690470742</v>
      </c>
      <c r="AD12" s="11">
        <f t="shared" si="6"/>
        <v>1.0646037471787266E-2</v>
      </c>
      <c r="AG12" s="32" t="s">
        <v>134</v>
      </c>
      <c r="AH12" s="33">
        <v>50.951875676193239</v>
      </c>
      <c r="AI12" s="33">
        <v>0.9406933898630413</v>
      </c>
      <c r="AJ12" s="33">
        <v>18.553728731089905</v>
      </c>
      <c r="AK12" s="34">
        <v>2.123644078052541</v>
      </c>
      <c r="AL12" s="34">
        <v>6.2517580954628666</v>
      </c>
      <c r="AM12" s="33">
        <v>0.17665492329608651</v>
      </c>
      <c r="AN12" s="33">
        <v>7.0862421710064023</v>
      </c>
      <c r="AO12" s="33">
        <v>11.19902564762082</v>
      </c>
      <c r="AP12" s="33">
        <v>2.4776235406563432</v>
      </c>
      <c r="AQ12" s="33">
        <v>0.23875374675875963</v>
      </c>
      <c r="AR12" s="35">
        <v>100</v>
      </c>
      <c r="AT12" s="11">
        <f t="shared" si="7"/>
        <v>2.6932880804720747</v>
      </c>
      <c r="AU12" s="11">
        <f t="shared" si="11"/>
        <v>68.91480676982124</v>
      </c>
      <c r="AV12" s="11">
        <f t="shared" si="8"/>
        <v>3.9081413802229556E-2</v>
      </c>
      <c r="AW12" s="11">
        <f t="shared" si="0"/>
        <v>0.10317963690470744</v>
      </c>
      <c r="AX12" s="11">
        <f t="shared" si="9"/>
        <v>0.60745550284143845</v>
      </c>
      <c r="AZ12" s="11">
        <f t="shared" si="12"/>
        <v>50.518784732945598</v>
      </c>
      <c r="BA12" s="11">
        <f t="shared" si="13"/>
        <v>0.93269749604920549</v>
      </c>
      <c r="BB12" s="11">
        <f t="shared" si="14"/>
        <v>18.396022036875639</v>
      </c>
      <c r="BC12" s="11"/>
      <c r="BD12" s="11">
        <f t="shared" si="15"/>
        <v>8.0932168230758954</v>
      </c>
      <c r="BE12" s="11">
        <f t="shared" si="16"/>
        <v>0.17515335644806979</v>
      </c>
      <c r="BF12" s="11">
        <f t="shared" si="17"/>
        <v>7.0260091125528481</v>
      </c>
      <c r="BG12" s="11">
        <f t="shared" si="18"/>
        <v>11.103833929616044</v>
      </c>
      <c r="BH12" s="11">
        <f t="shared" si="19"/>
        <v>2.4565637405607643</v>
      </c>
      <c r="BI12" s="11">
        <f t="shared" si="20"/>
        <v>0.2367243399113102</v>
      </c>
      <c r="BJ12">
        <f t="shared" si="21"/>
        <v>99.15</v>
      </c>
      <c r="BU12">
        <f>U12*68/$BU$2</f>
        <v>0.95676285232199554</v>
      </c>
      <c r="BV12">
        <f>(BU12-X12)^2</f>
        <v>1.1398306635928232E-2</v>
      </c>
      <c r="BW12">
        <f t="shared" si="10"/>
        <v>0.10676285232199556</v>
      </c>
    </row>
    <row r="13" spans="1:75">
      <c r="A13" s="12" t="s">
        <v>138</v>
      </c>
      <c r="B13" s="14">
        <v>100</v>
      </c>
      <c r="C13" s="14">
        <v>1</v>
      </c>
      <c r="D13" s="14" t="s">
        <v>103</v>
      </c>
      <c r="E13" s="14">
        <v>2.6</v>
      </c>
      <c r="F13" s="14" t="s">
        <v>139</v>
      </c>
      <c r="G13" s="14" t="s">
        <v>100</v>
      </c>
      <c r="H13" s="14" t="s">
        <v>105</v>
      </c>
      <c r="I13" s="14"/>
      <c r="L13" s="14">
        <v>1.46</v>
      </c>
      <c r="M13" t="s">
        <v>267</v>
      </c>
      <c r="N13" s="14">
        <v>1.68</v>
      </c>
      <c r="O13" t="s">
        <v>255</v>
      </c>
      <c r="P13" s="14">
        <v>3.14</v>
      </c>
      <c r="Q13" t="s">
        <v>258</v>
      </c>
      <c r="R13" s="14">
        <v>0</v>
      </c>
      <c r="U13" s="14"/>
      <c r="AA13" s="11"/>
      <c r="AB13" s="11"/>
      <c r="AC13" s="11"/>
      <c r="AD13" s="11"/>
      <c r="AG13" s="25" t="s">
        <v>138</v>
      </c>
      <c r="AH13" s="26">
        <v>50.339576300985939</v>
      </c>
      <c r="AI13" s="26">
        <v>0.93263613543491286</v>
      </c>
      <c r="AJ13" s="26">
        <v>18.274012292675842</v>
      </c>
      <c r="AK13" s="27">
        <v>3.2200876128244706</v>
      </c>
      <c r="AL13" s="27">
        <v>5.8225789347790178</v>
      </c>
      <c r="AM13" s="26">
        <v>0.23889960923699652</v>
      </c>
      <c r="AN13" s="26">
        <v>7.0179304073630506</v>
      </c>
      <c r="AO13" s="26">
        <v>11.364743199017722</v>
      </c>
      <c r="AP13" s="26">
        <v>2.5568885758166044</v>
      </c>
      <c r="AQ13" s="26">
        <v>0.23264693186544561</v>
      </c>
      <c r="AR13" s="28">
        <v>100</v>
      </c>
      <c r="AT13" s="11">
        <f t="shared" si="7"/>
        <v>2.7019440927408338</v>
      </c>
      <c r="AU13" s="11">
        <f t="shared" si="11"/>
        <v>66.459121911820802</v>
      </c>
      <c r="AV13" s="11">
        <f t="shared" si="8"/>
        <v>4.0655729642739238E-2</v>
      </c>
      <c r="AW13" s="11"/>
      <c r="AX13" s="11">
        <f t="shared" si="9"/>
        <v>0.58925500342853177</v>
      </c>
      <c r="AZ13" s="11">
        <f t="shared" si="12"/>
        <v>48.758913605134985</v>
      </c>
      <c r="BA13" s="11">
        <f t="shared" si="13"/>
        <v>0.90335136078225664</v>
      </c>
      <c r="BB13" s="11">
        <f t="shared" si="14"/>
        <v>17.70020830668582</v>
      </c>
      <c r="BC13" s="11"/>
      <c r="BD13" s="11">
        <f t="shared" si="15"/>
        <v>8.4461845940608899</v>
      </c>
      <c r="BE13" s="11">
        <f t="shared" si="16"/>
        <v>0.23139816150695483</v>
      </c>
      <c r="BF13" s="11">
        <f t="shared" si="17"/>
        <v>6.7975673925718514</v>
      </c>
      <c r="BG13" s="11">
        <f t="shared" si="18"/>
        <v>11.007890262568564</v>
      </c>
      <c r="BH13" s="11">
        <f t="shared" si="19"/>
        <v>2.476602274535963</v>
      </c>
      <c r="BI13" s="11">
        <f t="shared" si="20"/>
        <v>0.22534181820487059</v>
      </c>
      <c r="BJ13">
        <f t="shared" si="21"/>
        <v>96.86</v>
      </c>
    </row>
    <row r="14" spans="1:75">
      <c r="A14" s="12" t="s">
        <v>140</v>
      </c>
      <c r="B14" s="14">
        <v>100</v>
      </c>
      <c r="C14" s="14">
        <v>0.94</v>
      </c>
      <c r="D14" s="14" t="s">
        <v>141</v>
      </c>
      <c r="E14" s="14">
        <v>2.1800000000000002</v>
      </c>
      <c r="F14" s="14" t="s">
        <v>142</v>
      </c>
      <c r="G14" s="14" t="s">
        <v>100</v>
      </c>
      <c r="H14" s="14" t="s">
        <v>143</v>
      </c>
      <c r="I14" s="14"/>
      <c r="L14" s="14">
        <v>1.49</v>
      </c>
      <c r="M14" t="s">
        <v>268</v>
      </c>
      <c r="N14" s="14">
        <v>1.6</v>
      </c>
      <c r="O14" t="s">
        <v>267</v>
      </c>
      <c r="P14" s="14">
        <v>3.08</v>
      </c>
      <c r="Q14" t="s">
        <v>271</v>
      </c>
      <c r="R14" s="14">
        <v>0</v>
      </c>
      <c r="U14" s="14"/>
      <c r="AA14" s="11"/>
      <c r="AB14" s="11"/>
      <c r="AC14" s="11"/>
      <c r="AD14" s="11"/>
      <c r="AG14" s="29" t="s">
        <v>140</v>
      </c>
      <c r="AH14" s="11">
        <v>50.467217997862704</v>
      </c>
      <c r="AI14" s="11">
        <v>0.95889006572740709</v>
      </c>
      <c r="AJ14" s="11">
        <v>18.031907409274407</v>
      </c>
      <c r="AK14" s="30">
        <v>3.1255410293470574</v>
      </c>
      <c r="AL14" s="30">
        <v>6.0953300141185887</v>
      </c>
      <c r="AM14" s="11">
        <v>0.16645250466476602</v>
      </c>
      <c r="AN14" s="11">
        <v>6.8869973736134513</v>
      </c>
      <c r="AO14" s="11">
        <v>11.54112680420076</v>
      </c>
      <c r="AP14" s="11">
        <v>2.4775617108108134</v>
      </c>
      <c r="AQ14" s="11">
        <v>0.24897509038005233</v>
      </c>
      <c r="AR14" s="31">
        <v>100</v>
      </c>
      <c r="AT14" s="11">
        <f t="shared" si="7"/>
        <v>2.6425594677141868</v>
      </c>
      <c r="AU14" s="11">
        <f t="shared" si="11"/>
        <v>66.389352344597285</v>
      </c>
      <c r="AV14" s="11">
        <f t="shared" si="8"/>
        <v>3.9803965159922759E-2</v>
      </c>
      <c r="AW14" s="11"/>
      <c r="AX14" s="11">
        <f t="shared" si="9"/>
        <v>0.57950917417992209</v>
      </c>
      <c r="AZ14" s="11">
        <f t="shared" si="12"/>
        <v>48.912827683528533</v>
      </c>
      <c r="BA14" s="11">
        <f t="shared" si="13"/>
        <v>0.92935625170300296</v>
      </c>
      <c r="BB14" s="11">
        <f t="shared" si="14"/>
        <v>17.476524661068755</v>
      </c>
      <c r="BC14" s="11"/>
      <c r="BD14" s="11">
        <f t="shared" si="15"/>
        <v>8.6333147780482893</v>
      </c>
      <c r="BE14" s="11">
        <f t="shared" si="16"/>
        <v>0.16132576752109123</v>
      </c>
      <c r="BF14" s="11">
        <f t="shared" si="17"/>
        <v>6.6748778545061569</v>
      </c>
      <c r="BG14" s="11">
        <f t="shared" si="18"/>
        <v>11.185660098631377</v>
      </c>
      <c r="BH14" s="11">
        <f t="shared" si="19"/>
        <v>2.4012528101178403</v>
      </c>
      <c r="BI14" s="11">
        <f t="shared" si="20"/>
        <v>0.24130665759634673</v>
      </c>
      <c r="BJ14">
        <f t="shared" si="21"/>
        <v>96.92</v>
      </c>
    </row>
    <row r="15" spans="1:75">
      <c r="A15" s="12" t="s">
        <v>144</v>
      </c>
      <c r="B15" s="14">
        <v>100</v>
      </c>
      <c r="C15" s="14">
        <v>0.77</v>
      </c>
      <c r="D15" s="14" t="s">
        <v>145</v>
      </c>
      <c r="E15" s="14">
        <v>2.02</v>
      </c>
      <c r="F15" s="14" t="s">
        <v>146</v>
      </c>
      <c r="G15" s="14" t="s">
        <v>100</v>
      </c>
      <c r="H15" s="14" t="s">
        <v>147</v>
      </c>
      <c r="I15" s="14">
        <v>2.06</v>
      </c>
      <c r="J15" t="s">
        <v>258</v>
      </c>
      <c r="L15" s="14">
        <v>0.94</v>
      </c>
      <c r="M15" t="s">
        <v>263</v>
      </c>
      <c r="N15" s="14">
        <v>1.27</v>
      </c>
      <c r="O15" t="s">
        <v>256</v>
      </c>
      <c r="P15" s="14">
        <v>2.21</v>
      </c>
      <c r="Q15" t="s">
        <v>255</v>
      </c>
      <c r="R15" s="14" t="s">
        <v>148</v>
      </c>
      <c r="U15" s="14">
        <v>2.06</v>
      </c>
      <c r="V15">
        <f>IF(NOT(ISBLANK($I15)),L15,NA())</f>
        <v>0.94</v>
      </c>
      <c r="W15">
        <f>IF(NOT(ISBLANK($I15)),N15,NA())</f>
        <v>1.27</v>
      </c>
      <c r="X15">
        <f>IF(NOT(ISBLANK($I15)),P15,NA())</f>
        <v>2.21</v>
      </c>
      <c r="AA15" s="11">
        <f t="shared" si="3"/>
        <v>1.5324379049739403</v>
      </c>
      <c r="AB15" s="11">
        <f t="shared" si="4"/>
        <v>1.1959174902526835</v>
      </c>
      <c r="AC15" s="11">
        <f t="shared" si="5"/>
        <v>2.7283553952266235</v>
      </c>
      <c r="AD15" s="11">
        <f t="shared" si="6"/>
        <v>0.26869231576054908</v>
      </c>
      <c r="AG15" s="29" t="s">
        <v>144</v>
      </c>
      <c r="AH15" s="11">
        <v>50.185155724536301</v>
      </c>
      <c r="AI15" s="11">
        <v>0.96211949886669446</v>
      </c>
      <c r="AJ15" s="11">
        <v>18.217864228453088</v>
      </c>
      <c r="AK15" s="30">
        <v>2.736900072085521</v>
      </c>
      <c r="AL15" s="30">
        <v>6.5838715020798562</v>
      </c>
      <c r="AM15" s="11">
        <v>0.1859349094849522</v>
      </c>
      <c r="AN15" s="11">
        <v>6.9802385055938014</v>
      </c>
      <c r="AO15" s="11">
        <v>11.424377106744256</v>
      </c>
      <c r="AP15" s="11">
        <v>2.4750674478525196</v>
      </c>
      <c r="AQ15" s="11">
        <v>0.24847100430300578</v>
      </c>
      <c r="AR15" s="31">
        <v>100</v>
      </c>
      <c r="AT15" s="11">
        <f t="shared" si="7"/>
        <v>2.6633482523628884</v>
      </c>
      <c r="AU15" s="11">
        <f t="shared" si="11"/>
        <v>66.891313212028336</v>
      </c>
      <c r="AV15" s="11">
        <f t="shared" si="8"/>
        <v>3.9816055695016131E-2</v>
      </c>
      <c r="AW15" s="11">
        <f t="shared" si="0"/>
        <v>0.51835539522662355</v>
      </c>
      <c r="AX15" s="11">
        <f t="shared" si="9"/>
        <v>0.57901710938344619</v>
      </c>
      <c r="AZ15" s="11">
        <f t="shared" si="12"/>
        <v>49.076063783024054</v>
      </c>
      <c r="BA15" s="11">
        <f t="shared" si="13"/>
        <v>0.94085665794174067</v>
      </c>
      <c r="BB15" s="11">
        <f t="shared" si="14"/>
        <v>17.815249429004275</v>
      </c>
      <c r="BC15" s="11"/>
      <c r="BD15" s="11">
        <f t="shared" si="15"/>
        <v>8.8465879822232765</v>
      </c>
      <c r="BE15" s="11">
        <f t="shared" si="16"/>
        <v>0.18182574798533477</v>
      </c>
      <c r="BF15" s="11">
        <f t="shared" si="17"/>
        <v>6.825975234620179</v>
      </c>
      <c r="BG15" s="11">
        <f t="shared" si="18"/>
        <v>11.171898372685209</v>
      </c>
      <c r="BH15" s="11">
        <f t="shared" si="19"/>
        <v>2.4203684572549791</v>
      </c>
      <c r="BI15" s="11">
        <f t="shared" si="20"/>
        <v>0.24297979510790937</v>
      </c>
      <c r="BJ15">
        <f t="shared" si="21"/>
        <v>97.79</v>
      </c>
      <c r="BU15">
        <f>U15*68/$BU$2</f>
        <v>2.6999061312100148</v>
      </c>
      <c r="BV15">
        <f>(BU15-X15)^2</f>
        <v>0.24000801739716424</v>
      </c>
      <c r="BW15">
        <f t="shared" si="10"/>
        <v>0.48990613121001481</v>
      </c>
    </row>
    <row r="16" spans="1:75">
      <c r="A16" s="12" t="s">
        <v>149</v>
      </c>
      <c r="B16" s="14">
        <v>100</v>
      </c>
      <c r="C16" s="14">
        <v>0.38</v>
      </c>
      <c r="D16" s="14" t="s">
        <v>150</v>
      </c>
      <c r="E16" s="14">
        <v>0.87</v>
      </c>
      <c r="F16" s="14" t="s">
        <v>151</v>
      </c>
      <c r="G16" s="14">
        <v>13.33</v>
      </c>
      <c r="H16" s="14" t="s">
        <v>152</v>
      </c>
      <c r="I16" s="14">
        <v>1.31</v>
      </c>
      <c r="J16" t="s">
        <v>254</v>
      </c>
      <c r="L16" s="14">
        <v>0</v>
      </c>
      <c r="N16" s="14">
        <v>0.78</v>
      </c>
      <c r="O16" t="s">
        <v>259</v>
      </c>
      <c r="P16" s="14">
        <v>0.78</v>
      </c>
      <c r="Q16" t="s">
        <v>259</v>
      </c>
      <c r="R16" s="14" t="s">
        <v>153</v>
      </c>
      <c r="U16" s="14">
        <v>1.31</v>
      </c>
      <c r="V16">
        <f>IF(NOT(ISBLANK($I16)),L16,NA())</f>
        <v>0</v>
      </c>
      <c r="W16">
        <f>IF(NOT(ISBLANK($I16)),N16,NA())</f>
        <v>0.78</v>
      </c>
      <c r="X16">
        <f>IF(NOT(ISBLANK($I16)),P16,NA())</f>
        <v>0.78</v>
      </c>
      <c r="AA16" s="11">
        <f t="shared" si="3"/>
        <v>0</v>
      </c>
      <c r="AB16" s="11">
        <f t="shared" si="4"/>
        <v>1.3234082738439505</v>
      </c>
      <c r="AC16" s="11">
        <f t="shared" si="5"/>
        <v>1.3234082738439505</v>
      </c>
      <c r="AD16" s="11">
        <f t="shared" si="6"/>
        <v>0.2952925520820619</v>
      </c>
      <c r="AG16" s="29" t="s">
        <v>149</v>
      </c>
      <c r="AH16" s="11">
        <v>51.162355327035783</v>
      </c>
      <c r="AI16" s="11">
        <v>0.99439857673764998</v>
      </c>
      <c r="AJ16" s="11">
        <v>18.543484570632934</v>
      </c>
      <c r="AK16" s="30">
        <v>1.3295822892212188</v>
      </c>
      <c r="AL16" s="30">
        <v>6.7903006481506418</v>
      </c>
      <c r="AM16" s="11">
        <v>0.1749067245415441</v>
      </c>
      <c r="AN16" s="11">
        <v>7.0538683361778922</v>
      </c>
      <c r="AO16" s="11">
        <v>11.270604978652461</v>
      </c>
      <c r="AP16" s="11">
        <v>2.4059145899421415</v>
      </c>
      <c r="AQ16" s="11">
        <v>0.27458395890773318</v>
      </c>
      <c r="AR16" s="31">
        <v>100</v>
      </c>
      <c r="AT16" s="11">
        <f t="shared" si="7"/>
        <v>2.6595906601688455</v>
      </c>
      <c r="AU16" s="11">
        <f t="shared" si="11"/>
        <v>69.1621343464669</v>
      </c>
      <c r="AV16" s="11">
        <f t="shared" si="8"/>
        <v>3.8454432982730942E-2</v>
      </c>
      <c r="AW16" s="11">
        <f t="shared" si="0"/>
        <v>0.54340827384395052</v>
      </c>
      <c r="AX16" s="11">
        <f t="shared" si="9"/>
        <v>0.61155213232858741</v>
      </c>
      <c r="AZ16" s="11">
        <f t="shared" si="12"/>
        <v>50.763288955484903</v>
      </c>
      <c r="BA16" s="11">
        <f t="shared" si="13"/>
        <v>0.98664226783909625</v>
      </c>
      <c r="BB16" s="11">
        <f t="shared" si="14"/>
        <v>18.398845390981997</v>
      </c>
      <c r="BC16" s="11"/>
      <c r="BD16" s="11">
        <f t="shared" si="15"/>
        <v>7.9243540801495111</v>
      </c>
      <c r="BE16" s="11">
        <f t="shared" si="16"/>
        <v>0.17354245209012006</v>
      </c>
      <c r="BF16" s="11">
        <f t="shared" si="17"/>
        <v>6.9988481631557047</v>
      </c>
      <c r="BG16" s="11">
        <f t="shared" si="18"/>
        <v>11.182694259818973</v>
      </c>
      <c r="BH16" s="11">
        <f t="shared" si="19"/>
        <v>2.3871484561405927</v>
      </c>
      <c r="BI16" s="11">
        <f t="shared" si="20"/>
        <v>0.27244220402825287</v>
      </c>
      <c r="BJ16">
        <f t="shared" si="21"/>
        <v>99.22</v>
      </c>
      <c r="BU16">
        <f>U16*68/$BU$2</f>
        <v>1.7169305980024852</v>
      </c>
      <c r="BV16">
        <f>(BU16-X16)^2</f>
        <v>0.87783894547329444</v>
      </c>
      <c r="BW16">
        <f t="shared" si="10"/>
        <v>0.93693059800248513</v>
      </c>
    </row>
    <row r="17" spans="1:75">
      <c r="A17" s="12" t="s">
        <v>154</v>
      </c>
      <c r="B17" s="14">
        <v>100</v>
      </c>
      <c r="C17" s="14">
        <v>0</v>
      </c>
      <c r="D17" s="14" t="s">
        <v>155</v>
      </c>
      <c r="E17" s="14">
        <v>2.6</v>
      </c>
      <c r="F17" s="14" t="s">
        <v>156</v>
      </c>
      <c r="G17" s="14">
        <v>16.84</v>
      </c>
      <c r="H17" s="14" t="s">
        <v>157</v>
      </c>
      <c r="I17" s="14">
        <v>0.84</v>
      </c>
      <c r="J17" t="s">
        <v>255</v>
      </c>
      <c r="L17" s="14">
        <v>0</v>
      </c>
      <c r="N17" s="14">
        <v>0.55000000000000004</v>
      </c>
      <c r="O17" t="s">
        <v>262</v>
      </c>
      <c r="P17" s="14">
        <v>0.55000000000000004</v>
      </c>
      <c r="Q17" t="s">
        <v>262</v>
      </c>
      <c r="R17" s="14" t="s">
        <v>158</v>
      </c>
      <c r="U17" s="14">
        <v>0.84</v>
      </c>
      <c r="V17">
        <f>IF(NOT(ISBLANK($I17)),L17,NA())</f>
        <v>0</v>
      </c>
      <c r="W17">
        <f>IF(NOT(ISBLANK($I17)),N17,NA())</f>
        <v>0.55000000000000004</v>
      </c>
      <c r="X17">
        <f>IF(NOT(ISBLANK($I17)),P17,NA())</f>
        <v>0.55000000000000004</v>
      </c>
      <c r="AA17" s="11">
        <f t="shared" si="3"/>
        <v>0</v>
      </c>
      <c r="AB17" s="11">
        <f t="shared" si="4"/>
        <v>0.84859767177780032</v>
      </c>
      <c r="AC17" s="11">
        <f t="shared" si="5"/>
        <v>0.84859767177780032</v>
      </c>
      <c r="AD17" s="11">
        <f t="shared" si="6"/>
        <v>8.9160569591122951E-2</v>
      </c>
      <c r="AG17" s="32" t="s">
        <v>154</v>
      </c>
      <c r="AH17" s="33">
        <v>50.955577795776776</v>
      </c>
      <c r="AI17" s="33">
        <v>0.96251580597773745</v>
      </c>
      <c r="AJ17" s="33">
        <v>18.49686191305566</v>
      </c>
      <c r="AK17" s="34">
        <v>0.92934719050961245</v>
      </c>
      <c r="AL17" s="34">
        <v>6.8617813260067129</v>
      </c>
      <c r="AM17" s="33">
        <v>0.25382354834254844</v>
      </c>
      <c r="AN17" s="33">
        <v>7.3691707507131854</v>
      </c>
      <c r="AO17" s="33">
        <v>11.6737765325702</v>
      </c>
      <c r="AP17" s="33">
        <v>2.2663266206805508</v>
      </c>
      <c r="AQ17" s="33">
        <v>0.2308185163670177</v>
      </c>
      <c r="AR17" s="35">
        <v>100</v>
      </c>
      <c r="AT17" s="11">
        <f t="shared" si="7"/>
        <v>2.483410838793807</v>
      </c>
      <c r="AU17" s="11">
        <f t="shared" si="11"/>
        <v>69.070451290433851</v>
      </c>
      <c r="AV17" s="11">
        <f t="shared" si="8"/>
        <v>3.5954750438090093E-2</v>
      </c>
      <c r="AW17" s="11">
        <f t="shared" si="0"/>
        <v>0.29859767177780028</v>
      </c>
      <c r="AX17" s="11">
        <f t="shared" si="9"/>
        <v>0.63050429681784348</v>
      </c>
      <c r="AZ17" s="11">
        <f t="shared" si="12"/>
        <v>50.675322117900002</v>
      </c>
      <c r="BA17" s="11">
        <f t="shared" si="13"/>
        <v>0.95722196904486001</v>
      </c>
      <c r="BB17" s="11">
        <f t="shared" si="14"/>
        <v>18.395129172533856</v>
      </c>
      <c r="BC17" s="11"/>
      <c r="BD17" s="11">
        <f t="shared" si="15"/>
        <v>7.6556627378992257</v>
      </c>
      <c r="BE17" s="11">
        <f t="shared" si="16"/>
        <v>0.25242751882666442</v>
      </c>
      <c r="BF17" s="11">
        <f t="shared" si="17"/>
        <v>7.3286403115842633</v>
      </c>
      <c r="BG17" s="11">
        <f t="shared" si="18"/>
        <v>11.609570761641065</v>
      </c>
      <c r="BH17" s="11">
        <f t="shared" si="19"/>
        <v>2.2538618242668078</v>
      </c>
      <c r="BI17" s="11">
        <f t="shared" si="20"/>
        <v>0.22954901452699911</v>
      </c>
      <c r="BJ17">
        <f t="shared" si="21"/>
        <v>99.45</v>
      </c>
      <c r="BU17">
        <f>U17*68/$BU$2</f>
        <v>1.1009325971924331</v>
      </c>
      <c r="BV17">
        <f>(BU17-X17)^2</f>
        <v>0.30352672664919966</v>
      </c>
      <c r="BW17">
        <f t="shared" si="10"/>
        <v>0.55093259719243304</v>
      </c>
    </row>
    <row r="18" spans="1:75">
      <c r="A18" s="12" t="s">
        <v>159</v>
      </c>
      <c r="B18" s="14">
        <v>200</v>
      </c>
      <c r="C18" s="14">
        <v>1</v>
      </c>
      <c r="D18" s="14" t="s">
        <v>160</v>
      </c>
      <c r="E18" s="14">
        <v>2.6</v>
      </c>
      <c r="F18" s="14" t="s">
        <v>161</v>
      </c>
      <c r="G18" s="14" t="s">
        <v>100</v>
      </c>
      <c r="H18" s="14" t="s">
        <v>162</v>
      </c>
      <c r="I18" s="14"/>
      <c r="L18" s="14">
        <v>2.92</v>
      </c>
      <c r="M18" t="s">
        <v>269</v>
      </c>
      <c r="N18" s="14">
        <v>2.06</v>
      </c>
      <c r="O18" t="s">
        <v>253</v>
      </c>
      <c r="P18" s="14">
        <v>4.9800000000000004</v>
      </c>
      <c r="Q18" t="s">
        <v>282</v>
      </c>
      <c r="R18" s="14">
        <v>0</v>
      </c>
      <c r="U18" s="14"/>
      <c r="AA18" s="11"/>
      <c r="AB18" s="11"/>
      <c r="AC18" s="11"/>
      <c r="AD18" s="11"/>
      <c r="AG18" s="25" t="s">
        <v>159</v>
      </c>
      <c r="AH18" s="26">
        <v>50.645393206781918</v>
      </c>
      <c r="AI18" s="26">
        <v>0.93584998056157132</v>
      </c>
      <c r="AJ18" s="26">
        <v>18.237107721804772</v>
      </c>
      <c r="AK18" s="27">
        <v>3.9418012065326806</v>
      </c>
      <c r="AL18" s="27">
        <v>4.9860540981809987</v>
      </c>
      <c r="AM18" s="26">
        <v>0.22176455800607786</v>
      </c>
      <c r="AN18" s="26">
        <v>6.9642490759763902</v>
      </c>
      <c r="AO18" s="26">
        <v>11.402073900962263</v>
      </c>
      <c r="AP18" s="26">
        <v>2.4162441252480304</v>
      </c>
      <c r="AQ18" s="26">
        <v>0.24946212594528902</v>
      </c>
      <c r="AR18" s="28">
        <v>100</v>
      </c>
      <c r="AT18" s="11">
        <f t="shared" si="7"/>
        <v>2.5329540798838917</v>
      </c>
      <c r="AU18" s="11">
        <f t="shared" si="11"/>
        <v>65.452152382343073</v>
      </c>
      <c r="AV18" s="11">
        <f t="shared" si="8"/>
        <v>3.8699324433022049E-2</v>
      </c>
      <c r="AW18" s="11"/>
      <c r="AX18" s="11">
        <f t="shared" si="9"/>
        <v>0.59264284015686242</v>
      </c>
      <c r="AZ18" s="11">
        <f t="shared" si="12"/>
        <v>48.123252625084177</v>
      </c>
      <c r="BA18" s="11">
        <f t="shared" si="13"/>
        <v>0.88924465152960508</v>
      </c>
      <c r="BB18" s="11">
        <f t="shared" si="14"/>
        <v>17.328899757258895</v>
      </c>
      <c r="BC18" s="11"/>
      <c r="BD18" s="11">
        <f t="shared" si="15"/>
        <v>8.1079241509787234</v>
      </c>
      <c r="BE18" s="11">
        <f t="shared" si="16"/>
        <v>0.21072068301737518</v>
      </c>
      <c r="BF18" s="11">
        <f t="shared" si="17"/>
        <v>6.6174294719927662</v>
      </c>
      <c r="BG18" s="11">
        <f t="shared" si="18"/>
        <v>10.834250620694343</v>
      </c>
      <c r="BH18" s="11">
        <f t="shared" si="19"/>
        <v>2.2959151678106782</v>
      </c>
      <c r="BI18" s="11">
        <f t="shared" si="20"/>
        <v>0.23703891207321362</v>
      </c>
      <c r="BJ18">
        <f t="shared" si="21"/>
        <v>95.02</v>
      </c>
    </row>
    <row r="19" spans="1:75">
      <c r="A19" s="12" t="s">
        <v>163</v>
      </c>
      <c r="B19" s="14">
        <v>200</v>
      </c>
      <c r="C19" s="14">
        <v>0.94</v>
      </c>
      <c r="D19" s="14" t="s">
        <v>164</v>
      </c>
      <c r="E19" s="14">
        <v>2.4900000000000002</v>
      </c>
      <c r="F19" s="14" t="s">
        <v>165</v>
      </c>
      <c r="G19" s="14" t="s">
        <v>100</v>
      </c>
      <c r="H19" s="14" t="s">
        <v>166</v>
      </c>
      <c r="I19" s="14"/>
      <c r="L19" s="14">
        <v>2.31</v>
      </c>
      <c r="M19" t="s">
        <v>270</v>
      </c>
      <c r="N19" s="14">
        <v>1.91</v>
      </c>
      <c r="O19" t="s">
        <v>254</v>
      </c>
      <c r="P19" s="14">
        <v>4.22</v>
      </c>
      <c r="Q19" t="s">
        <v>283</v>
      </c>
      <c r="R19" s="14" t="s">
        <v>167</v>
      </c>
      <c r="U19" s="14"/>
      <c r="AA19" s="11"/>
      <c r="AB19" s="11"/>
      <c r="AC19" s="11"/>
      <c r="AD19" s="11"/>
      <c r="AG19" s="29" t="s">
        <v>163</v>
      </c>
      <c r="AH19" s="11">
        <v>50.44064598859616</v>
      </c>
      <c r="AI19" s="11">
        <v>0.94519080103656117</v>
      </c>
      <c r="AJ19" s="11">
        <v>18.141955590095744</v>
      </c>
      <c r="AK19" s="30">
        <v>4.1647236654404978</v>
      </c>
      <c r="AL19" s="30">
        <v>5.4547765434870445</v>
      </c>
      <c r="AM19" s="11">
        <v>0.21790235080232767</v>
      </c>
      <c r="AN19" s="11">
        <v>6.9429044000805096</v>
      </c>
      <c r="AO19" s="11">
        <v>11.198903104461925</v>
      </c>
      <c r="AP19" s="11">
        <v>2.2630602210515702</v>
      </c>
      <c r="AQ19" s="11">
        <v>0.22993733494764507</v>
      </c>
      <c r="AR19" s="31">
        <v>100</v>
      </c>
      <c r="AT19" s="11">
        <f t="shared" si="7"/>
        <v>2.3877930591360483</v>
      </c>
      <c r="AU19" s="11">
        <f t="shared" si="11"/>
        <v>65.688415792071112</v>
      </c>
      <c r="AV19" s="11">
        <f t="shared" si="8"/>
        <v>3.6350291453128111E-2</v>
      </c>
      <c r="AW19" s="11"/>
      <c r="AX19" s="11">
        <f t="shared" si="9"/>
        <v>0.5735420836805124</v>
      </c>
      <c r="AZ19" s="11">
        <f t="shared" si="12"/>
        <v>48.312050727877406</v>
      </c>
      <c r="BA19" s="11">
        <f t="shared" si="13"/>
        <v>0.90530374923281831</v>
      </c>
      <c r="BB19" s="11">
        <f t="shared" si="14"/>
        <v>17.376365064193703</v>
      </c>
      <c r="BC19" s="11"/>
      <c r="BD19" s="11">
        <f t="shared" si="15"/>
        <v>8.8138357447673474</v>
      </c>
      <c r="BE19" s="11">
        <f t="shared" si="16"/>
        <v>0.20870687159846946</v>
      </c>
      <c r="BF19" s="11">
        <f t="shared" si="17"/>
        <v>6.649913834397112</v>
      </c>
      <c r="BG19" s="11">
        <f t="shared" si="18"/>
        <v>10.726309393453633</v>
      </c>
      <c r="BH19" s="11">
        <f t="shared" si="19"/>
        <v>2.1675590797231941</v>
      </c>
      <c r="BI19" s="11">
        <f t="shared" si="20"/>
        <v>0.22023397941285444</v>
      </c>
      <c r="BJ19">
        <f t="shared" si="21"/>
        <v>95.78</v>
      </c>
    </row>
    <row r="20" spans="1:75">
      <c r="A20" s="12" t="s">
        <v>168</v>
      </c>
      <c r="B20" s="14">
        <v>200</v>
      </c>
      <c r="C20" s="14">
        <v>0.89</v>
      </c>
      <c r="D20" s="14" t="s">
        <v>169</v>
      </c>
      <c r="E20" s="14">
        <v>2.23</v>
      </c>
      <c r="F20" s="14" t="s">
        <v>170</v>
      </c>
      <c r="G20" s="14" t="s">
        <v>100</v>
      </c>
      <c r="H20" s="14" t="s">
        <v>171</v>
      </c>
      <c r="I20" s="14"/>
      <c r="L20" s="14">
        <v>2.09</v>
      </c>
      <c r="M20" t="s">
        <v>271</v>
      </c>
      <c r="N20" s="14">
        <v>1.88</v>
      </c>
      <c r="O20" t="s">
        <v>254</v>
      </c>
      <c r="P20" s="14">
        <v>3.97</v>
      </c>
      <c r="Q20" t="s">
        <v>269</v>
      </c>
      <c r="R20" s="14" t="s">
        <v>172</v>
      </c>
      <c r="U20" s="14"/>
      <c r="AA20" s="11"/>
      <c r="AB20" s="11"/>
      <c r="AC20" s="11"/>
      <c r="AD20" s="11"/>
      <c r="AG20" s="29" t="s">
        <v>168</v>
      </c>
      <c r="AH20" s="11">
        <v>50.444152357576769</v>
      </c>
      <c r="AI20" s="11">
        <v>0.94447224943628716</v>
      </c>
      <c r="AJ20" s="11">
        <v>18.166851372918739</v>
      </c>
      <c r="AK20" s="30">
        <v>1.6237306552024293</v>
      </c>
      <c r="AL20" s="30">
        <v>7.5680632893187081</v>
      </c>
      <c r="AM20" s="11">
        <v>0.22298578733807256</v>
      </c>
      <c r="AN20" s="11">
        <v>7.0160194183598446</v>
      </c>
      <c r="AO20" s="11">
        <v>11.380937285122503</v>
      </c>
      <c r="AP20" s="11">
        <v>2.3739877159756482</v>
      </c>
      <c r="AQ20" s="11">
        <v>0.25879986875100319</v>
      </c>
      <c r="AR20" s="31">
        <v>100</v>
      </c>
      <c r="AT20" s="11">
        <f t="shared" si="7"/>
        <v>2.5282659176130031</v>
      </c>
      <c r="AU20" s="11">
        <f t="shared" si="11"/>
        <v>65.887146882394845</v>
      </c>
      <c r="AV20" s="11">
        <f t="shared" si="8"/>
        <v>3.8372672626511319E-2</v>
      </c>
      <c r="AW20" s="11"/>
      <c r="AX20" s="11">
        <f t="shared" si="9"/>
        <v>0.5807325762697455</v>
      </c>
      <c r="AZ20" s="11">
        <f t="shared" si="12"/>
        <v>48.441519508980974</v>
      </c>
      <c r="BA20" s="11">
        <f t="shared" si="13"/>
        <v>0.90697670113366657</v>
      </c>
      <c r="BB20" s="11">
        <f t="shared" si="14"/>
        <v>17.445627373413867</v>
      </c>
      <c r="BC20" s="11"/>
      <c r="BD20" s="11">
        <f t="shared" si="15"/>
        <v>8.6706306466585676</v>
      </c>
      <c r="BE20" s="11">
        <f t="shared" si="16"/>
        <v>0.21413325158075108</v>
      </c>
      <c r="BF20" s="11">
        <f t="shared" si="17"/>
        <v>6.7374834474509591</v>
      </c>
      <c r="BG20" s="11">
        <f t="shared" si="18"/>
        <v>10.929114074903138</v>
      </c>
      <c r="BH20" s="11">
        <f t="shared" si="19"/>
        <v>2.2797404036514148</v>
      </c>
      <c r="BI20" s="11">
        <f t="shared" si="20"/>
        <v>0.24852551396158837</v>
      </c>
      <c r="BJ20">
        <f t="shared" si="21"/>
        <v>96.03</v>
      </c>
    </row>
    <row r="21" spans="1:75">
      <c r="A21" s="12" t="s">
        <v>173</v>
      </c>
      <c r="B21" s="14">
        <v>200</v>
      </c>
      <c r="C21" s="14">
        <v>0.78</v>
      </c>
      <c r="D21" s="14" t="s">
        <v>174</v>
      </c>
      <c r="E21" s="14">
        <v>2.0099999999999998</v>
      </c>
      <c r="F21" s="14" t="s">
        <v>175</v>
      </c>
      <c r="G21" s="14" t="s">
        <v>100</v>
      </c>
      <c r="H21" s="14" t="s">
        <v>176</v>
      </c>
      <c r="I21" s="14"/>
      <c r="L21" s="14">
        <v>1.36</v>
      </c>
      <c r="M21" t="s">
        <v>272</v>
      </c>
      <c r="N21" s="14">
        <v>1.65</v>
      </c>
      <c r="O21" t="s">
        <v>255</v>
      </c>
      <c r="P21" s="14">
        <v>3</v>
      </c>
      <c r="Q21" t="s">
        <v>271</v>
      </c>
      <c r="R21" s="14" t="s">
        <v>177</v>
      </c>
      <c r="U21" s="14"/>
      <c r="AA21" s="11"/>
      <c r="AB21" s="11"/>
      <c r="AC21" s="11"/>
      <c r="AD21" s="11"/>
      <c r="AG21" s="29" t="s">
        <v>173</v>
      </c>
      <c r="AH21" s="11">
        <v>50.336573007660469</v>
      </c>
      <c r="AI21" s="11">
        <v>0.98082788350492012</v>
      </c>
      <c r="AJ21" s="11">
        <v>18.082642166025511</v>
      </c>
      <c r="AK21" s="30">
        <v>3.2854795312195382</v>
      </c>
      <c r="AL21" s="30">
        <v>6.2220585812476212</v>
      </c>
      <c r="AM21" s="11">
        <v>0.20408291923053118</v>
      </c>
      <c r="AN21" s="11">
        <v>7.038904235202148</v>
      </c>
      <c r="AO21" s="11">
        <v>11.357122894610386</v>
      </c>
      <c r="AP21" s="11">
        <v>2.2369186971814452</v>
      </c>
      <c r="AQ21" s="11">
        <v>0.25539008411744124</v>
      </c>
      <c r="AR21" s="31">
        <v>100</v>
      </c>
      <c r="AT21" s="11">
        <f t="shared" si="7"/>
        <v>2.4175395178599199</v>
      </c>
      <c r="AU21" s="11">
        <f t="shared" si="11"/>
        <v>66.3666387184754</v>
      </c>
      <c r="AV21" s="11">
        <f t="shared" si="8"/>
        <v>3.6427029672468796E-2</v>
      </c>
      <c r="AW21" s="11"/>
      <c r="AX21" s="11">
        <f t="shared" si="9"/>
        <v>0.57753092531386496</v>
      </c>
      <c r="AZ21" s="11">
        <f t="shared" si="12"/>
        <v>48.826475817430655</v>
      </c>
      <c r="BA21" s="11">
        <f t="shared" si="13"/>
        <v>0.95140304699977252</v>
      </c>
      <c r="BB21" s="11">
        <f t="shared" si="14"/>
        <v>17.540162901044745</v>
      </c>
      <c r="BC21" s="11"/>
      <c r="BD21" s="11">
        <f t="shared" si="15"/>
        <v>8.9029618773227277</v>
      </c>
      <c r="BE21" s="11">
        <f t="shared" si="16"/>
        <v>0.19796043165361524</v>
      </c>
      <c r="BF21" s="11">
        <f t="shared" si="17"/>
        <v>6.8277371081460831</v>
      </c>
      <c r="BG21" s="11">
        <f t="shared" si="18"/>
        <v>11.016409207772075</v>
      </c>
      <c r="BH21" s="11">
        <f t="shared" si="19"/>
        <v>2.1698111362660017</v>
      </c>
      <c r="BI21" s="11">
        <f t="shared" si="20"/>
        <v>0.247728381593918</v>
      </c>
      <c r="BJ21">
        <f t="shared" si="21"/>
        <v>97</v>
      </c>
    </row>
    <row r="22" spans="1:75">
      <c r="A22" s="12" t="s">
        <v>178</v>
      </c>
      <c r="B22" s="14">
        <v>200</v>
      </c>
      <c r="C22" s="14">
        <v>0</v>
      </c>
      <c r="D22" s="14" t="s">
        <v>179</v>
      </c>
      <c r="E22" s="14">
        <v>0.31</v>
      </c>
      <c r="F22" s="14" t="s">
        <v>180</v>
      </c>
      <c r="G22" s="14">
        <v>12.53</v>
      </c>
      <c r="H22" s="14" t="s">
        <v>157</v>
      </c>
      <c r="I22" s="14">
        <v>0.82</v>
      </c>
      <c r="J22" t="s">
        <v>255</v>
      </c>
      <c r="L22" s="14">
        <v>0</v>
      </c>
      <c r="N22" s="14">
        <v>0.52</v>
      </c>
      <c r="O22" t="s">
        <v>265</v>
      </c>
      <c r="P22" s="14">
        <v>0.52</v>
      </c>
      <c r="Q22" t="s">
        <v>265</v>
      </c>
      <c r="R22" s="14" t="s">
        <v>181</v>
      </c>
      <c r="U22" s="14">
        <v>0.82</v>
      </c>
      <c r="V22">
        <f>IF(NOT(ISBLANK($I22)),L22,NA())</f>
        <v>0</v>
      </c>
      <c r="W22">
        <f>IF(NOT(ISBLANK($I22)),N22,NA())</f>
        <v>0.52</v>
      </c>
      <c r="X22">
        <f>IF(NOT(ISBLANK($I22)),P22,NA())</f>
        <v>0.52</v>
      </c>
      <c r="AA22" s="11">
        <f t="shared" si="3"/>
        <v>0</v>
      </c>
      <c r="AB22" s="11">
        <f t="shared" si="4"/>
        <v>0.82839296530690032</v>
      </c>
      <c r="AC22" s="11">
        <f t="shared" si="5"/>
        <v>0.82839296530690032</v>
      </c>
      <c r="AD22" s="11">
        <f t="shared" si="6"/>
        <v>9.5106221050783007E-2</v>
      </c>
      <c r="AG22" s="32" t="s">
        <v>178</v>
      </c>
      <c r="AH22" s="33">
        <v>50.870336518854494</v>
      </c>
      <c r="AI22" s="33">
        <v>0.92394735708677822</v>
      </c>
      <c r="AJ22" s="33">
        <v>18.457948193621043</v>
      </c>
      <c r="AK22" s="34">
        <v>0.97904761304670629</v>
      </c>
      <c r="AL22" s="34">
        <v>7.2159435183812892</v>
      </c>
      <c r="AM22" s="33">
        <v>0.27498578352438885</v>
      </c>
      <c r="AN22" s="33">
        <v>7.0866556292166889</v>
      </c>
      <c r="AO22" s="33">
        <v>11.470540709402357</v>
      </c>
      <c r="AP22" s="33">
        <v>2.4571642764492925</v>
      </c>
      <c r="AQ22" s="33">
        <v>0.26343040041696797</v>
      </c>
      <c r="AR22" s="35">
        <v>100</v>
      </c>
      <c r="AT22" s="11">
        <f t="shared" si="7"/>
        <v>2.7064475845465559</v>
      </c>
      <c r="AU22" s="11">
        <f t="shared" si="11"/>
        <v>68.967777631970662</v>
      </c>
      <c r="AV22" s="11">
        <f t="shared" si="8"/>
        <v>3.924220378665582E-2</v>
      </c>
      <c r="AW22" s="11">
        <f t="shared" si="0"/>
        <v>0.3083929653069003</v>
      </c>
      <c r="AX22" s="11">
        <f t="shared" si="9"/>
        <v>0.60939519979788148</v>
      </c>
      <c r="AZ22" s="11">
        <f t="shared" si="12"/>
        <v>50.605810768956452</v>
      </c>
      <c r="BA22" s="11">
        <f t="shared" si="13"/>
        <v>0.91914283082992698</v>
      </c>
      <c r="BB22" s="11">
        <f t="shared" si="14"/>
        <v>18.361966863014214</v>
      </c>
      <c r="BC22" s="11"/>
      <c r="BD22" s="11">
        <f t="shared" si="15"/>
        <v>8.0547802524993415</v>
      </c>
      <c r="BE22" s="11">
        <f t="shared" si="16"/>
        <v>0.273555857450062</v>
      </c>
      <c r="BF22" s="11">
        <f t="shared" si="17"/>
        <v>7.0498050199447615</v>
      </c>
      <c r="BG22" s="11">
        <f t="shared" si="18"/>
        <v>11.410893897713466</v>
      </c>
      <c r="BH22" s="11">
        <f t="shared" si="19"/>
        <v>2.4443870222117563</v>
      </c>
      <c r="BI22" s="11">
        <f t="shared" si="20"/>
        <v>0.26206056233479974</v>
      </c>
      <c r="BJ22">
        <f t="shared" si="21"/>
        <v>99.48</v>
      </c>
      <c r="BU22">
        <f>U22*68/$BU$2</f>
        <v>1.074719916306899</v>
      </c>
      <c r="BV22">
        <f>(BU22-X22)^2</f>
        <v>0.30771418554753299</v>
      </c>
      <c r="BW22">
        <f t="shared" si="10"/>
        <v>0.55471991630689899</v>
      </c>
    </row>
    <row r="23" spans="1:75">
      <c r="A23" s="12" t="s">
        <v>182</v>
      </c>
      <c r="B23" s="14">
        <v>300</v>
      </c>
      <c r="C23" s="14">
        <v>1</v>
      </c>
      <c r="D23" s="14" t="s">
        <v>183</v>
      </c>
      <c r="E23" s="14">
        <v>2.6</v>
      </c>
      <c r="F23" s="14" t="s">
        <v>184</v>
      </c>
      <c r="G23" s="14" t="s">
        <v>100</v>
      </c>
      <c r="H23" s="14" t="s">
        <v>101</v>
      </c>
      <c r="I23" s="14"/>
      <c r="L23" s="14">
        <v>4.16</v>
      </c>
      <c r="M23" t="s">
        <v>273</v>
      </c>
      <c r="N23" s="14">
        <v>2.23</v>
      </c>
      <c r="O23" t="s">
        <v>258</v>
      </c>
      <c r="P23" s="14">
        <v>6.39</v>
      </c>
      <c r="Q23" t="s">
        <v>284</v>
      </c>
      <c r="R23" s="14">
        <v>0</v>
      </c>
      <c r="U23" s="14"/>
      <c r="AA23" s="11"/>
      <c r="AB23" s="11"/>
      <c r="AC23" s="11"/>
      <c r="AD23" s="11"/>
      <c r="AG23" s="25" t="s">
        <v>182</v>
      </c>
      <c r="AH23" s="26">
        <v>50.43019975196551</v>
      </c>
      <c r="AI23" s="26">
        <v>0.91095977179651777</v>
      </c>
      <c r="AJ23" s="26">
        <v>18.20428765760176</v>
      </c>
      <c r="AK23" s="27" t="s">
        <v>101</v>
      </c>
      <c r="AL23" s="27" t="s">
        <v>313</v>
      </c>
      <c r="AM23" s="26">
        <v>0.16798397977796545</v>
      </c>
      <c r="AN23" s="26">
        <v>7.0279901524554571</v>
      </c>
      <c r="AO23" s="26">
        <v>11.253989797447552</v>
      </c>
      <c r="AP23" s="26">
        <v>2.3854911391923168</v>
      </c>
      <c r="AQ23" s="26">
        <v>0.21916768174859014</v>
      </c>
      <c r="AR23" s="28">
        <v>100</v>
      </c>
      <c r="AT23" s="11">
        <f t="shared" si="7"/>
        <v>2.438221122282783</v>
      </c>
      <c r="AU23" s="11">
        <f t="shared" si="11"/>
        <v>64.248743664095926</v>
      </c>
      <c r="AV23" s="11">
        <f t="shared" si="8"/>
        <v>3.7949708947310236E-2</v>
      </c>
      <c r="AW23" s="11"/>
      <c r="AX23" s="11">
        <f t="shared" si="9"/>
        <v>1</v>
      </c>
      <c r="AZ23" s="11">
        <f t="shared" si="12"/>
        <v>47.207709987814916</v>
      </c>
      <c r="BA23" s="11">
        <f t="shared" si="13"/>
        <v>0.8527494423787203</v>
      </c>
      <c r="BB23" s="11">
        <f t="shared" si="14"/>
        <v>17.041033676281007</v>
      </c>
      <c r="BC23" s="11"/>
      <c r="BD23" s="11"/>
      <c r="BE23" s="11">
        <f t="shared" si="16"/>
        <v>0.15724980347015344</v>
      </c>
      <c r="BF23" s="11">
        <f t="shared" si="17"/>
        <v>6.578901581713553</v>
      </c>
      <c r="BG23" s="11">
        <f t="shared" si="18"/>
        <v>10.534859849390653</v>
      </c>
      <c r="BH23" s="11">
        <f t="shared" si="19"/>
        <v>2.2330582553979279</v>
      </c>
      <c r="BI23" s="11">
        <f t="shared" si="20"/>
        <v>0.20516286688485522</v>
      </c>
      <c r="BJ23">
        <f t="shared" si="21"/>
        <v>93.61</v>
      </c>
    </row>
    <row r="24" spans="1:75">
      <c r="A24" s="12" t="s">
        <v>185</v>
      </c>
      <c r="B24" s="14">
        <v>300</v>
      </c>
      <c r="C24" s="14">
        <v>0.95</v>
      </c>
      <c r="D24" s="14" t="s">
        <v>186</v>
      </c>
      <c r="E24" s="14">
        <v>2.4900000000000002</v>
      </c>
      <c r="F24" s="14" t="s">
        <v>187</v>
      </c>
      <c r="G24" s="14" t="s">
        <v>100</v>
      </c>
      <c r="H24" s="14" t="s">
        <v>166</v>
      </c>
      <c r="I24" s="14"/>
      <c r="L24" s="14">
        <v>3.62</v>
      </c>
      <c r="M24" t="s">
        <v>274</v>
      </c>
      <c r="N24" s="14">
        <v>2.2200000000000002</v>
      </c>
      <c r="O24" t="s">
        <v>258</v>
      </c>
      <c r="P24" s="14">
        <v>5.84</v>
      </c>
      <c r="Q24" t="s">
        <v>285</v>
      </c>
      <c r="R24" s="14" t="s">
        <v>188</v>
      </c>
      <c r="U24" s="14"/>
      <c r="AA24" s="11"/>
      <c r="AB24" s="11"/>
      <c r="AC24" s="11"/>
      <c r="AD24" s="11"/>
      <c r="AG24" s="29" t="s">
        <v>185</v>
      </c>
      <c r="AH24" s="11">
        <v>50.408534096796885</v>
      </c>
      <c r="AI24" s="11">
        <v>0.93265480549554103</v>
      </c>
      <c r="AJ24" s="11">
        <v>18.189491045300542</v>
      </c>
      <c r="AK24" s="11">
        <v>4.0874167053181143</v>
      </c>
      <c r="AL24" s="11">
        <v>5.4186732692694335</v>
      </c>
      <c r="AM24" s="11">
        <v>0.21870856197991664</v>
      </c>
      <c r="AN24" s="11">
        <v>6.8926451184667625</v>
      </c>
      <c r="AO24" s="11">
        <v>11.126248145258227</v>
      </c>
      <c r="AP24" s="11">
        <v>2.4686232956328906</v>
      </c>
      <c r="AQ24" s="11">
        <v>0.25700495648169042</v>
      </c>
      <c r="AR24" s="31">
        <v>100</v>
      </c>
      <c r="AT24" s="11">
        <f t="shared" si="7"/>
        <v>2.5664515621910895</v>
      </c>
      <c r="AU24" s="11">
        <f t="shared" si="11"/>
        <v>64.59190047379893</v>
      </c>
      <c r="AV24" s="11">
        <f t="shared" si="8"/>
        <v>3.9733334107921868E-2</v>
      </c>
      <c r="AW24" s="11"/>
      <c r="AX24" s="11">
        <f t="shared" si="9"/>
        <v>0.57458949122132941</v>
      </c>
      <c r="AZ24" s="11">
        <f t="shared" si="12"/>
        <v>47.464675705543939</v>
      </c>
      <c r="BA24" s="11">
        <f t="shared" si="13"/>
        <v>0.87818776485460137</v>
      </c>
      <c r="BB24" s="11">
        <f t="shared" si="14"/>
        <v>17.12722476825499</v>
      </c>
      <c r="BC24" s="11"/>
      <c r="BD24" s="11">
        <f t="shared" ref="BD24:BD33" si="22">AL24*$BJ24/100 + AK24*$BJ24/100 *(71.844/159.69)*2</f>
        <v>8.5652678253707766</v>
      </c>
      <c r="BE24" s="11">
        <f t="shared" si="16"/>
        <v>0.2059359819602895</v>
      </c>
      <c r="BF24" s="11">
        <f t="shared" si="17"/>
        <v>6.4901146435483028</v>
      </c>
      <c r="BG24" s="11">
        <f t="shared" si="18"/>
        <v>10.476475253575147</v>
      </c>
      <c r="BH24" s="11">
        <f t="shared" si="19"/>
        <v>2.3244556951679298</v>
      </c>
      <c r="BI24" s="11">
        <f t="shared" si="20"/>
        <v>0.2419958670231597</v>
      </c>
      <c r="BJ24">
        <f t="shared" si="21"/>
        <v>94.16</v>
      </c>
    </row>
    <row r="25" spans="1:75">
      <c r="A25" s="12" t="s">
        <v>189</v>
      </c>
      <c r="B25" s="14">
        <v>300</v>
      </c>
      <c r="C25" s="14">
        <v>0.84</v>
      </c>
      <c r="D25" s="14" t="s">
        <v>190</v>
      </c>
      <c r="E25" s="14">
        <v>2.17</v>
      </c>
      <c r="F25" s="14" t="s">
        <v>191</v>
      </c>
      <c r="G25" s="14" t="s">
        <v>100</v>
      </c>
      <c r="H25" s="14" t="s">
        <v>192</v>
      </c>
      <c r="I25" s="14"/>
      <c r="L25" s="14">
        <v>2.2799999999999998</v>
      </c>
      <c r="M25" t="s">
        <v>258</v>
      </c>
      <c r="N25" s="14">
        <v>1.94</v>
      </c>
      <c r="O25" t="s">
        <v>254</v>
      </c>
      <c r="P25" s="14">
        <v>4.2300000000000004</v>
      </c>
      <c r="Q25" t="s">
        <v>283</v>
      </c>
      <c r="R25" s="14" t="s">
        <v>193</v>
      </c>
      <c r="U25" s="14"/>
      <c r="AA25" s="11"/>
      <c r="AB25" s="11"/>
      <c r="AC25" s="11"/>
      <c r="AD25" s="11"/>
      <c r="AG25" s="29" t="s">
        <v>189</v>
      </c>
      <c r="AH25" s="11">
        <v>50.408067109112743</v>
      </c>
      <c r="AI25" s="11">
        <v>0.92305091758742075</v>
      </c>
      <c r="AJ25" s="11">
        <v>18.463834217180931</v>
      </c>
      <c r="AK25" s="11">
        <v>3.5447144969097071</v>
      </c>
      <c r="AL25" s="11">
        <v>5.5141828387979093</v>
      </c>
      <c r="AM25" s="11">
        <v>0.17498814540622248</v>
      </c>
      <c r="AN25" s="11">
        <v>7.1311583810341306</v>
      </c>
      <c r="AO25" s="11">
        <v>11.090282623276671</v>
      </c>
      <c r="AP25" s="11">
        <v>2.4989006299920695</v>
      </c>
      <c r="AQ25" s="11">
        <v>0.25082064070220084</v>
      </c>
      <c r="AR25" s="31">
        <v>100</v>
      </c>
      <c r="AT25" s="11">
        <f t="shared" si="7"/>
        <v>2.6334080609439026</v>
      </c>
      <c r="AU25" s="11">
        <f t="shared" si="11"/>
        <v>65.958619900191451</v>
      </c>
      <c r="AV25" s="11">
        <f t="shared" si="8"/>
        <v>3.9925154057631501E-2</v>
      </c>
      <c r="AW25" s="11"/>
      <c r="AX25" s="11">
        <f t="shared" si="9"/>
        <v>0.5935746426874916</v>
      </c>
      <c r="AZ25" s="11">
        <f t="shared" si="12"/>
        <v>48.275805870397271</v>
      </c>
      <c r="BA25" s="11">
        <f t="shared" si="13"/>
        <v>0.88400586377347279</v>
      </c>
      <c r="BB25" s="11">
        <f t="shared" si="14"/>
        <v>17.682814029794176</v>
      </c>
      <c r="BC25" s="11"/>
      <c r="BD25" s="11">
        <f t="shared" si="22"/>
        <v>8.3355271398750652</v>
      </c>
      <c r="BE25" s="11">
        <f t="shared" si="16"/>
        <v>0.16758614685553927</v>
      </c>
      <c r="BF25" s="11">
        <f t="shared" si="17"/>
        <v>6.8295103815163865</v>
      </c>
      <c r="BG25" s="11">
        <f t="shared" si="18"/>
        <v>10.621163668312068</v>
      </c>
      <c r="BH25" s="11">
        <f t="shared" si="19"/>
        <v>2.393197133343405</v>
      </c>
      <c r="BI25" s="11">
        <f t="shared" si="20"/>
        <v>0.24021092760049773</v>
      </c>
      <c r="BJ25">
        <f t="shared" si="21"/>
        <v>95.77</v>
      </c>
    </row>
    <row r="26" spans="1:75">
      <c r="A26" s="12" t="s">
        <v>194</v>
      </c>
      <c r="B26" s="14">
        <v>300</v>
      </c>
      <c r="C26" s="14">
        <v>0.71</v>
      </c>
      <c r="D26" s="14" t="s">
        <v>195</v>
      </c>
      <c r="E26" s="14">
        <v>1.78</v>
      </c>
      <c r="F26" s="14" t="s">
        <v>196</v>
      </c>
      <c r="G26" s="14" t="s">
        <v>100</v>
      </c>
      <c r="H26" s="14" t="s">
        <v>143</v>
      </c>
      <c r="I26" s="14"/>
      <c r="L26" s="14">
        <v>1.44</v>
      </c>
      <c r="M26" t="s">
        <v>268</v>
      </c>
      <c r="N26" s="14">
        <v>1.61</v>
      </c>
      <c r="O26" t="s">
        <v>255</v>
      </c>
      <c r="P26" s="14">
        <v>3.05</v>
      </c>
      <c r="Q26" t="s">
        <v>271</v>
      </c>
      <c r="R26" s="14" t="s">
        <v>197</v>
      </c>
      <c r="U26" s="14"/>
      <c r="AA26" s="11"/>
      <c r="AB26" s="11"/>
      <c r="AC26" s="11"/>
      <c r="AD26" s="11"/>
      <c r="AG26" s="29" t="s">
        <v>194</v>
      </c>
      <c r="AH26" s="11">
        <v>50.230778456124206</v>
      </c>
      <c r="AI26" s="11">
        <v>0.93314762314051669</v>
      </c>
      <c r="AJ26" s="11">
        <v>18.384060720324293</v>
      </c>
      <c r="AK26" s="11">
        <v>3.2776321967132693</v>
      </c>
      <c r="AL26" s="11">
        <v>6.2665333353147696</v>
      </c>
      <c r="AM26" s="11">
        <v>0.13968426298327871</v>
      </c>
      <c r="AN26" s="11">
        <v>6.903583838794586</v>
      </c>
      <c r="AO26" s="11">
        <v>11.293850681091129</v>
      </c>
      <c r="AP26" s="11">
        <v>2.3306647683783561</v>
      </c>
      <c r="AQ26" s="11">
        <v>0.24006411713558559</v>
      </c>
      <c r="AR26" s="31">
        <v>100</v>
      </c>
      <c r="AT26" s="11">
        <f t="shared" si="7"/>
        <v>2.4923216545057665</v>
      </c>
      <c r="AU26" s="11">
        <f t="shared" si="11"/>
        <v>66.522086581566825</v>
      </c>
      <c r="AV26" s="11">
        <f t="shared" si="8"/>
        <v>3.7466077547789751E-2</v>
      </c>
      <c r="AW26" s="11"/>
      <c r="AX26" s="11">
        <f t="shared" si="9"/>
        <v>0.57179191146424335</v>
      </c>
      <c r="AZ26" s="11">
        <f t="shared" si="12"/>
        <v>48.698739713212419</v>
      </c>
      <c r="BA26" s="11">
        <f t="shared" si="13"/>
        <v>0.90468662063473093</v>
      </c>
      <c r="BB26" s="11">
        <f t="shared" si="14"/>
        <v>17.823346868354403</v>
      </c>
      <c r="BC26" s="11"/>
      <c r="BD26" s="11">
        <f t="shared" si="22"/>
        <v>8.9346453762547462</v>
      </c>
      <c r="BE26" s="11">
        <f t="shared" si="16"/>
        <v>0.13542389296228871</v>
      </c>
      <c r="BF26" s="11">
        <f t="shared" si="17"/>
        <v>6.6930245317113508</v>
      </c>
      <c r="BG26" s="11">
        <f t="shared" si="18"/>
        <v>10.94938823531785</v>
      </c>
      <c r="BH26" s="11">
        <f t="shared" si="19"/>
        <v>2.2595794929428163</v>
      </c>
      <c r="BI26" s="11">
        <f t="shared" si="20"/>
        <v>0.23274216156295022</v>
      </c>
      <c r="BJ26">
        <f t="shared" si="21"/>
        <v>96.95</v>
      </c>
    </row>
    <row r="27" spans="1:75">
      <c r="A27" s="12" t="s">
        <v>198</v>
      </c>
      <c r="B27" s="14">
        <v>300</v>
      </c>
      <c r="C27" s="14">
        <v>0</v>
      </c>
      <c r="D27" s="14" t="s">
        <v>199</v>
      </c>
      <c r="E27" s="14">
        <v>0.19</v>
      </c>
      <c r="F27" s="14" t="s">
        <v>200</v>
      </c>
      <c r="G27" s="14">
        <v>26.72</v>
      </c>
      <c r="H27" s="14" t="s">
        <v>201</v>
      </c>
      <c r="I27" s="14">
        <v>0.48</v>
      </c>
      <c r="J27" t="s">
        <v>259</v>
      </c>
      <c r="L27" s="14">
        <v>0.27</v>
      </c>
      <c r="M27" t="s">
        <v>275</v>
      </c>
      <c r="N27" s="14">
        <v>0.26</v>
      </c>
      <c r="O27" t="s">
        <v>275</v>
      </c>
      <c r="P27" s="14">
        <v>0.53</v>
      </c>
      <c r="Q27" t="s">
        <v>266</v>
      </c>
      <c r="R27" s="14" t="s">
        <v>202</v>
      </c>
      <c r="U27" s="14">
        <v>0.48</v>
      </c>
      <c r="V27">
        <f>IF(NOT(ISBLANK($I27)),L27,NA())</f>
        <v>0.27</v>
      </c>
      <c r="W27">
        <f>IF(NOT(ISBLANK($I27)),N27,NA())</f>
        <v>0.26</v>
      </c>
      <c r="X27">
        <f>IF(NOT(ISBLANK($I27)),P27,NA())</f>
        <v>0.53</v>
      </c>
      <c r="AA27" s="11">
        <f>$U27*68/AA$3 *V27/$X27</f>
        <v>0.42767042419800216</v>
      </c>
      <c r="AB27" s="11">
        <f>$U27*68/AB$3 *W27/$X27</f>
        <v>0.23788182712908693</v>
      </c>
      <c r="AC27" s="11">
        <f>AA27+AB27</f>
        <v>0.66555225132708906</v>
      </c>
      <c r="AD27" s="11">
        <f t="shared" si="6"/>
        <v>1.837441283984231E-2</v>
      </c>
      <c r="AG27" s="32" t="s">
        <v>198</v>
      </c>
      <c r="AH27" s="33">
        <v>51.560209681752134</v>
      </c>
      <c r="AI27" s="33">
        <v>0.97471615304383552</v>
      </c>
      <c r="AJ27" s="33">
        <v>18.763050315652059</v>
      </c>
      <c r="AK27" s="33">
        <v>1.4184800222985245</v>
      </c>
      <c r="AL27" s="33">
        <v>5.4467486354338082</v>
      </c>
      <c r="AM27" s="33">
        <v>0.14022129569852512</v>
      </c>
      <c r="AN27" s="33">
        <v>7.396334482218049</v>
      </c>
      <c r="AO27" s="33">
        <v>11.651754607072263</v>
      </c>
      <c r="AP27" s="33">
        <v>2.4016859488143116</v>
      </c>
      <c r="AQ27" s="33">
        <v>0.24679885801648394</v>
      </c>
      <c r="AR27" s="35">
        <v>100</v>
      </c>
      <c r="AT27" s="11">
        <f t="shared" si="7"/>
        <v>2.6344478373545925</v>
      </c>
      <c r="AU27" s="11">
        <f t="shared" si="11"/>
        <v>69.950546719417943</v>
      </c>
      <c r="AV27" s="11">
        <f t="shared" si="8"/>
        <v>3.7661576083483021E-2</v>
      </c>
      <c r="AW27" s="11">
        <f t="shared" si="0"/>
        <v>0.13555225132708904</v>
      </c>
      <c r="AX27" s="11">
        <f t="shared" si="9"/>
        <v>0.66228049544179002</v>
      </c>
      <c r="AZ27" s="11">
        <f t="shared" si="12"/>
        <v>51.286940570438844</v>
      </c>
      <c r="BA27" s="11">
        <f t="shared" si="13"/>
        <v>0.96955015743270323</v>
      </c>
      <c r="BB27" s="11">
        <f t="shared" si="14"/>
        <v>18.663606148979103</v>
      </c>
      <c r="BC27" s="11"/>
      <c r="BD27" s="11">
        <f t="shared" si="22"/>
        <v>6.68745516217147</v>
      </c>
      <c r="BE27" s="11">
        <f t="shared" si="16"/>
        <v>0.13947812283132294</v>
      </c>
      <c r="BF27" s="11">
        <f t="shared" si="17"/>
        <v>7.3571339094622932</v>
      </c>
      <c r="BG27" s="11">
        <f t="shared" si="18"/>
        <v>11.59000030765478</v>
      </c>
      <c r="BH27" s="11">
        <f t="shared" si="19"/>
        <v>2.3889570132855957</v>
      </c>
      <c r="BI27" s="11">
        <f t="shared" si="20"/>
        <v>0.24549082406899658</v>
      </c>
      <c r="BJ27">
        <f t="shared" si="21"/>
        <v>99.47</v>
      </c>
      <c r="BU27">
        <f>U27*68/$BU$2</f>
        <v>0.629104341252819</v>
      </c>
      <c r="BV27">
        <f>(BU27-X27)^2</f>
        <v>9.8216704551551959E-3</v>
      </c>
      <c r="BW27">
        <f t="shared" si="10"/>
        <v>9.9104341252818973E-2</v>
      </c>
    </row>
    <row r="28" spans="1:75">
      <c r="A28" s="12" t="s">
        <v>203</v>
      </c>
      <c r="B28" s="14">
        <v>400</v>
      </c>
      <c r="C28" s="14">
        <v>1</v>
      </c>
      <c r="D28" s="14" t="s">
        <v>103</v>
      </c>
      <c r="E28" s="14">
        <v>2.6</v>
      </c>
      <c r="F28" s="14" t="s">
        <v>204</v>
      </c>
      <c r="G28" s="14" t="s">
        <v>100</v>
      </c>
      <c r="H28" s="14" t="s">
        <v>205</v>
      </c>
      <c r="I28" s="14"/>
      <c r="L28" s="14" t="s">
        <v>101</v>
      </c>
      <c r="N28" s="14" t="s">
        <v>101</v>
      </c>
      <c r="P28" s="14"/>
      <c r="R28" s="14">
        <v>0</v>
      </c>
      <c r="U28" s="14"/>
      <c r="AA28" s="11"/>
      <c r="AB28" s="11"/>
      <c r="AC28" s="11"/>
      <c r="AD28" s="11"/>
      <c r="AG28" s="25" t="s">
        <v>203</v>
      </c>
      <c r="AH28" s="26">
        <v>50.303669812639946</v>
      </c>
      <c r="AI28" s="26">
        <v>0.92973115420128438</v>
      </c>
      <c r="AJ28" s="26">
        <v>18.210241634414295</v>
      </c>
      <c r="AK28" s="26">
        <v>4.4838643130026705</v>
      </c>
      <c r="AL28" s="26">
        <v>5.1732257918730964</v>
      </c>
      <c r="AM28" s="26">
        <v>0.16039908316574519</v>
      </c>
      <c r="AN28" s="26">
        <v>6.7998859306669059</v>
      </c>
      <c r="AO28" s="26">
        <v>11.182135165618822</v>
      </c>
      <c r="AP28" s="26">
        <v>2.4961470806312014</v>
      </c>
      <c r="AQ28" s="26">
        <v>0.26070003378603235</v>
      </c>
      <c r="AR28" s="28">
        <v>100</v>
      </c>
      <c r="AT28" s="11">
        <f t="shared" si="7"/>
        <v>0</v>
      </c>
      <c r="AU28" s="11"/>
      <c r="AV28" s="11"/>
      <c r="AW28" s="11"/>
      <c r="AX28" s="11"/>
      <c r="AZ28" s="11"/>
      <c r="BA28" s="11"/>
      <c r="BB28" s="11"/>
      <c r="BC28" s="11"/>
      <c r="BD28" s="11">
        <f t="shared" si="22"/>
        <v>0</v>
      </c>
      <c r="BE28" s="11"/>
      <c r="BF28" s="11"/>
      <c r="BG28" s="11"/>
      <c r="BH28" s="11"/>
      <c r="BI28" s="11"/>
    </row>
    <row r="29" spans="1:75">
      <c r="A29" s="12" t="s">
        <v>206</v>
      </c>
      <c r="B29" s="14">
        <v>400</v>
      </c>
      <c r="C29" s="14">
        <v>0.96</v>
      </c>
      <c r="D29" s="14" t="s">
        <v>207</v>
      </c>
      <c r="E29" s="14">
        <v>2.5099999999999998</v>
      </c>
      <c r="F29" s="14" t="s">
        <v>208</v>
      </c>
      <c r="G29" s="14" t="s">
        <v>100</v>
      </c>
      <c r="H29" s="14" t="s">
        <v>205</v>
      </c>
      <c r="I29" s="14"/>
      <c r="L29" s="14">
        <v>4.59</v>
      </c>
      <c r="M29" t="s">
        <v>276</v>
      </c>
      <c r="N29" s="14">
        <v>2.2999999999999998</v>
      </c>
      <c r="O29" t="s">
        <v>270</v>
      </c>
      <c r="P29" s="14">
        <v>6.89</v>
      </c>
      <c r="Q29" t="s">
        <v>286</v>
      </c>
      <c r="R29" s="14" t="s">
        <v>209</v>
      </c>
      <c r="U29" s="14"/>
      <c r="AA29" s="11"/>
      <c r="AB29" s="11"/>
      <c r="AC29" s="11"/>
      <c r="AD29" s="11"/>
      <c r="AG29" s="29" t="s">
        <v>206</v>
      </c>
      <c r="AH29" s="11">
        <v>50.477892505424798</v>
      </c>
      <c r="AI29" s="11">
        <v>0.95314746979411857</v>
      </c>
      <c r="AJ29" s="11">
        <v>18.347804958023893</v>
      </c>
      <c r="AK29" s="11">
        <v>4.2909901209620971</v>
      </c>
      <c r="AL29" s="11">
        <v>5.0229634168047577</v>
      </c>
      <c r="AM29" s="11">
        <v>0.19478039536511441</v>
      </c>
      <c r="AN29" s="11">
        <v>6.8791439000254027</v>
      </c>
      <c r="AO29" s="11">
        <v>11.223234464189449</v>
      </c>
      <c r="AP29" s="11">
        <v>2.3492130648431648</v>
      </c>
      <c r="AQ29" s="11">
        <v>0.26082970456720483</v>
      </c>
      <c r="AR29" s="31">
        <v>100</v>
      </c>
      <c r="AT29" s="11">
        <f t="shared" si="7"/>
        <v>2.4302108225979953</v>
      </c>
      <c r="AU29" s="11">
        <f>AZ29+BB29</f>
        <v>64.083606908217078</v>
      </c>
      <c r="AV29" s="11">
        <f t="shared" si="8"/>
        <v>3.7922503739195479E-2</v>
      </c>
      <c r="AW29" s="11"/>
      <c r="AX29" s="11">
        <f t="shared" si="9"/>
        <v>0.5798803867032386</v>
      </c>
      <c r="AZ29" s="11">
        <f t="shared" ref="AZ29:BB33" si="23">AH29*$BJ29/100</f>
        <v>46.999965711801032</v>
      </c>
      <c r="BA29" s="11">
        <f t="shared" si="23"/>
        <v>0.88747560912530377</v>
      </c>
      <c r="BB29" s="11">
        <f t="shared" si="23"/>
        <v>17.083641196416046</v>
      </c>
      <c r="BC29" s="11"/>
      <c r="BD29" s="11">
        <f t="shared" si="22"/>
        <v>8.2718624101159257</v>
      </c>
      <c r="BE29" s="11">
        <f t="shared" ref="BE29:BI33" si="24">AM29*$BJ29/100</f>
        <v>0.18136002612445803</v>
      </c>
      <c r="BF29" s="11">
        <f t="shared" si="24"/>
        <v>6.4051708853136526</v>
      </c>
      <c r="BG29" s="11">
        <f t="shared" si="24"/>
        <v>10.449953609606796</v>
      </c>
      <c r="BH29" s="11">
        <f t="shared" si="24"/>
        <v>2.1873522846754709</v>
      </c>
      <c r="BI29" s="11">
        <f t="shared" si="24"/>
        <v>0.24285853792252443</v>
      </c>
      <c r="BJ29">
        <f>100-P29</f>
        <v>93.11</v>
      </c>
    </row>
    <row r="30" spans="1:75">
      <c r="A30" s="12" t="s">
        <v>210</v>
      </c>
      <c r="B30" s="14">
        <v>400</v>
      </c>
      <c r="C30" s="14">
        <v>0.88</v>
      </c>
      <c r="D30" s="14" t="s">
        <v>211</v>
      </c>
      <c r="E30" s="14">
        <v>2.2999999999999998</v>
      </c>
      <c r="F30" s="14" t="s">
        <v>212</v>
      </c>
      <c r="G30" s="14" t="s">
        <v>100</v>
      </c>
      <c r="H30" s="14" t="s">
        <v>213</v>
      </c>
      <c r="I30" s="14"/>
      <c r="L30" s="14">
        <v>3.22</v>
      </c>
      <c r="M30" t="s">
        <v>277</v>
      </c>
      <c r="N30" s="14">
        <v>1.97</v>
      </c>
      <c r="O30" t="s">
        <v>253</v>
      </c>
      <c r="P30" s="14">
        <v>5.18</v>
      </c>
      <c r="Q30" t="s">
        <v>287</v>
      </c>
      <c r="R30" s="14" t="s">
        <v>214</v>
      </c>
      <c r="U30" s="14"/>
      <c r="AA30" s="11"/>
      <c r="AB30" s="11"/>
      <c r="AC30" s="11"/>
      <c r="AD30" s="11"/>
      <c r="AG30" s="29" t="s">
        <v>210</v>
      </c>
      <c r="AH30" s="11">
        <v>50.306502737875739</v>
      </c>
      <c r="AI30" s="11">
        <v>0.94801280671428834</v>
      </c>
      <c r="AJ30" s="11">
        <v>18.205215974318595</v>
      </c>
      <c r="AK30" s="11">
        <v>3.8706464739985389</v>
      </c>
      <c r="AL30" s="11">
        <v>5.5511622628662423</v>
      </c>
      <c r="AM30" s="11">
        <v>0.14897400329850038</v>
      </c>
      <c r="AN30" s="11">
        <v>6.97245974124443</v>
      </c>
      <c r="AO30" s="11">
        <v>11.374607271524642</v>
      </c>
      <c r="AP30" s="11">
        <v>2.3795388368022325</v>
      </c>
      <c r="AQ30" s="11">
        <v>0.24287989135678584</v>
      </c>
      <c r="AR30" s="31">
        <v>100</v>
      </c>
      <c r="AT30" s="11">
        <f t="shared" si="7"/>
        <v>2.4865774380403809</v>
      </c>
      <c r="AU30" s="11">
        <f>AZ30+BB30</f>
        <v>64.962811682902668</v>
      </c>
      <c r="AV30" s="11">
        <f t="shared" si="8"/>
        <v>3.8276936813909708E-2</v>
      </c>
      <c r="AW30" s="11"/>
      <c r="AX30" s="11">
        <f t="shared" si="9"/>
        <v>0.5790842938578421</v>
      </c>
      <c r="AZ30" s="11">
        <f t="shared" si="23"/>
        <v>47.700625896053772</v>
      </c>
      <c r="BA30" s="11">
        <f t="shared" si="23"/>
        <v>0.89890574332648809</v>
      </c>
      <c r="BB30" s="11">
        <f t="shared" si="23"/>
        <v>17.262185786848889</v>
      </c>
      <c r="BC30" s="11"/>
      <c r="BD30" s="11">
        <f t="shared" si="22"/>
        <v>8.5659859083424017</v>
      </c>
      <c r="BE30" s="11">
        <f t="shared" si="24"/>
        <v>0.14125714992763805</v>
      </c>
      <c r="BF30" s="11">
        <f t="shared" si="24"/>
        <v>6.611286326647968</v>
      </c>
      <c r="BG30" s="11">
        <f t="shared" si="24"/>
        <v>10.785402614859665</v>
      </c>
      <c r="BH30" s="11">
        <f t="shared" si="24"/>
        <v>2.2562787250558767</v>
      </c>
      <c r="BI30" s="11">
        <f t="shared" si="24"/>
        <v>0.2302987129845043</v>
      </c>
      <c r="BJ30">
        <f>100-P30</f>
        <v>94.82</v>
      </c>
    </row>
    <row r="31" spans="1:75">
      <c r="A31" s="12" t="s">
        <v>215</v>
      </c>
      <c r="B31" s="14">
        <v>400</v>
      </c>
      <c r="C31" s="14">
        <v>0.63</v>
      </c>
      <c r="D31" s="14" t="s">
        <v>216</v>
      </c>
      <c r="E31" s="14">
        <v>1.73</v>
      </c>
      <c r="F31" s="14" t="s">
        <v>217</v>
      </c>
      <c r="G31" s="14" t="s">
        <v>100</v>
      </c>
      <c r="H31" s="14" t="s">
        <v>105</v>
      </c>
      <c r="I31" s="14"/>
      <c r="L31" s="14">
        <v>1.43</v>
      </c>
      <c r="M31" t="s">
        <v>268</v>
      </c>
      <c r="N31" s="14">
        <v>1.6</v>
      </c>
      <c r="O31" t="s">
        <v>267</v>
      </c>
      <c r="P31" s="14">
        <v>3.03</v>
      </c>
      <c r="Q31" t="s">
        <v>271</v>
      </c>
      <c r="R31" s="14" t="s">
        <v>218</v>
      </c>
      <c r="U31" s="14"/>
      <c r="AA31" s="11"/>
      <c r="AB31" s="11"/>
      <c r="AC31" s="11"/>
      <c r="AD31" s="11"/>
      <c r="AG31" s="32" t="s">
        <v>215</v>
      </c>
      <c r="AH31" s="33">
        <v>50.267167218411842</v>
      </c>
      <c r="AI31" s="33">
        <v>0.97851398506805276</v>
      </c>
      <c r="AJ31" s="33">
        <v>18.275587037239671</v>
      </c>
      <c r="AK31" s="33">
        <v>3.3621139977254639</v>
      </c>
      <c r="AL31" s="33">
        <v>6.0852196485471648</v>
      </c>
      <c r="AM31" s="33">
        <v>0.17683017700355841</v>
      </c>
      <c r="AN31" s="33">
        <v>7.045052030013494</v>
      </c>
      <c r="AO31" s="33">
        <v>11.205845774188237</v>
      </c>
      <c r="AP31" s="33">
        <v>2.3680296437962141</v>
      </c>
      <c r="AQ31" s="33">
        <v>0.23564048800629972</v>
      </c>
      <c r="AR31" s="35">
        <v>100</v>
      </c>
      <c r="AT31" s="11">
        <f t="shared" si="7"/>
        <v>2.5247789268088972</v>
      </c>
      <c r="AU31" s="11">
        <f>AZ31+BB31</f>
        <v>66.465908801705268</v>
      </c>
      <c r="AV31" s="11">
        <f t="shared" si="8"/>
        <v>3.7986073948696547E-2</v>
      </c>
      <c r="AW31" s="11"/>
      <c r="AX31" s="11">
        <f t="shared" si="9"/>
        <v>0.57955389424420589</v>
      </c>
      <c r="AZ31" s="11">
        <f t="shared" si="23"/>
        <v>48.744072051693962</v>
      </c>
      <c r="BA31" s="11">
        <f t="shared" si="23"/>
        <v>0.94886501132049073</v>
      </c>
      <c r="BB31" s="11">
        <f t="shared" si="23"/>
        <v>17.72183675001131</v>
      </c>
      <c r="BC31" s="11"/>
      <c r="BD31" s="11">
        <f t="shared" si="22"/>
        <v>8.8343815121778988</v>
      </c>
      <c r="BE31" s="11">
        <f t="shared" si="24"/>
        <v>0.17147222264035059</v>
      </c>
      <c r="BF31" s="11">
        <f t="shared" si="24"/>
        <v>6.8315869535040852</v>
      </c>
      <c r="BG31" s="11">
        <f t="shared" si="24"/>
        <v>10.866308647230333</v>
      </c>
      <c r="BH31" s="11">
        <f t="shared" si="24"/>
        <v>2.2962783455891884</v>
      </c>
      <c r="BI31" s="11">
        <f t="shared" si="24"/>
        <v>0.22850058121970881</v>
      </c>
      <c r="BJ31">
        <f>100-P31</f>
        <v>96.97</v>
      </c>
    </row>
    <row r="32" spans="1:75">
      <c r="A32" s="12" t="s">
        <v>219</v>
      </c>
      <c r="B32" s="14">
        <v>500</v>
      </c>
      <c r="C32" s="14">
        <v>0.64</v>
      </c>
      <c r="D32" s="14" t="s">
        <v>220</v>
      </c>
      <c r="E32" s="14">
        <v>1.45</v>
      </c>
      <c r="F32" s="14" t="s">
        <v>221</v>
      </c>
      <c r="G32" s="14" t="s">
        <v>100</v>
      </c>
      <c r="H32" s="14" t="s">
        <v>123</v>
      </c>
      <c r="I32" s="14"/>
      <c r="L32" s="14">
        <v>1.49</v>
      </c>
      <c r="M32" t="s">
        <v>268</v>
      </c>
      <c r="N32" s="14">
        <v>1.68</v>
      </c>
      <c r="O32" t="s">
        <v>255</v>
      </c>
      <c r="P32" s="14">
        <v>3.16</v>
      </c>
      <c r="Q32" t="s">
        <v>258</v>
      </c>
      <c r="R32" s="14" t="s">
        <v>222</v>
      </c>
      <c r="U32" s="14"/>
      <c r="AA32" s="11"/>
      <c r="AB32" s="11"/>
      <c r="AC32" s="11"/>
      <c r="AD32" s="11"/>
      <c r="AG32" s="29" t="s">
        <v>219</v>
      </c>
      <c r="AH32" s="11">
        <v>50.431385173097112</v>
      </c>
      <c r="AI32" s="11">
        <v>0.93046614227386315</v>
      </c>
      <c r="AJ32" s="11">
        <v>18.203486261664246</v>
      </c>
      <c r="AK32" s="11">
        <v>2.8010933398218807</v>
      </c>
      <c r="AL32" s="11">
        <v>6.577262203204107</v>
      </c>
      <c r="AM32" s="11">
        <v>0.13938644239013764</v>
      </c>
      <c r="AN32" s="11">
        <v>7.070258997149689</v>
      </c>
      <c r="AO32" s="11">
        <v>11.195015209560712</v>
      </c>
      <c r="AP32" s="11">
        <v>2.4060031626262974</v>
      </c>
      <c r="AQ32" s="11">
        <v>0.24564306821195508</v>
      </c>
      <c r="AR32" s="31">
        <v>100</v>
      </c>
      <c r="AT32" s="11">
        <f t="shared" si="7"/>
        <v>2.5678542099437638</v>
      </c>
      <c r="AU32" s="11">
        <f>AZ32+BB32</f>
        <v>66.466009497422903</v>
      </c>
      <c r="AV32" s="11">
        <f t="shared" si="8"/>
        <v>3.8634096275079181E-2</v>
      </c>
      <c r="AW32" s="11"/>
      <c r="AX32" s="11">
        <f t="shared" si="9"/>
        <v>0.58076523012847381</v>
      </c>
      <c r="AZ32" s="11">
        <f t="shared" si="23"/>
        <v>48.837753401627239</v>
      </c>
      <c r="BA32" s="11">
        <f t="shared" si="23"/>
        <v>0.90106341217800923</v>
      </c>
      <c r="BB32" s="11">
        <f t="shared" si="23"/>
        <v>17.628256095795656</v>
      </c>
      <c r="BC32" s="11"/>
      <c r="BD32" s="11">
        <f t="shared" si="22"/>
        <v>8.8101810733863317</v>
      </c>
      <c r="BE32" s="11">
        <f t="shared" si="24"/>
        <v>0.1349818308106093</v>
      </c>
      <c r="BF32" s="11">
        <f t="shared" si="24"/>
        <v>6.846838812839759</v>
      </c>
      <c r="BG32" s="11">
        <f t="shared" si="24"/>
        <v>10.841252728938594</v>
      </c>
      <c r="BH32" s="11">
        <f t="shared" si="24"/>
        <v>2.3299734626873065</v>
      </c>
      <c r="BI32" s="11">
        <f t="shared" si="24"/>
        <v>0.23788074725645733</v>
      </c>
      <c r="BJ32">
        <f>100-P32</f>
        <v>96.84</v>
      </c>
    </row>
    <row r="33" spans="1:75">
      <c r="A33" s="12" t="s">
        <v>223</v>
      </c>
      <c r="B33" s="14">
        <v>500</v>
      </c>
      <c r="C33" s="14">
        <v>0.87</v>
      </c>
      <c r="D33" s="14" t="s">
        <v>224</v>
      </c>
      <c r="E33" s="14">
        <v>2.2799999999999998</v>
      </c>
      <c r="F33" s="14" t="s">
        <v>225</v>
      </c>
      <c r="G33" s="14" t="s">
        <v>100</v>
      </c>
      <c r="H33" s="14" t="s">
        <v>192</v>
      </c>
      <c r="I33" s="14"/>
      <c r="L33" s="14">
        <v>3.73</v>
      </c>
      <c r="M33" t="s">
        <v>274</v>
      </c>
      <c r="N33" s="14">
        <v>2.19</v>
      </c>
      <c r="O33" t="s">
        <v>271</v>
      </c>
      <c r="P33" s="14">
        <v>5.91</v>
      </c>
      <c r="Q33" t="s">
        <v>285</v>
      </c>
      <c r="R33" s="14" t="s">
        <v>226</v>
      </c>
      <c r="U33" s="14"/>
      <c r="AA33" s="11"/>
      <c r="AB33" s="11"/>
      <c r="AC33" s="11"/>
      <c r="AD33" s="11"/>
      <c r="AG33" s="29" t="s">
        <v>223</v>
      </c>
      <c r="AH33" s="11">
        <v>50.4256990884247</v>
      </c>
      <c r="AI33" s="11">
        <v>0.91031593205114714</v>
      </c>
      <c r="AJ33" s="11">
        <v>18.255868024649807</v>
      </c>
      <c r="AK33" s="11">
        <v>3.6433615645012241</v>
      </c>
      <c r="AL33" s="11">
        <v>5.6481543010298791</v>
      </c>
      <c r="AM33" s="11">
        <v>0.21002395177741007</v>
      </c>
      <c r="AN33" s="11">
        <v>6.9911519732622764</v>
      </c>
      <c r="AO33" s="11">
        <v>11.298122851030175</v>
      </c>
      <c r="AP33" s="11">
        <v>2.3449450893023482</v>
      </c>
      <c r="AQ33" s="11">
        <v>0.27235722397103418</v>
      </c>
      <c r="AR33" s="31">
        <v>100</v>
      </c>
      <c r="AT33" s="11">
        <f t="shared" si="7"/>
        <v>2.4626197465589255</v>
      </c>
      <c r="AU33" s="11">
        <f>AZ33+BB33</f>
        <v>64.622486496691806</v>
      </c>
      <c r="AV33" s="11">
        <f t="shared" si="8"/>
        <v>3.8107783839066503E-2</v>
      </c>
      <c r="AW33" s="11"/>
      <c r="AX33" s="11">
        <f t="shared" si="9"/>
        <v>0.58265101094143212</v>
      </c>
      <c r="AZ33" s="11">
        <f t="shared" si="23"/>
        <v>47.445540272298807</v>
      </c>
      <c r="BA33" s="11">
        <f t="shared" si="23"/>
        <v>0.85651626046692442</v>
      </c>
      <c r="BB33" s="11">
        <f t="shared" si="23"/>
        <v>17.176946224393006</v>
      </c>
      <c r="BC33" s="11"/>
      <c r="BD33" s="11">
        <f t="shared" si="22"/>
        <v>8.3988749827162188</v>
      </c>
      <c r="BE33" s="11">
        <f t="shared" si="24"/>
        <v>0.19761153622736516</v>
      </c>
      <c r="BF33" s="11">
        <f t="shared" si="24"/>
        <v>6.5779748916424765</v>
      </c>
      <c r="BG33" s="11">
        <f t="shared" si="24"/>
        <v>10.630403790534292</v>
      </c>
      <c r="BH33" s="11">
        <f t="shared" si="24"/>
        <v>2.2063588345245795</v>
      </c>
      <c r="BI33" s="11">
        <f t="shared" si="24"/>
        <v>0.25626091203434609</v>
      </c>
      <c r="BJ33">
        <f>100-P33</f>
        <v>94.09</v>
      </c>
    </row>
    <row r="34" spans="1:75">
      <c r="A34" s="12" t="s">
        <v>227</v>
      </c>
      <c r="B34" s="14">
        <v>500</v>
      </c>
      <c r="C34" s="14">
        <v>0.97</v>
      </c>
      <c r="D34" s="14" t="s">
        <v>228</v>
      </c>
      <c r="E34" s="14">
        <v>2.52</v>
      </c>
      <c r="F34" s="14" t="s">
        <v>229</v>
      </c>
      <c r="G34" s="14" t="s">
        <v>100</v>
      </c>
      <c r="H34" s="14" t="s">
        <v>162</v>
      </c>
      <c r="I34" s="14"/>
      <c r="L34" s="14" t="s">
        <v>101</v>
      </c>
      <c r="N34" s="14" t="s">
        <v>101</v>
      </c>
      <c r="P34" s="14"/>
      <c r="R34" s="14" t="s">
        <v>230</v>
      </c>
      <c r="U34" s="14"/>
      <c r="AA34" s="11"/>
      <c r="AB34" s="11"/>
      <c r="AC34" s="11"/>
      <c r="AD34" s="11"/>
      <c r="AG34" s="29" t="s">
        <v>227</v>
      </c>
      <c r="AH34" s="11">
        <v>50.441257257286154</v>
      </c>
      <c r="AI34" s="11">
        <v>0.93409303416105061</v>
      </c>
      <c r="AJ34" s="11">
        <v>18.245358656277702</v>
      </c>
      <c r="AK34" s="11">
        <v>4.1613684400357993</v>
      </c>
      <c r="AL34" s="11">
        <v>5.2294993209297918</v>
      </c>
      <c r="AM34" s="11">
        <v>0.17063592523186516</v>
      </c>
      <c r="AN34" s="11">
        <v>7.0026642931284471</v>
      </c>
      <c r="AO34" s="11">
        <v>11.155270813076241</v>
      </c>
      <c r="AP34" s="11">
        <v>2.4290508827613939</v>
      </c>
      <c r="AQ34" s="11">
        <v>0.23080137711155382</v>
      </c>
      <c r="AR34" s="31">
        <v>100</v>
      </c>
      <c r="AT34" s="11">
        <f t="shared" si="7"/>
        <v>0</v>
      </c>
      <c r="AU34" s="11"/>
      <c r="AV34" s="11"/>
      <c r="AW34" s="11"/>
      <c r="AX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</row>
    <row r="35" spans="1:75">
      <c r="A35" s="12" t="s">
        <v>231</v>
      </c>
      <c r="B35" s="14">
        <v>500</v>
      </c>
      <c r="C35" s="14">
        <v>1</v>
      </c>
      <c r="D35" s="14" t="s">
        <v>232</v>
      </c>
      <c r="E35" s="14">
        <v>2.6</v>
      </c>
      <c r="F35" s="14" t="s">
        <v>233</v>
      </c>
      <c r="G35" s="14" t="s">
        <v>100</v>
      </c>
      <c r="H35" s="14" t="s">
        <v>205</v>
      </c>
      <c r="I35" s="14"/>
      <c r="L35" s="14" t="s">
        <v>101</v>
      </c>
      <c r="N35" s="14" t="s">
        <v>101</v>
      </c>
      <c r="P35" s="14"/>
      <c r="R35" s="14">
        <v>0</v>
      </c>
      <c r="U35" s="14"/>
      <c r="AA35" s="11"/>
      <c r="AB35" s="11"/>
      <c r="AC35" s="11"/>
      <c r="AD35" s="11"/>
      <c r="AG35" s="29" t="s">
        <v>231</v>
      </c>
      <c r="AH35" s="11">
        <v>50.431754047911788</v>
      </c>
      <c r="AI35" s="11">
        <v>0.97277954729545169</v>
      </c>
      <c r="AJ35" s="11">
        <v>18.140024354737836</v>
      </c>
      <c r="AK35" s="11">
        <v>4.3419271430769042</v>
      </c>
      <c r="AL35" s="11">
        <v>5.0424061817718586</v>
      </c>
      <c r="AM35" s="11">
        <v>0.18902455543987576</v>
      </c>
      <c r="AN35" s="11">
        <v>6.8200497854114772</v>
      </c>
      <c r="AO35" s="11">
        <v>11.391053714428184</v>
      </c>
      <c r="AP35" s="11">
        <v>2.4043522338780194</v>
      </c>
      <c r="AQ35" s="11">
        <v>0.26662843604860231</v>
      </c>
      <c r="AR35" s="31">
        <v>100</v>
      </c>
      <c r="AT35" s="11">
        <f t="shared" si="7"/>
        <v>0</v>
      </c>
      <c r="AU35" s="11"/>
      <c r="AV35" s="11"/>
      <c r="AW35" s="11"/>
      <c r="AX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</row>
    <row r="36" spans="1:75">
      <c r="A36" s="12" t="s">
        <v>234</v>
      </c>
      <c r="B36" s="14">
        <v>500</v>
      </c>
      <c r="C36" s="14">
        <v>0.23</v>
      </c>
      <c r="D36" s="14" t="s">
        <v>235</v>
      </c>
      <c r="E36" s="14">
        <v>0.55000000000000004</v>
      </c>
      <c r="F36" s="14" t="s">
        <v>236</v>
      </c>
      <c r="G36" s="14">
        <v>5.44</v>
      </c>
      <c r="H36" s="14" t="s">
        <v>128</v>
      </c>
      <c r="I36" s="14">
        <v>1.42</v>
      </c>
      <c r="J36" t="s">
        <v>260</v>
      </c>
      <c r="L36" s="14">
        <v>0.69</v>
      </c>
      <c r="M36" t="s">
        <v>264</v>
      </c>
      <c r="N36" s="14">
        <v>0.96</v>
      </c>
      <c r="O36" t="s">
        <v>280</v>
      </c>
      <c r="P36" s="14">
        <v>1.65</v>
      </c>
      <c r="Q36" t="s">
        <v>256</v>
      </c>
      <c r="R36" s="14" t="s">
        <v>237</v>
      </c>
      <c r="U36" s="14">
        <v>1.42</v>
      </c>
      <c r="V36">
        <f>IF(NOT(ISBLANK($I36)),L36,NA())</f>
        <v>0.69</v>
      </c>
      <c r="W36">
        <f>IF(NOT(ISBLANK($I36)),N36,NA())</f>
        <v>0.96</v>
      </c>
      <c r="X36">
        <f>IF(NOT(ISBLANK($I36)),P36,NA())</f>
        <v>1.65</v>
      </c>
      <c r="AA36" s="11">
        <f>$U36*68/AA$3 *V36/$X36</f>
        <v>1.038564745901035</v>
      </c>
      <c r="AB36" s="11">
        <f>$U36*68/AB$3 *W36/$X36</f>
        <v>0.83463805639790589</v>
      </c>
      <c r="AC36" s="11">
        <f t="shared" ref="AC36" si="25">AA36+AB36</f>
        <v>1.8732028022989409</v>
      </c>
      <c r="AD36" s="11">
        <f t="shared" ref="AD36" si="26">(X36-AC36)^2</f>
        <v>4.9819490954100126E-2</v>
      </c>
      <c r="AG36" s="29" t="s">
        <v>234</v>
      </c>
      <c r="AH36" s="11">
        <v>50.693956842408156</v>
      </c>
      <c r="AI36" s="11">
        <v>0.93691582659802175</v>
      </c>
      <c r="AJ36" s="11">
        <v>18.270653413275674</v>
      </c>
      <c r="AK36" s="11">
        <v>2.1914068405275442</v>
      </c>
      <c r="AL36" s="11">
        <v>6.6677161727129226</v>
      </c>
      <c r="AM36" s="11">
        <v>0.15965334332836859</v>
      </c>
      <c r="AN36" s="11">
        <v>7.034561546320063</v>
      </c>
      <c r="AO36" s="11">
        <v>11.356472131613277</v>
      </c>
      <c r="AP36" s="11">
        <v>2.4551474243964853</v>
      </c>
      <c r="AQ36" s="11">
        <v>0.23351645881949371</v>
      </c>
      <c r="AR36" s="31">
        <v>100</v>
      </c>
      <c r="AT36" s="11">
        <f t="shared" si="7"/>
        <v>2.6443009291429154</v>
      </c>
      <c r="AU36" s="11">
        <f>AZ36+BB36</f>
        <v>67.826694186465048</v>
      </c>
      <c r="AV36" s="11">
        <f t="shared" si="8"/>
        <v>3.8986139024752751E-2</v>
      </c>
      <c r="AW36" s="11">
        <f t="shared" si="0"/>
        <v>0.22320280229894096</v>
      </c>
      <c r="AX36" s="11">
        <f t="shared" si="9"/>
        <v>0.59206865210833026</v>
      </c>
      <c r="AZ36" s="11">
        <f t="shared" ref="AZ36:BB39" si="27">AH36*$BJ36/100</f>
        <v>49.857506554508419</v>
      </c>
      <c r="BA36" s="11">
        <f t="shared" si="27"/>
        <v>0.92145671545915431</v>
      </c>
      <c r="BB36" s="11">
        <f t="shared" si="27"/>
        <v>17.969187631956625</v>
      </c>
      <c r="BC36" s="11"/>
      <c r="BD36" s="11">
        <f>AL36*$BJ36/100 + AK36*$BJ36/100 *(71.844/159.69)*2</f>
        <v>8.4969772377971768</v>
      </c>
      <c r="BE36" s="11">
        <f t="shared" ref="BE36:BI39" si="28">AM36*$BJ36/100</f>
        <v>0.15701906316345049</v>
      </c>
      <c r="BF36" s="11">
        <f t="shared" si="28"/>
        <v>6.9184912808057808</v>
      </c>
      <c r="BG36" s="11">
        <f t="shared" si="28"/>
        <v>11.169090341441656</v>
      </c>
      <c r="BH36" s="11">
        <f t="shared" si="28"/>
        <v>2.4146374918939433</v>
      </c>
      <c r="BI36" s="11">
        <f t="shared" si="28"/>
        <v>0.22966343724897204</v>
      </c>
      <c r="BJ36">
        <f>100-P36</f>
        <v>98.35</v>
      </c>
      <c r="BU36">
        <f>U36*68/$BU$2</f>
        <v>1.8611003428729229</v>
      </c>
      <c r="BV36">
        <f>(BU36-X36)^2</f>
        <v>4.4563354761065654E-2</v>
      </c>
      <c r="BW36">
        <f t="shared" si="10"/>
        <v>0.21110034287292301</v>
      </c>
    </row>
    <row r="37" spans="1:75">
      <c r="A37" s="12" t="s">
        <v>238</v>
      </c>
      <c r="B37" s="14">
        <v>500</v>
      </c>
      <c r="C37" s="14">
        <v>0.52</v>
      </c>
      <c r="D37" s="14" t="s">
        <v>239</v>
      </c>
      <c r="E37" s="14">
        <v>1.24</v>
      </c>
      <c r="F37" s="14" t="s">
        <v>240</v>
      </c>
      <c r="G37" s="14" t="s">
        <v>100</v>
      </c>
      <c r="H37" s="14" t="s">
        <v>241</v>
      </c>
      <c r="I37" s="14"/>
      <c r="L37" s="14">
        <v>1.24</v>
      </c>
      <c r="M37" t="s">
        <v>256</v>
      </c>
      <c r="N37" s="14">
        <v>1.55</v>
      </c>
      <c r="O37" t="s">
        <v>267</v>
      </c>
      <c r="P37" s="14">
        <v>2.79</v>
      </c>
      <c r="Q37" t="s">
        <v>253</v>
      </c>
      <c r="R37" s="14" t="s">
        <v>242</v>
      </c>
      <c r="AG37" s="29" t="s">
        <v>238</v>
      </c>
      <c r="AH37" s="11">
        <v>50.367404304799443</v>
      </c>
      <c r="AI37" s="11">
        <v>0.93495131890040051</v>
      </c>
      <c r="AJ37" s="11">
        <v>18.259257024007951</v>
      </c>
      <c r="AK37" s="11">
        <v>3.0997481902796231</v>
      </c>
      <c r="AL37" s="11">
        <v>6.2621013414193722</v>
      </c>
      <c r="AM37" s="11">
        <v>0.23296116680933135</v>
      </c>
      <c r="AN37" s="11">
        <v>7.0589906774351432</v>
      </c>
      <c r="AO37" s="11">
        <v>11.239424330633279</v>
      </c>
      <c r="AP37" s="11">
        <v>2.3039600376662488</v>
      </c>
      <c r="AQ37" s="11">
        <v>0.24120160804921173</v>
      </c>
      <c r="AR37" s="31">
        <v>100</v>
      </c>
      <c r="AT37" s="11">
        <f t="shared" si="7"/>
        <v>2.4741516357999989</v>
      </c>
      <c r="AU37" s="11">
        <f>AZ37+BB37</f>
        <v>66.711977477733654</v>
      </c>
      <c r="AV37" s="11">
        <f t="shared" si="8"/>
        <v>3.7087067860127401E-2</v>
      </c>
      <c r="AW37" s="11"/>
      <c r="AX37" s="11">
        <f t="shared" si="9"/>
        <v>0.58162248542178752</v>
      </c>
      <c r="AZ37" s="11">
        <f t="shared" si="27"/>
        <v>48.962153724695533</v>
      </c>
      <c r="BA37" s="11">
        <f t="shared" si="27"/>
        <v>0.90886617710307926</v>
      </c>
      <c r="BB37" s="11">
        <f t="shared" si="27"/>
        <v>17.749823753038129</v>
      </c>
      <c r="BC37" s="11"/>
      <c r="BD37" s="11">
        <f>AL37*$BJ37/100 + AK37*$BJ37/100 *(71.844/159.69)*2</f>
        <v>8.7987047157701994</v>
      </c>
      <c r="BE37" s="11">
        <f t="shared" si="28"/>
        <v>0.22646155025535097</v>
      </c>
      <c r="BF37" s="11">
        <f t="shared" si="28"/>
        <v>6.8620448375347021</v>
      </c>
      <c r="BG37" s="11">
        <f t="shared" si="28"/>
        <v>10.92584439180861</v>
      </c>
      <c r="BH37" s="11">
        <f t="shared" si="28"/>
        <v>2.2396795526153603</v>
      </c>
      <c r="BI37" s="11">
        <f t="shared" si="28"/>
        <v>0.23447208318463872</v>
      </c>
      <c r="BJ37">
        <f>100-P37</f>
        <v>97.21</v>
      </c>
    </row>
    <row r="38" spans="1:75">
      <c r="A38" s="12" t="s">
        <v>243</v>
      </c>
      <c r="B38" s="14">
        <v>500</v>
      </c>
      <c r="C38" s="14">
        <v>0.73</v>
      </c>
      <c r="D38" s="14" t="s">
        <v>244</v>
      </c>
      <c r="E38" s="14">
        <v>1.65</v>
      </c>
      <c r="F38" s="14" t="s">
        <v>245</v>
      </c>
      <c r="G38" s="14" t="s">
        <v>100</v>
      </c>
      <c r="H38" s="14" t="s">
        <v>246</v>
      </c>
      <c r="I38" s="14"/>
      <c r="L38" s="14">
        <v>2.2000000000000002</v>
      </c>
      <c r="M38" t="s">
        <v>258</v>
      </c>
      <c r="N38" s="14">
        <v>1.91</v>
      </c>
      <c r="O38" t="s">
        <v>260</v>
      </c>
      <c r="P38" s="14">
        <v>4.1100000000000003</v>
      </c>
      <c r="Q38" t="s">
        <v>269</v>
      </c>
      <c r="R38" s="14" t="s">
        <v>247</v>
      </c>
      <c r="AG38" s="29" t="s">
        <v>243</v>
      </c>
      <c r="AH38" s="11">
        <v>50.272465590083819</v>
      </c>
      <c r="AI38" s="11">
        <v>0.93582016028290838</v>
      </c>
      <c r="AJ38" s="11">
        <v>18.191309146403519</v>
      </c>
      <c r="AK38" s="11">
        <v>3.4525618359244161</v>
      </c>
      <c r="AL38" s="11">
        <v>5.8380589964257164</v>
      </c>
      <c r="AM38" s="11">
        <v>0.17595034133047258</v>
      </c>
      <c r="AN38" s="11">
        <v>7.0308781959124786</v>
      </c>
      <c r="AO38" s="11">
        <v>11.399140597847591</v>
      </c>
      <c r="AP38" s="11">
        <v>2.4583718474922636</v>
      </c>
      <c r="AQ38" s="11">
        <v>0.24544328829682657</v>
      </c>
      <c r="AR38" s="31">
        <v>100</v>
      </c>
      <c r="AT38" s="11">
        <f t="shared" si="7"/>
        <v>2.5926883337081583</v>
      </c>
      <c r="AU38" s="11">
        <f>AZ38+BB38</f>
        <v>65.649913594817718</v>
      </c>
      <c r="AV38" s="11">
        <f t="shared" si="8"/>
        <v>3.9492638934909736E-2</v>
      </c>
      <c r="AW38" s="11"/>
      <c r="AX38" s="11">
        <f t="shared" si="9"/>
        <v>0.58353265455966119</v>
      </c>
      <c r="AZ38" s="11">
        <f t="shared" si="27"/>
        <v>48.206267254331379</v>
      </c>
      <c r="BA38" s="11">
        <f t="shared" si="27"/>
        <v>0.89735795169528088</v>
      </c>
      <c r="BB38" s="11">
        <f t="shared" si="27"/>
        <v>17.443646340486335</v>
      </c>
      <c r="BC38" s="11"/>
      <c r="BD38" s="11">
        <f>AL38*$BJ38/100 + AK38*$BJ38/100 *(71.844/159.69)*2</f>
        <v>8.577026012210581</v>
      </c>
      <c r="BE38" s="11">
        <f t="shared" si="28"/>
        <v>0.16871878230179013</v>
      </c>
      <c r="BF38" s="11">
        <f t="shared" si="28"/>
        <v>6.7419091020604753</v>
      </c>
      <c r="BG38" s="11">
        <f t="shared" si="28"/>
        <v>10.930635919276055</v>
      </c>
      <c r="BH38" s="11">
        <f t="shared" si="28"/>
        <v>2.3573327645603315</v>
      </c>
      <c r="BI38" s="11">
        <f t="shared" si="28"/>
        <v>0.23535556914782699</v>
      </c>
      <c r="BJ38">
        <f>100-P38</f>
        <v>95.89</v>
      </c>
    </row>
    <row r="39" spans="1:75">
      <c r="A39" s="12" t="s">
        <v>248</v>
      </c>
      <c r="B39" s="14">
        <v>500</v>
      </c>
      <c r="C39" s="14">
        <v>0.91</v>
      </c>
      <c r="D39" s="14" t="s">
        <v>249</v>
      </c>
      <c r="E39" s="14">
        <v>2.39</v>
      </c>
      <c r="F39" s="14" t="s">
        <v>250</v>
      </c>
      <c r="G39" s="14" t="s">
        <v>100</v>
      </c>
      <c r="H39" s="14" t="s">
        <v>166</v>
      </c>
      <c r="I39" s="14"/>
      <c r="L39" s="14">
        <v>4.8</v>
      </c>
      <c r="M39" t="s">
        <v>278</v>
      </c>
      <c r="N39" s="14">
        <v>2.2799999999999998</v>
      </c>
      <c r="O39" t="s">
        <v>258</v>
      </c>
      <c r="P39" s="14">
        <v>7.09</v>
      </c>
      <c r="Q39" t="s">
        <v>288</v>
      </c>
      <c r="R39" s="14" t="s">
        <v>251</v>
      </c>
      <c r="AG39" s="32" t="s">
        <v>248</v>
      </c>
      <c r="AH39" s="33">
        <v>50.565988144074822</v>
      </c>
      <c r="AI39" s="33">
        <v>0.93611311605051317</v>
      </c>
      <c r="AJ39" s="33">
        <v>18.131833437091199</v>
      </c>
      <c r="AK39" s="33">
        <v>3.9973762946439564</v>
      </c>
      <c r="AL39" s="33">
        <v>5.3485716349103019</v>
      </c>
      <c r="AM39" s="33">
        <v>0.20016902325834485</v>
      </c>
      <c r="AN39" s="33">
        <v>6.9895924422560682</v>
      </c>
      <c r="AO39" s="33">
        <v>11.203469157742836</v>
      </c>
      <c r="AP39" s="33">
        <v>2.3957241718597979</v>
      </c>
      <c r="AQ39" s="33">
        <v>0.23116257811216395</v>
      </c>
      <c r="AR39" s="35">
        <v>100</v>
      </c>
      <c r="AT39" s="11">
        <f t="shared" si="7"/>
        <v>2.4406404793989496</v>
      </c>
      <c r="AU39" s="11">
        <f>AZ39+BB39</f>
        <v>63.827146031061346</v>
      </c>
      <c r="AV39" s="11">
        <f t="shared" si="8"/>
        <v>3.8238283099971557E-2</v>
      </c>
      <c r="AW39" s="11"/>
      <c r="AX39" s="11">
        <f t="shared" si="9"/>
        <v>0.58208077008983361</v>
      </c>
      <c r="AZ39" s="11">
        <f t="shared" si="27"/>
        <v>46.980859584659918</v>
      </c>
      <c r="BA39" s="11">
        <f t="shared" si="27"/>
        <v>0.86974269612253186</v>
      </c>
      <c r="BB39" s="11">
        <f t="shared" si="27"/>
        <v>16.846286446401432</v>
      </c>
      <c r="BC39" s="11"/>
      <c r="BD39" s="11">
        <f>AL39*$BJ39/100 + AK39*$BJ39/100 *(71.844/159.69)*2</f>
        <v>8.311156498070698</v>
      </c>
      <c r="BE39" s="11">
        <f t="shared" si="28"/>
        <v>0.18597703950932817</v>
      </c>
      <c r="BF39" s="11">
        <f t="shared" si="28"/>
        <v>6.4940303381001128</v>
      </c>
      <c r="BG39" s="11">
        <f t="shared" si="28"/>
        <v>10.409143194458869</v>
      </c>
      <c r="BH39" s="11">
        <f t="shared" si="28"/>
        <v>2.2258673280749379</v>
      </c>
      <c r="BI39" s="11">
        <f t="shared" si="28"/>
        <v>0.21477315132401154</v>
      </c>
      <c r="BJ39">
        <f>100-P39</f>
        <v>92.91</v>
      </c>
    </row>
    <row r="40" spans="1:75">
      <c r="AT40" s="11">
        <f t="shared" si="7"/>
        <v>0</v>
      </c>
      <c r="AU40" s="11"/>
      <c r="AV40" s="11"/>
      <c r="AW40" s="11"/>
      <c r="AX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</row>
    <row r="41" spans="1:75">
      <c r="AT41" s="11">
        <f t="shared" si="7"/>
        <v>0</v>
      </c>
      <c r="AU41" s="11"/>
      <c r="AV41" s="11"/>
      <c r="AW41" s="11"/>
      <c r="AX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</row>
    <row r="42" spans="1:75">
      <c r="AT42" s="11">
        <f t="shared" si="7"/>
        <v>0</v>
      </c>
      <c r="AU42" s="11"/>
      <c r="AV42" s="11"/>
      <c r="AW42" s="11"/>
      <c r="AX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</row>
    <row r="43" spans="1:75">
      <c r="U43" s="5" t="s">
        <v>302</v>
      </c>
      <c r="AT43" s="11">
        <f t="shared" si="7"/>
        <v>0</v>
      </c>
      <c r="AU43" s="11"/>
      <c r="AV43" s="11"/>
      <c r="AW43" s="11"/>
      <c r="AX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</row>
    <row r="44" spans="1:75">
      <c r="AT44" s="11">
        <f t="shared" si="7"/>
        <v>0</v>
      </c>
      <c r="AU44" s="11"/>
      <c r="AV44" s="11"/>
      <c r="AW44" s="11"/>
      <c r="AX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</row>
    <row r="45" spans="1:75">
      <c r="AT45" s="11">
        <f t="shared" si="7"/>
        <v>0</v>
      </c>
      <c r="AU45" s="11"/>
      <c r="AV45" s="11"/>
      <c r="AW45" s="11"/>
      <c r="AX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</row>
    <row r="46" spans="1:75" ht="34">
      <c r="Q46" s="6" t="s">
        <v>3</v>
      </c>
      <c r="R46" s="6" t="s">
        <v>4</v>
      </c>
      <c r="S46" s="10" t="s">
        <v>304</v>
      </c>
      <c r="T46" s="10" t="s">
        <v>303</v>
      </c>
      <c r="U46" s="2"/>
      <c r="X46" s="6"/>
      <c r="AH46" s="1"/>
      <c r="AI46" s="1"/>
      <c r="AJ46" s="1"/>
      <c r="AL46" s="1"/>
      <c r="AM46" s="1"/>
      <c r="AN46" s="1"/>
      <c r="AO46" s="1"/>
      <c r="AP46" s="1"/>
      <c r="AQ46" s="1"/>
      <c r="AR46" s="1"/>
      <c r="AT46" s="11">
        <f t="shared" si="7"/>
        <v>0</v>
      </c>
      <c r="AU46" s="11"/>
      <c r="AV46" s="11"/>
      <c r="AW46" s="11"/>
      <c r="AX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</row>
    <row r="47" spans="1:75">
      <c r="Q47" s="2">
        <v>2.2800000000000001E-2</v>
      </c>
      <c r="R47" s="2">
        <v>2548</v>
      </c>
      <c r="S47" s="11"/>
      <c r="T47" s="11"/>
      <c r="U47" s="2"/>
      <c r="X47" s="1">
        <v>5.27</v>
      </c>
      <c r="AH47" s="2">
        <v>52.77</v>
      </c>
      <c r="AI47" s="2">
        <v>1.18</v>
      </c>
      <c r="AJ47" s="2">
        <v>17.28</v>
      </c>
      <c r="AL47" s="2">
        <v>7.88</v>
      </c>
      <c r="AM47" s="2">
        <v>0.19</v>
      </c>
      <c r="AN47" s="2">
        <v>5.86</v>
      </c>
      <c r="AO47" s="2">
        <v>9.19</v>
      </c>
      <c r="AP47" s="2">
        <v>3.39</v>
      </c>
      <c r="AQ47" s="2">
        <v>1.5</v>
      </c>
      <c r="AR47" s="2"/>
      <c r="AT47" s="11">
        <f t="shared" si="7"/>
        <v>4.6322969999999994</v>
      </c>
      <c r="AU47" s="11">
        <f t="shared" ref="AU47:AU90" si="29">AZ47+BB47</f>
        <v>66.358365000000006</v>
      </c>
      <c r="AV47" s="11">
        <f t="shared" si="8"/>
        <v>6.9807280513918615E-2</v>
      </c>
      <c r="AW47" s="11"/>
      <c r="AX47" s="11">
        <f t="shared" si="9"/>
        <v>0.57000171696757795</v>
      </c>
      <c r="AZ47" s="11">
        <f t="shared" ref="AZ47:AZ90" si="30">AH47*$BJ47/100</f>
        <v>49.989021000000001</v>
      </c>
      <c r="BA47" s="11">
        <f t="shared" ref="BA47:BA90" si="31">AI47*$BJ47/100</f>
        <v>1.1178140000000001</v>
      </c>
      <c r="BB47" s="11">
        <f t="shared" ref="BB47:BB90" si="32">AJ47*$BJ47/100</f>
        <v>16.369344000000002</v>
      </c>
      <c r="BC47" s="11"/>
      <c r="BD47" s="11">
        <f t="shared" ref="BD47:BD90" si="33">AL47*$BJ47/100</f>
        <v>7.4647240000000004</v>
      </c>
      <c r="BE47" s="11">
        <f t="shared" ref="BE47:BE90" si="34">AM47*$BJ47/100</f>
        <v>0.17998700000000001</v>
      </c>
      <c r="BF47" s="11">
        <f t="shared" ref="BF47:BF90" si="35">AN47*$BJ47/100</f>
        <v>5.5511780000000011</v>
      </c>
      <c r="BG47" s="11">
        <f t="shared" ref="BG47:BG90" si="36">AO47*$BJ47/100</f>
        <v>8.7056870000000011</v>
      </c>
      <c r="BH47" s="11">
        <f t="shared" ref="BH47:BH90" si="37">AP47*$BJ47/100</f>
        <v>3.211347</v>
      </c>
      <c r="BI47" s="11">
        <f t="shared" ref="BI47:BI90" si="38">AQ47*$BJ47/100</f>
        <v>1.4209499999999999</v>
      </c>
      <c r="BJ47">
        <f>100-X47</f>
        <v>94.73</v>
      </c>
    </row>
    <row r="48" spans="1:75">
      <c r="Q48" s="2">
        <v>7.7000000000000002E-3</v>
      </c>
      <c r="R48" s="2">
        <v>2548</v>
      </c>
      <c r="S48" s="11"/>
      <c r="T48" s="11"/>
      <c r="U48" s="2"/>
      <c r="X48" s="2">
        <v>5.26</v>
      </c>
      <c r="AH48" s="2">
        <v>52.77</v>
      </c>
      <c r="AI48" s="2">
        <v>1.18</v>
      </c>
      <c r="AJ48" s="2">
        <v>17.28</v>
      </c>
      <c r="AL48" s="2">
        <v>7.88</v>
      </c>
      <c r="AM48" s="2">
        <v>0.19</v>
      </c>
      <c r="AN48" s="2">
        <v>5.86</v>
      </c>
      <c r="AO48" s="2">
        <v>9.19</v>
      </c>
      <c r="AP48" s="2">
        <v>3.39</v>
      </c>
      <c r="AQ48" s="2">
        <v>1.5</v>
      </c>
      <c r="AR48" s="2"/>
      <c r="AT48" s="11">
        <f t="shared" si="7"/>
        <v>4.6327859999999994</v>
      </c>
      <c r="AU48" s="11">
        <f t="shared" si="29"/>
        <v>66.365369999999999</v>
      </c>
      <c r="AV48" s="11">
        <f t="shared" si="8"/>
        <v>6.9807280513918615E-2</v>
      </c>
      <c r="AW48" s="11"/>
      <c r="AX48" s="11">
        <f t="shared" si="9"/>
        <v>0.57000171696757784</v>
      </c>
      <c r="AZ48" s="11">
        <f t="shared" si="30"/>
        <v>49.994298000000001</v>
      </c>
      <c r="BA48" s="11">
        <f t="shared" si="31"/>
        <v>1.1179319999999999</v>
      </c>
      <c r="BB48" s="11">
        <f t="shared" si="32"/>
        <v>16.371071999999998</v>
      </c>
      <c r="BC48" s="11"/>
      <c r="BD48" s="11">
        <f t="shared" si="33"/>
        <v>7.4655120000000004</v>
      </c>
      <c r="BE48" s="11">
        <f t="shared" si="34"/>
        <v>0.180006</v>
      </c>
      <c r="BF48" s="11">
        <f t="shared" si="35"/>
        <v>5.5517639999999995</v>
      </c>
      <c r="BG48" s="11">
        <f t="shared" si="36"/>
        <v>8.706605999999999</v>
      </c>
      <c r="BH48" s="11">
        <f t="shared" si="37"/>
        <v>3.2116859999999998</v>
      </c>
      <c r="BI48" s="11">
        <f t="shared" si="38"/>
        <v>1.4210999999999998</v>
      </c>
      <c r="BJ48">
        <f t="shared" ref="BJ48:BJ90" si="39">100-X48</f>
        <v>94.74</v>
      </c>
    </row>
    <row r="49" spans="17:75">
      <c r="Q49" s="2">
        <v>2.1899999999999999E-2</v>
      </c>
      <c r="R49" s="2">
        <v>2631</v>
      </c>
      <c r="S49" s="11"/>
      <c r="T49" s="11"/>
      <c r="X49" s="1">
        <v>2.39</v>
      </c>
      <c r="AH49" s="2">
        <v>52.77</v>
      </c>
      <c r="AI49" s="2">
        <v>1.18</v>
      </c>
      <c r="AJ49" s="2">
        <v>17.28</v>
      </c>
      <c r="AL49" s="2">
        <v>7.88</v>
      </c>
      <c r="AM49" s="2">
        <v>0.19</v>
      </c>
      <c r="AN49" s="2">
        <v>5.86</v>
      </c>
      <c r="AO49" s="2">
        <v>9.19</v>
      </c>
      <c r="AP49" s="2">
        <v>3.39</v>
      </c>
      <c r="AQ49" s="2">
        <v>1.5</v>
      </c>
      <c r="AR49" s="2"/>
      <c r="AT49" s="11">
        <f t="shared" si="7"/>
        <v>4.773129</v>
      </c>
      <c r="AU49" s="11">
        <f t="shared" si="29"/>
        <v>68.375805</v>
      </c>
      <c r="AV49" s="11">
        <f t="shared" si="8"/>
        <v>6.9807280513918629E-2</v>
      </c>
      <c r="AW49" s="11"/>
      <c r="AX49" s="11">
        <f t="shared" si="9"/>
        <v>0.57000171696757795</v>
      </c>
      <c r="AZ49" s="11">
        <f t="shared" si="30"/>
        <v>51.508797000000001</v>
      </c>
      <c r="BA49" s="11">
        <f t="shared" si="31"/>
        <v>1.1517980000000001</v>
      </c>
      <c r="BB49" s="11">
        <f t="shared" si="32"/>
        <v>16.867008000000002</v>
      </c>
      <c r="BC49" s="11"/>
      <c r="BD49" s="11">
        <f t="shared" si="33"/>
        <v>7.6916679999999999</v>
      </c>
      <c r="BE49" s="11">
        <f t="shared" si="34"/>
        <v>0.18545899999999998</v>
      </c>
      <c r="BF49" s="11">
        <f t="shared" si="35"/>
        <v>5.7199460000000002</v>
      </c>
      <c r="BG49" s="11">
        <f t="shared" si="36"/>
        <v>8.9703590000000002</v>
      </c>
      <c r="BH49" s="11">
        <f t="shared" si="37"/>
        <v>3.3089789999999999</v>
      </c>
      <c r="BI49" s="11">
        <f t="shared" si="38"/>
        <v>1.4641499999999998</v>
      </c>
      <c r="BJ49">
        <f t="shared" si="39"/>
        <v>97.61</v>
      </c>
    </row>
    <row r="50" spans="17:75">
      <c r="Q50" s="2">
        <v>9.7999999999999997E-3</v>
      </c>
      <c r="R50" s="2">
        <v>2631</v>
      </c>
      <c r="S50" s="11">
        <v>0.54946519991537957</v>
      </c>
      <c r="T50" s="11">
        <v>1.0885348000846204</v>
      </c>
      <c r="U50" s="2">
        <v>1.82</v>
      </c>
      <c r="X50" s="2">
        <v>2.39</v>
      </c>
      <c r="AA50">
        <f>100*18*S50/($Q50*$R50*AA$3)</f>
        <v>0.98659053779579686</v>
      </c>
      <c r="AB50">
        <f>100*18*T50/($Q50*$R50*AB$3)</f>
        <v>1.1289677505644573</v>
      </c>
      <c r="AC50">
        <f>AA50+AB50</f>
        <v>2.1155582883602539</v>
      </c>
      <c r="AD50">
        <f>(AC50-X50)^2</f>
        <v>7.5318253087753598E-2</v>
      </c>
      <c r="AH50" s="2">
        <v>52.77</v>
      </c>
      <c r="AI50" s="2">
        <v>1.18</v>
      </c>
      <c r="AJ50" s="2">
        <v>17.28</v>
      </c>
      <c r="AL50" s="2">
        <v>7.88</v>
      </c>
      <c r="AM50" s="2">
        <v>0.19</v>
      </c>
      <c r="AN50" s="2">
        <v>5.86</v>
      </c>
      <c r="AO50" s="2">
        <v>9.19</v>
      </c>
      <c r="AP50" s="2">
        <v>3.39</v>
      </c>
      <c r="AQ50" s="2">
        <v>1.5</v>
      </c>
      <c r="AR50" s="2"/>
      <c r="AT50" s="11">
        <f t="shared" si="7"/>
        <v>4.773129</v>
      </c>
      <c r="AU50" s="11">
        <f t="shared" si="29"/>
        <v>68.375805</v>
      </c>
      <c r="AV50" s="11">
        <f t="shared" si="8"/>
        <v>6.9807280513918629E-2</v>
      </c>
      <c r="AW50" s="11">
        <f t="shared" si="0"/>
        <v>-0.27444171163974618</v>
      </c>
      <c r="AX50" s="11">
        <f t="shared" si="9"/>
        <v>0.57000171696757795</v>
      </c>
      <c r="AZ50" s="11">
        <f t="shared" si="30"/>
        <v>51.508797000000001</v>
      </c>
      <c r="BA50" s="11">
        <f t="shared" si="31"/>
        <v>1.1517980000000001</v>
      </c>
      <c r="BB50" s="11">
        <f t="shared" si="32"/>
        <v>16.867008000000002</v>
      </c>
      <c r="BC50" s="11"/>
      <c r="BD50" s="11">
        <f t="shared" si="33"/>
        <v>7.6916679999999999</v>
      </c>
      <c r="BE50" s="11">
        <f t="shared" si="34"/>
        <v>0.18545899999999998</v>
      </c>
      <c r="BF50" s="11">
        <f t="shared" si="35"/>
        <v>5.7199460000000002</v>
      </c>
      <c r="BG50" s="11">
        <f t="shared" si="36"/>
        <v>8.9703590000000002</v>
      </c>
      <c r="BH50" s="11">
        <f t="shared" si="37"/>
        <v>3.3089789999999999</v>
      </c>
      <c r="BI50" s="11">
        <f t="shared" si="38"/>
        <v>1.4641499999999998</v>
      </c>
      <c r="BJ50">
        <f t="shared" si="39"/>
        <v>97.61</v>
      </c>
      <c r="BU50">
        <f>U50*63/$BU$2</f>
        <v>2.2099602870112816</v>
      </c>
      <c r="BV50">
        <f>(BU50-X50)^2</f>
        <v>3.2414298253060157E-2</v>
      </c>
      <c r="BW50">
        <f t="shared" si="10"/>
        <v>-0.18003971298871857</v>
      </c>
    </row>
    <row r="51" spans="17:75">
      <c r="Q51" s="2">
        <v>1.9199999999999998E-2</v>
      </c>
      <c r="R51" s="2">
        <v>2567</v>
      </c>
      <c r="S51" s="11"/>
      <c r="T51" s="11"/>
      <c r="U51" s="2"/>
      <c r="X51" s="1">
        <v>4.7699999999999996</v>
      </c>
      <c r="AH51" s="2">
        <v>52.77</v>
      </c>
      <c r="AI51" s="2">
        <v>1.18</v>
      </c>
      <c r="AJ51" s="2">
        <v>17.28</v>
      </c>
      <c r="AL51" s="2">
        <v>7.88</v>
      </c>
      <c r="AM51" s="2">
        <v>0.19</v>
      </c>
      <c r="AN51" s="2">
        <v>5.86</v>
      </c>
      <c r="AO51" s="2">
        <v>9.19</v>
      </c>
      <c r="AP51" s="2">
        <v>3.39</v>
      </c>
      <c r="AQ51" s="2">
        <v>1.5</v>
      </c>
      <c r="AR51" s="2"/>
      <c r="AT51" s="11">
        <f t="shared" si="7"/>
        <v>4.6567470000000002</v>
      </c>
      <c r="AU51" s="11">
        <f t="shared" si="29"/>
        <v>66.708615000000009</v>
      </c>
      <c r="AV51" s="11">
        <f t="shared" si="8"/>
        <v>6.9807280513918629E-2</v>
      </c>
      <c r="AW51" s="11"/>
      <c r="AX51" s="11">
        <f t="shared" si="9"/>
        <v>0.57000171696757795</v>
      </c>
      <c r="AZ51" s="11">
        <f t="shared" si="30"/>
        <v>50.252871000000006</v>
      </c>
      <c r="BA51" s="11">
        <f t="shared" si="31"/>
        <v>1.1237139999999999</v>
      </c>
      <c r="BB51" s="11">
        <f t="shared" si="32"/>
        <v>16.455744000000003</v>
      </c>
      <c r="BC51" s="11"/>
      <c r="BD51" s="11">
        <f t="shared" si="33"/>
        <v>7.5041240000000009</v>
      </c>
      <c r="BE51" s="11">
        <f t="shared" si="34"/>
        <v>0.18093700000000001</v>
      </c>
      <c r="BF51" s="11">
        <f t="shared" si="35"/>
        <v>5.5804780000000003</v>
      </c>
      <c r="BG51" s="11">
        <f t="shared" si="36"/>
        <v>8.7516369999999988</v>
      </c>
      <c r="BH51" s="11">
        <f t="shared" si="37"/>
        <v>3.228297</v>
      </c>
      <c r="BI51" s="11">
        <f t="shared" si="38"/>
        <v>1.42845</v>
      </c>
      <c r="BJ51">
        <f t="shared" si="39"/>
        <v>95.23</v>
      </c>
    </row>
    <row r="52" spans="17:75">
      <c r="Q52" s="2">
        <v>5.4000000000000003E-3</v>
      </c>
      <c r="R52" s="2">
        <v>2567</v>
      </c>
      <c r="S52" s="11">
        <v>0.82739955283750899</v>
      </c>
      <c r="T52" s="11">
        <v>0.80560044716249102</v>
      </c>
      <c r="U52" s="2">
        <v>3.37</v>
      </c>
      <c r="X52" s="2">
        <v>4.76</v>
      </c>
      <c r="AA52">
        <f>100*18*S52/($Q52*$R52*AA$3)</f>
        <v>2.7633718628920469</v>
      </c>
      <c r="AB52">
        <f>100*18*T52/($Q52*$R52*AB$3)</f>
        <v>1.5541259507688003</v>
      </c>
      <c r="AC52">
        <f t="shared" ref="AC52" si="40">AA52+AB52</f>
        <v>4.3174978136608475</v>
      </c>
      <c r="AD52">
        <f>(AC52-X52)^2</f>
        <v>0.19580818491492985</v>
      </c>
      <c r="AH52" s="2">
        <v>52.77</v>
      </c>
      <c r="AI52" s="2">
        <v>1.18</v>
      </c>
      <c r="AJ52" s="2">
        <v>17.28</v>
      </c>
      <c r="AL52" s="2">
        <v>7.88</v>
      </c>
      <c r="AM52" s="2">
        <v>0.19</v>
      </c>
      <c r="AN52" s="2">
        <v>5.86</v>
      </c>
      <c r="AO52" s="2">
        <v>9.19</v>
      </c>
      <c r="AP52" s="2">
        <v>3.39</v>
      </c>
      <c r="AQ52" s="2">
        <v>1.5</v>
      </c>
      <c r="AR52" s="2"/>
      <c r="AT52" s="11">
        <f t="shared" si="7"/>
        <v>4.6572360000000002</v>
      </c>
      <c r="AU52" s="11">
        <f t="shared" si="29"/>
        <v>66.715620000000001</v>
      </c>
      <c r="AV52" s="11">
        <f t="shared" si="8"/>
        <v>6.9807280513918629E-2</v>
      </c>
      <c r="AW52" s="11">
        <f t="shared" si="0"/>
        <v>-0.44250218633915228</v>
      </c>
      <c r="AX52" s="11">
        <f t="shared" si="9"/>
        <v>0.57000171696757795</v>
      </c>
      <c r="AZ52" s="11">
        <f t="shared" si="30"/>
        <v>50.258147999999998</v>
      </c>
      <c r="BA52" s="11">
        <f t="shared" si="31"/>
        <v>1.1238319999999999</v>
      </c>
      <c r="BB52" s="11">
        <f t="shared" si="32"/>
        <v>16.457471999999999</v>
      </c>
      <c r="BC52" s="11"/>
      <c r="BD52" s="11">
        <f t="shared" si="33"/>
        <v>7.5049119999999991</v>
      </c>
      <c r="BE52" s="11">
        <f t="shared" si="34"/>
        <v>0.18095599999999998</v>
      </c>
      <c r="BF52" s="11">
        <f t="shared" si="35"/>
        <v>5.5810640000000005</v>
      </c>
      <c r="BG52" s="11">
        <f t="shared" si="36"/>
        <v>8.7525560000000002</v>
      </c>
      <c r="BH52" s="11">
        <f t="shared" si="37"/>
        <v>3.2286360000000003</v>
      </c>
      <c r="BI52" s="11">
        <f t="shared" si="38"/>
        <v>1.4285999999999999</v>
      </c>
      <c r="BJ52">
        <f t="shared" si="39"/>
        <v>95.24</v>
      </c>
      <c r="BU52">
        <f>U52*63/$BU$2</f>
        <v>4.0920693226527574</v>
      </c>
      <c r="BV52">
        <f>(BU52-X52)^2</f>
        <v>0.44613138974154609</v>
      </c>
      <c r="BW52">
        <f t="shared" si="10"/>
        <v>-0.66793067734724243</v>
      </c>
    </row>
    <row r="53" spans="17:75">
      <c r="Q53" s="2">
        <v>2.0299999999999999E-2</v>
      </c>
      <c r="R53" s="2">
        <v>2585</v>
      </c>
      <c r="S53" s="11"/>
      <c r="T53" s="11"/>
      <c r="U53" s="2"/>
      <c r="X53" s="1">
        <v>3.9</v>
      </c>
      <c r="AH53" s="2">
        <v>52.77</v>
      </c>
      <c r="AI53" s="2">
        <v>1.18</v>
      </c>
      <c r="AJ53" s="2">
        <v>17.28</v>
      </c>
      <c r="AL53" s="2">
        <v>7.88</v>
      </c>
      <c r="AM53" s="2">
        <v>0.19</v>
      </c>
      <c r="AN53" s="2">
        <v>5.86</v>
      </c>
      <c r="AO53" s="2">
        <v>9.19</v>
      </c>
      <c r="AP53" s="2">
        <v>3.39</v>
      </c>
      <c r="AQ53" s="2">
        <v>1.5</v>
      </c>
      <c r="AR53" s="2"/>
      <c r="AT53" s="11">
        <f t="shared" si="7"/>
        <v>4.6992899999999995</v>
      </c>
      <c r="AU53" s="11">
        <f t="shared" si="29"/>
        <v>67.318049999999999</v>
      </c>
      <c r="AV53" s="11">
        <f t="shared" si="8"/>
        <v>6.9807280513918629E-2</v>
      </c>
      <c r="AW53" s="11"/>
      <c r="AX53" s="11">
        <f t="shared" si="9"/>
        <v>0.57000171696757784</v>
      </c>
      <c r="AZ53" s="11">
        <f t="shared" si="30"/>
        <v>50.711970000000001</v>
      </c>
      <c r="BA53" s="11">
        <f t="shared" si="31"/>
        <v>1.1339799999999998</v>
      </c>
      <c r="BB53" s="11">
        <f t="shared" si="32"/>
        <v>16.606079999999999</v>
      </c>
      <c r="BC53" s="11"/>
      <c r="BD53" s="11">
        <f t="shared" si="33"/>
        <v>7.5726799999999992</v>
      </c>
      <c r="BE53" s="11">
        <f t="shared" si="34"/>
        <v>0.18259</v>
      </c>
      <c r="BF53" s="11">
        <f t="shared" si="35"/>
        <v>5.6314599999999997</v>
      </c>
      <c r="BG53" s="11">
        <f t="shared" si="36"/>
        <v>8.8315899999999985</v>
      </c>
      <c r="BH53" s="11">
        <f t="shared" si="37"/>
        <v>3.25779</v>
      </c>
      <c r="BI53" s="11">
        <f t="shared" si="38"/>
        <v>1.4414999999999998</v>
      </c>
      <c r="BJ53">
        <f t="shared" si="39"/>
        <v>96.1</v>
      </c>
    </row>
    <row r="54" spans="17:75">
      <c r="Q54" s="2">
        <v>5.5999999999999999E-3</v>
      </c>
      <c r="R54" s="2">
        <v>2585</v>
      </c>
      <c r="S54" s="11">
        <v>0.64129601722282015</v>
      </c>
      <c r="T54" s="11">
        <v>0.84070398277717984</v>
      </c>
      <c r="U54" s="2">
        <v>2.93</v>
      </c>
      <c r="X54" s="2">
        <v>3.9</v>
      </c>
      <c r="AA54">
        <f>100*18*S54/($Q54*$R54*AA$3)</f>
        <v>2.0509432624783899</v>
      </c>
      <c r="AB54">
        <f>100*18*T54/($Q54*$R54*AB$3)</f>
        <v>1.5530329593034868</v>
      </c>
      <c r="AC54">
        <f t="shared" ref="AC54" si="41">AA54+AB54</f>
        <v>3.6039762217818767</v>
      </c>
      <c r="AD54">
        <f>(AC54-X54)^2</f>
        <v>8.7630077270532597E-2</v>
      </c>
      <c r="AH54" s="2">
        <v>52.77</v>
      </c>
      <c r="AI54" s="2">
        <v>1.18</v>
      </c>
      <c r="AJ54" s="2">
        <v>17.28</v>
      </c>
      <c r="AL54" s="2">
        <v>7.88</v>
      </c>
      <c r="AM54" s="2">
        <v>0.19</v>
      </c>
      <c r="AN54" s="2">
        <v>5.86</v>
      </c>
      <c r="AO54" s="2">
        <v>9.19</v>
      </c>
      <c r="AP54" s="2">
        <v>3.39</v>
      </c>
      <c r="AQ54" s="2">
        <v>1.5</v>
      </c>
      <c r="AR54" s="2"/>
      <c r="AT54" s="11">
        <f t="shared" si="7"/>
        <v>4.6992899999999995</v>
      </c>
      <c r="AU54" s="11">
        <f t="shared" si="29"/>
        <v>67.318049999999999</v>
      </c>
      <c r="AV54" s="11">
        <f t="shared" si="8"/>
        <v>6.9807280513918629E-2</v>
      </c>
      <c r="AW54" s="11">
        <f t="shared" si="0"/>
        <v>-0.2960237782181232</v>
      </c>
      <c r="AX54" s="11">
        <f t="shared" si="9"/>
        <v>0.57000171696757784</v>
      </c>
      <c r="AZ54" s="11">
        <f t="shared" si="30"/>
        <v>50.711970000000001</v>
      </c>
      <c r="BA54" s="11">
        <f t="shared" si="31"/>
        <v>1.1339799999999998</v>
      </c>
      <c r="BB54" s="11">
        <f t="shared" si="32"/>
        <v>16.606079999999999</v>
      </c>
      <c r="BC54" s="11"/>
      <c r="BD54" s="11">
        <f t="shared" si="33"/>
        <v>7.5726799999999992</v>
      </c>
      <c r="BE54" s="11">
        <f t="shared" si="34"/>
        <v>0.18259</v>
      </c>
      <c r="BF54" s="11">
        <f t="shared" si="35"/>
        <v>5.6314599999999997</v>
      </c>
      <c r="BG54" s="11">
        <f t="shared" si="36"/>
        <v>8.8315899999999985</v>
      </c>
      <c r="BH54" s="11">
        <f t="shared" si="37"/>
        <v>3.25779</v>
      </c>
      <c r="BI54" s="11">
        <f t="shared" si="38"/>
        <v>1.4414999999999998</v>
      </c>
      <c r="BJ54">
        <f t="shared" si="39"/>
        <v>96.1</v>
      </c>
      <c r="BU54">
        <f>U54*63/$BU$2</f>
        <v>3.5577932093093705</v>
      </c>
      <c r="BV54">
        <f>(BU54-X54)^2</f>
        <v>0.11710548759478026</v>
      </c>
      <c r="BW54">
        <f t="shared" si="10"/>
        <v>-0.34220679069062943</v>
      </c>
    </row>
    <row r="55" spans="17:75">
      <c r="Q55" s="2">
        <v>1.8700000000000001E-2</v>
      </c>
      <c r="R55" s="2">
        <v>2719</v>
      </c>
      <c r="S55" s="11"/>
      <c r="T55" s="11"/>
      <c r="U55" s="2"/>
      <c r="X55" s="1">
        <v>2.61</v>
      </c>
      <c r="AH55" s="2">
        <v>47.61</v>
      </c>
      <c r="AI55" s="2">
        <v>1.8</v>
      </c>
      <c r="AJ55" s="2">
        <v>16.22</v>
      </c>
      <c r="AL55" s="2">
        <v>11.02</v>
      </c>
      <c r="AM55" s="2">
        <v>0.17</v>
      </c>
      <c r="AN55" s="2">
        <v>8.66</v>
      </c>
      <c r="AO55" s="2">
        <v>9.84</v>
      </c>
      <c r="AP55" s="2">
        <v>3.43</v>
      </c>
      <c r="AQ55" s="2">
        <v>0.8</v>
      </c>
      <c r="AR55" s="2"/>
      <c r="AT55" s="11">
        <f t="shared" si="7"/>
        <v>4.1195970000000006</v>
      </c>
      <c r="AU55" s="11">
        <f t="shared" si="29"/>
        <v>62.164037</v>
      </c>
      <c r="AV55" s="11">
        <f t="shared" si="8"/>
        <v>6.6269779100736337E-2</v>
      </c>
      <c r="AW55" s="11"/>
      <c r="AX55" s="11">
        <f t="shared" si="9"/>
        <v>0.58347117330041698</v>
      </c>
      <c r="AZ55" s="11">
        <f t="shared" si="30"/>
        <v>46.367379</v>
      </c>
      <c r="BA55" s="11">
        <f t="shared" si="31"/>
        <v>1.75302</v>
      </c>
      <c r="BB55" s="11">
        <f t="shared" si="32"/>
        <v>15.796658000000001</v>
      </c>
      <c r="BC55" s="11"/>
      <c r="BD55" s="11">
        <f t="shared" si="33"/>
        <v>10.732377999999999</v>
      </c>
      <c r="BE55" s="11">
        <f t="shared" si="34"/>
        <v>0.16556300000000002</v>
      </c>
      <c r="BF55" s="11">
        <f t="shared" si="35"/>
        <v>8.433974000000001</v>
      </c>
      <c r="BG55" s="11">
        <f t="shared" si="36"/>
        <v>9.5831759999999999</v>
      </c>
      <c r="BH55" s="11">
        <f t="shared" si="37"/>
        <v>3.3404770000000004</v>
      </c>
      <c r="BI55" s="11">
        <f t="shared" si="38"/>
        <v>0.77912000000000003</v>
      </c>
      <c r="BJ55">
        <f t="shared" si="39"/>
        <v>97.39</v>
      </c>
    </row>
    <row r="56" spans="17:75">
      <c r="Q56" s="2">
        <v>6.7999999999999996E-3</v>
      </c>
      <c r="R56" s="2">
        <v>2719</v>
      </c>
      <c r="S56" s="11">
        <v>0.45939620962719102</v>
      </c>
      <c r="T56" s="11">
        <v>0.99460379037280888</v>
      </c>
      <c r="U56" s="2">
        <v>2.25</v>
      </c>
      <c r="X56" s="2">
        <v>2.64</v>
      </c>
      <c r="AA56">
        <f>100*18*S56/($Q56*$R56*AA$3)</f>
        <v>1.1503048878288591</v>
      </c>
      <c r="AB56">
        <f>100*18*T56/($Q56*$R56*AB$3)</f>
        <v>1.4385273784150661</v>
      </c>
      <c r="AC56">
        <f t="shared" ref="AC56" si="42">AA56+AB56</f>
        <v>2.5888322662439252</v>
      </c>
      <c r="AD56">
        <f>(AC56-X56)^2</f>
        <v>2.6181369777325742E-3</v>
      </c>
      <c r="AH56" s="2">
        <v>47.61</v>
      </c>
      <c r="AI56" s="2">
        <v>1.8</v>
      </c>
      <c r="AJ56" s="2">
        <v>16.22</v>
      </c>
      <c r="AL56" s="2">
        <v>11.02</v>
      </c>
      <c r="AM56" s="2">
        <v>0.17</v>
      </c>
      <c r="AN56" s="2">
        <v>8.66</v>
      </c>
      <c r="AO56" s="2">
        <v>9.84</v>
      </c>
      <c r="AP56" s="2">
        <v>3.43</v>
      </c>
      <c r="AQ56" s="2">
        <v>0.8</v>
      </c>
      <c r="AR56" s="2"/>
      <c r="AT56" s="11">
        <f t="shared" si="7"/>
        <v>4.118328</v>
      </c>
      <c r="AU56" s="11">
        <f t="shared" si="29"/>
        <v>62.144887999999995</v>
      </c>
      <c r="AV56" s="11">
        <f t="shared" si="8"/>
        <v>6.6269779100736337E-2</v>
      </c>
      <c r="AW56" s="11">
        <f t="shared" si="0"/>
        <v>-5.1167733756074973E-2</v>
      </c>
      <c r="AX56" s="11">
        <f t="shared" si="9"/>
        <v>0.58347117330041698</v>
      </c>
      <c r="AZ56" s="11">
        <f t="shared" si="30"/>
        <v>46.353095999999994</v>
      </c>
      <c r="BA56" s="11">
        <f t="shared" si="31"/>
        <v>1.7524799999999998</v>
      </c>
      <c r="BB56" s="11">
        <f t="shared" si="32"/>
        <v>15.791791999999997</v>
      </c>
      <c r="BC56" s="11"/>
      <c r="BD56" s="11">
        <f t="shared" si="33"/>
        <v>10.729071999999999</v>
      </c>
      <c r="BE56" s="11">
        <f t="shared" si="34"/>
        <v>0.16551200000000002</v>
      </c>
      <c r="BF56" s="11">
        <f t="shared" si="35"/>
        <v>8.4313760000000002</v>
      </c>
      <c r="BG56" s="11">
        <f t="shared" si="36"/>
        <v>9.5802239999999994</v>
      </c>
      <c r="BH56" s="11">
        <f t="shared" si="37"/>
        <v>3.339448</v>
      </c>
      <c r="BI56" s="11">
        <f t="shared" si="38"/>
        <v>0.77888000000000002</v>
      </c>
      <c r="BJ56">
        <f t="shared" si="39"/>
        <v>97.36</v>
      </c>
      <c r="BU56">
        <f>U56*63/$BU$2</f>
        <v>2.7320937614150456</v>
      </c>
      <c r="BV56">
        <f>(BU56-X56)^2</f>
        <v>8.4812608915713125E-3</v>
      </c>
      <c r="BW56">
        <f t="shared" si="10"/>
        <v>9.2093761415045439E-2</v>
      </c>
    </row>
    <row r="57" spans="17:75">
      <c r="Q57" s="2">
        <v>2.1100000000000001E-2</v>
      </c>
      <c r="R57" s="2">
        <v>2695</v>
      </c>
      <c r="S57" s="11"/>
      <c r="T57" s="11"/>
      <c r="U57" s="2"/>
      <c r="X57" s="1">
        <v>3.32</v>
      </c>
      <c r="AH57" s="2">
        <v>47.61</v>
      </c>
      <c r="AI57" s="2">
        <v>1.8</v>
      </c>
      <c r="AJ57" s="2">
        <v>16.22</v>
      </c>
      <c r="AL57" s="2">
        <v>11.02</v>
      </c>
      <c r="AM57" s="2">
        <v>0.17</v>
      </c>
      <c r="AN57" s="2">
        <v>8.66</v>
      </c>
      <c r="AO57" s="2">
        <v>9.84</v>
      </c>
      <c r="AP57" s="2">
        <v>3.43</v>
      </c>
      <c r="AQ57" s="2">
        <v>0.8</v>
      </c>
      <c r="AR57" s="2"/>
      <c r="AT57" s="11">
        <f t="shared" si="7"/>
        <v>4.0895640000000002</v>
      </c>
      <c r="AU57" s="11">
        <f t="shared" si="29"/>
        <v>61.710843999999994</v>
      </c>
      <c r="AV57" s="11">
        <f t="shared" si="8"/>
        <v>6.6269779100736337E-2</v>
      </c>
      <c r="AW57" s="11"/>
      <c r="AX57" s="11">
        <f t="shared" si="9"/>
        <v>0.58347117330041687</v>
      </c>
      <c r="AZ57" s="11">
        <f t="shared" si="30"/>
        <v>46.029347999999999</v>
      </c>
      <c r="BA57" s="11">
        <f t="shared" si="31"/>
        <v>1.7402400000000002</v>
      </c>
      <c r="BB57" s="11">
        <f t="shared" si="32"/>
        <v>15.681495999999999</v>
      </c>
      <c r="BC57" s="11"/>
      <c r="BD57" s="11">
        <f t="shared" si="33"/>
        <v>10.654136000000001</v>
      </c>
      <c r="BE57" s="11">
        <f t="shared" si="34"/>
        <v>0.164356</v>
      </c>
      <c r="BF57" s="11">
        <f t="shared" si="35"/>
        <v>8.3724880000000006</v>
      </c>
      <c r="BG57" s="11">
        <f t="shared" si="36"/>
        <v>9.5133120000000009</v>
      </c>
      <c r="BH57" s="11">
        <f t="shared" si="37"/>
        <v>3.3161240000000003</v>
      </c>
      <c r="BI57" s="11">
        <f t="shared" si="38"/>
        <v>0.77344000000000013</v>
      </c>
      <c r="BJ57">
        <f t="shared" si="39"/>
        <v>96.68</v>
      </c>
    </row>
    <row r="58" spans="17:75">
      <c r="Q58" s="2">
        <v>5.7000000000000002E-3</v>
      </c>
      <c r="R58" s="2">
        <v>2695</v>
      </c>
      <c r="S58" s="11">
        <v>0.95610645027049523</v>
      </c>
      <c r="T58" s="11">
        <v>0.61689354972950472</v>
      </c>
      <c r="U58" s="2">
        <v>2.93</v>
      </c>
      <c r="X58" s="2">
        <v>3.39</v>
      </c>
      <c r="AA58">
        <f>100*18*S58/($Q58*$R58*AA$3)</f>
        <v>2.8814845863622329</v>
      </c>
      <c r="AB58">
        <f>100*18*T58/($Q58*$R58*AB$3)</f>
        <v>1.0738972896784147</v>
      </c>
      <c r="AC58">
        <f t="shared" ref="AC58" si="43">AA58+AB58</f>
        <v>3.9553818760406476</v>
      </c>
      <c r="AD58">
        <f>(AC58-X58)^2</f>
        <v>0.3196566657552421</v>
      </c>
      <c r="AH58" s="2">
        <v>47.61</v>
      </c>
      <c r="AI58" s="2">
        <v>1.8</v>
      </c>
      <c r="AJ58" s="2">
        <v>16.22</v>
      </c>
      <c r="AL58" s="2">
        <v>11.02</v>
      </c>
      <c r="AM58" s="2">
        <v>0.17</v>
      </c>
      <c r="AN58" s="2">
        <v>8.66</v>
      </c>
      <c r="AO58" s="2">
        <v>9.84</v>
      </c>
      <c r="AP58" s="2">
        <v>3.43</v>
      </c>
      <c r="AQ58" s="2">
        <v>0.8</v>
      </c>
      <c r="AR58" s="2"/>
      <c r="AT58" s="11">
        <f t="shared" si="7"/>
        <v>4.0866030000000002</v>
      </c>
      <c r="AU58" s="11">
        <f t="shared" si="29"/>
        <v>61.666162999999997</v>
      </c>
      <c r="AV58" s="11">
        <f t="shared" si="8"/>
        <v>6.6269779100736337E-2</v>
      </c>
      <c r="AW58" s="11">
        <f t="shared" si="0"/>
        <v>0.56538187604064749</v>
      </c>
      <c r="AX58" s="11">
        <f t="shared" si="9"/>
        <v>0.58347117330041687</v>
      </c>
      <c r="AZ58" s="11">
        <f t="shared" si="30"/>
        <v>45.996020999999999</v>
      </c>
      <c r="BA58" s="11">
        <f t="shared" si="31"/>
        <v>1.73898</v>
      </c>
      <c r="BB58" s="11">
        <f t="shared" si="32"/>
        <v>15.670141999999998</v>
      </c>
      <c r="BC58" s="11"/>
      <c r="BD58" s="11">
        <f t="shared" si="33"/>
        <v>10.646421999999999</v>
      </c>
      <c r="BE58" s="11">
        <f t="shared" si="34"/>
        <v>0.16423699999999999</v>
      </c>
      <c r="BF58" s="11">
        <f t="shared" si="35"/>
        <v>8.3664260000000006</v>
      </c>
      <c r="BG58" s="11">
        <f t="shared" si="36"/>
        <v>9.5064239999999991</v>
      </c>
      <c r="BH58" s="11">
        <f t="shared" si="37"/>
        <v>3.313723</v>
      </c>
      <c r="BI58" s="11">
        <f t="shared" si="38"/>
        <v>0.77288000000000012</v>
      </c>
      <c r="BJ58">
        <f t="shared" si="39"/>
        <v>96.61</v>
      </c>
      <c r="BU58">
        <f>U58*63/$BU$2</f>
        <v>3.5577932093093705</v>
      </c>
      <c r="BV58">
        <f>(BU58-X58)^2</f>
        <v>2.8154561090338173E-2</v>
      </c>
      <c r="BW58">
        <f t="shared" si="10"/>
        <v>0.16779320930937036</v>
      </c>
    </row>
    <row r="59" spans="17:75">
      <c r="Q59" s="2">
        <v>2.0299999999999999E-2</v>
      </c>
      <c r="R59" s="2">
        <v>2670</v>
      </c>
      <c r="S59" s="11"/>
      <c r="T59" s="11"/>
      <c r="U59" s="2"/>
      <c r="X59" s="1">
        <v>4.12</v>
      </c>
      <c r="AH59" s="2">
        <v>47.61</v>
      </c>
      <c r="AI59" s="2">
        <v>1.8</v>
      </c>
      <c r="AJ59" s="2">
        <v>16.22</v>
      </c>
      <c r="AL59" s="2">
        <v>11.02</v>
      </c>
      <c r="AM59" s="2">
        <v>0.17</v>
      </c>
      <c r="AN59" s="2">
        <v>8.66</v>
      </c>
      <c r="AO59" s="2">
        <v>9.84</v>
      </c>
      <c r="AP59" s="2">
        <v>3.43</v>
      </c>
      <c r="AQ59" s="2">
        <v>0.8</v>
      </c>
      <c r="AR59" s="2"/>
      <c r="AT59" s="11">
        <f t="shared" si="7"/>
        <v>4.0557239999999997</v>
      </c>
      <c r="AU59" s="11">
        <f t="shared" si="29"/>
        <v>61.200203999999992</v>
      </c>
      <c r="AV59" s="11">
        <f t="shared" si="8"/>
        <v>6.6269779100736337E-2</v>
      </c>
      <c r="AW59" s="11"/>
      <c r="AX59" s="11">
        <f t="shared" si="9"/>
        <v>0.58347117330041698</v>
      </c>
      <c r="AZ59" s="11">
        <f t="shared" si="30"/>
        <v>45.648467999999994</v>
      </c>
      <c r="BA59" s="11">
        <f t="shared" si="31"/>
        <v>1.72584</v>
      </c>
      <c r="BB59" s="11">
        <f t="shared" si="32"/>
        <v>15.551735999999998</v>
      </c>
      <c r="BC59" s="11"/>
      <c r="BD59" s="11">
        <f t="shared" si="33"/>
        <v>10.565975999999999</v>
      </c>
      <c r="BE59" s="11">
        <f t="shared" si="34"/>
        <v>0.16299600000000003</v>
      </c>
      <c r="BF59" s="11">
        <f t="shared" si="35"/>
        <v>8.3032079999999997</v>
      </c>
      <c r="BG59" s="11">
        <f t="shared" si="36"/>
        <v>9.4345919999999985</v>
      </c>
      <c r="BH59" s="11">
        <f t="shared" si="37"/>
        <v>3.2886839999999999</v>
      </c>
      <c r="BI59" s="11">
        <f t="shared" si="38"/>
        <v>0.76703999999999994</v>
      </c>
      <c r="BJ59">
        <f t="shared" si="39"/>
        <v>95.88</v>
      </c>
    </row>
    <row r="60" spans="17:75">
      <c r="Q60" s="2">
        <v>3.7000000000000002E-3</v>
      </c>
      <c r="R60" s="2">
        <v>2670</v>
      </c>
      <c r="S60" s="11">
        <v>0.48143712574850311</v>
      </c>
      <c r="T60" s="11">
        <v>0.63856287425149705</v>
      </c>
      <c r="U60" s="2">
        <v>3.24</v>
      </c>
      <c r="X60" s="2">
        <v>4.1100000000000003</v>
      </c>
      <c r="AA60">
        <f>100*18*S60/($Q60*$R60*AA$3)</f>
        <v>2.2561619470298639</v>
      </c>
      <c r="AB60">
        <f>100*18*T60/($Q60*$R60*AB$3)</f>
        <v>1.7285296043477787</v>
      </c>
      <c r="AC60">
        <f t="shared" ref="AC60" si="44">AA60+AB60</f>
        <v>3.9846915513776429</v>
      </c>
      <c r="AD60">
        <f>(AC60-X60)^2</f>
        <v>1.5702207296141999E-2</v>
      </c>
      <c r="AH60" s="2">
        <v>47.61</v>
      </c>
      <c r="AI60" s="2">
        <v>1.8</v>
      </c>
      <c r="AJ60" s="2">
        <v>16.22</v>
      </c>
      <c r="AL60" s="2">
        <v>11.02</v>
      </c>
      <c r="AM60" s="2">
        <v>0.17</v>
      </c>
      <c r="AN60" s="2">
        <v>8.66</v>
      </c>
      <c r="AO60" s="2">
        <v>9.84</v>
      </c>
      <c r="AP60" s="2">
        <v>3.43</v>
      </c>
      <c r="AQ60" s="2">
        <v>0.8</v>
      </c>
      <c r="AR60" s="2"/>
      <c r="AT60" s="11">
        <f t="shared" si="7"/>
        <v>4.0561470000000002</v>
      </c>
      <c r="AU60" s="11">
        <f t="shared" si="29"/>
        <v>61.206586999999999</v>
      </c>
      <c r="AV60" s="11">
        <f t="shared" si="8"/>
        <v>6.6269779100736337E-2</v>
      </c>
      <c r="AW60" s="11">
        <f t="shared" si="0"/>
        <v>-0.12530844862235746</v>
      </c>
      <c r="AX60" s="11">
        <f t="shared" si="9"/>
        <v>0.58347117330041687</v>
      </c>
      <c r="AZ60" s="11">
        <f t="shared" si="30"/>
        <v>45.653229000000003</v>
      </c>
      <c r="BA60" s="11">
        <f t="shared" si="31"/>
        <v>1.7260200000000001</v>
      </c>
      <c r="BB60" s="11">
        <f t="shared" si="32"/>
        <v>15.553357999999998</v>
      </c>
      <c r="BC60" s="11"/>
      <c r="BD60" s="11">
        <f t="shared" si="33"/>
        <v>10.567077999999999</v>
      </c>
      <c r="BE60" s="11">
        <f t="shared" si="34"/>
        <v>0.16301300000000002</v>
      </c>
      <c r="BF60" s="11">
        <f t="shared" si="35"/>
        <v>8.304074</v>
      </c>
      <c r="BG60" s="11">
        <f t="shared" si="36"/>
        <v>9.4355759999999993</v>
      </c>
      <c r="BH60" s="11">
        <f t="shared" si="37"/>
        <v>3.2890270000000004</v>
      </c>
      <c r="BI60" s="11">
        <f t="shared" si="38"/>
        <v>0.76712000000000002</v>
      </c>
      <c r="BJ60">
        <f t="shared" si="39"/>
        <v>95.89</v>
      </c>
      <c r="BU60">
        <f>U60*63/$BU$2</f>
        <v>3.9342150164376659</v>
      </c>
      <c r="BV60">
        <f>(BU60-X60)^2</f>
        <v>3.0900360446010178E-2</v>
      </c>
      <c r="BW60">
        <f t="shared" si="10"/>
        <v>-0.17578498356233441</v>
      </c>
    </row>
    <row r="61" spans="17:75">
      <c r="Q61" s="2">
        <v>1.04E-2</v>
      </c>
      <c r="R61" s="2">
        <v>2626</v>
      </c>
      <c r="S61" s="11"/>
      <c r="T61" s="11"/>
      <c r="U61" s="2"/>
      <c r="X61" s="1">
        <v>2.52</v>
      </c>
      <c r="AH61" s="2">
        <v>47.49</v>
      </c>
      <c r="AI61" s="2">
        <v>2.79</v>
      </c>
      <c r="AJ61" s="2">
        <v>18.829999999999998</v>
      </c>
      <c r="AL61" s="2">
        <v>10.36</v>
      </c>
      <c r="AM61" s="2">
        <v>0.28999999999999998</v>
      </c>
      <c r="AN61" s="2">
        <v>3.31</v>
      </c>
      <c r="AO61" s="2">
        <v>6.95</v>
      </c>
      <c r="AP61" s="2">
        <v>6.03</v>
      </c>
      <c r="AQ61" s="2">
        <v>2.78</v>
      </c>
      <c r="AR61" s="2"/>
      <c r="AT61" s="11">
        <f t="shared" si="7"/>
        <v>8.5879880000000011</v>
      </c>
      <c r="AU61" s="11">
        <f t="shared" si="29"/>
        <v>64.648736</v>
      </c>
      <c r="AV61" s="11">
        <f t="shared" si="8"/>
        <v>0.13284077201447528</v>
      </c>
      <c r="AW61" s="11"/>
      <c r="AX61" s="11">
        <f t="shared" si="9"/>
        <v>0.36286109512695325</v>
      </c>
      <c r="AZ61" s="11">
        <f t="shared" si="30"/>
        <v>46.293252000000003</v>
      </c>
      <c r="BA61" s="11">
        <f t="shared" si="31"/>
        <v>2.7196920000000002</v>
      </c>
      <c r="BB61" s="11">
        <f t="shared" si="32"/>
        <v>18.355484000000001</v>
      </c>
      <c r="BC61" s="11"/>
      <c r="BD61" s="11">
        <f t="shared" si="33"/>
        <v>10.098927999999999</v>
      </c>
      <c r="BE61" s="11">
        <f t="shared" si="34"/>
        <v>0.282692</v>
      </c>
      <c r="BF61" s="11">
        <f t="shared" si="35"/>
        <v>3.2265880000000005</v>
      </c>
      <c r="BG61" s="11">
        <f t="shared" si="36"/>
        <v>6.7748600000000003</v>
      </c>
      <c r="BH61" s="11">
        <f t="shared" si="37"/>
        <v>5.8780440000000009</v>
      </c>
      <c r="BI61" s="11">
        <f t="shared" si="38"/>
        <v>2.7099439999999997</v>
      </c>
      <c r="BJ61">
        <f t="shared" si="39"/>
        <v>97.48</v>
      </c>
    </row>
    <row r="62" spans="17:75">
      <c r="Q62" s="2">
        <v>5.4000000000000003E-3</v>
      </c>
      <c r="R62" s="2">
        <v>2626</v>
      </c>
      <c r="S62" s="11">
        <v>0.15423446701117649</v>
      </c>
      <c r="T62" s="11">
        <v>1.1227655329888233</v>
      </c>
      <c r="U62" s="2">
        <v>2.58</v>
      </c>
      <c r="X62" s="2">
        <v>2.5499999999999998</v>
      </c>
      <c r="AA62">
        <f>100*18*S62/($Q62*$R62*AA$3)</f>
        <v>0.5035430815045927</v>
      </c>
      <c r="AB62">
        <f>100*18*T62/($Q62*$R62*AB$3)</f>
        <v>2.1173211353361907</v>
      </c>
      <c r="AC62">
        <f t="shared" ref="AC62" si="45">AA62+AB62</f>
        <v>2.6208642168407836</v>
      </c>
      <c r="AD62">
        <f>(AC62-X62)^2</f>
        <v>5.0217372284576279E-3</v>
      </c>
      <c r="AH62" s="2">
        <v>47.49</v>
      </c>
      <c r="AI62" s="2">
        <v>2.79</v>
      </c>
      <c r="AJ62" s="2">
        <v>18.829999999999998</v>
      </c>
      <c r="AL62" s="2">
        <v>10.36</v>
      </c>
      <c r="AM62" s="2">
        <v>0.28999999999999998</v>
      </c>
      <c r="AN62" s="2">
        <v>3.31</v>
      </c>
      <c r="AO62" s="2">
        <v>6.95</v>
      </c>
      <c r="AP62" s="2">
        <v>6.03</v>
      </c>
      <c r="AQ62" s="2">
        <v>2.78</v>
      </c>
      <c r="AR62" s="2"/>
      <c r="AT62" s="11">
        <f t="shared" si="7"/>
        <v>8.5853450000000002</v>
      </c>
      <c r="AU62" s="11">
        <f t="shared" si="29"/>
        <v>64.628839999999997</v>
      </c>
      <c r="AV62" s="11">
        <f t="shared" si="8"/>
        <v>0.13284077201447528</v>
      </c>
      <c r="AW62" s="11">
        <f t="shared" si="0"/>
        <v>7.0864216840783811E-2</v>
      </c>
      <c r="AX62" s="11">
        <f t="shared" si="9"/>
        <v>0.36286109512695325</v>
      </c>
      <c r="AZ62" s="11">
        <f t="shared" si="30"/>
        <v>46.279005000000005</v>
      </c>
      <c r="BA62" s="11">
        <f t="shared" si="31"/>
        <v>2.7188550000000005</v>
      </c>
      <c r="BB62" s="11">
        <f t="shared" si="32"/>
        <v>18.349834999999999</v>
      </c>
      <c r="BC62" s="11"/>
      <c r="BD62" s="11">
        <f t="shared" si="33"/>
        <v>10.09582</v>
      </c>
      <c r="BE62" s="11">
        <f t="shared" si="34"/>
        <v>0.282605</v>
      </c>
      <c r="BF62" s="11">
        <f t="shared" si="35"/>
        <v>3.2255950000000002</v>
      </c>
      <c r="BG62" s="11">
        <f t="shared" si="36"/>
        <v>6.7727750000000002</v>
      </c>
      <c r="BH62" s="11">
        <f t="shared" si="37"/>
        <v>5.8762350000000003</v>
      </c>
      <c r="BI62" s="11">
        <f t="shared" si="38"/>
        <v>2.7091099999999999</v>
      </c>
      <c r="BJ62">
        <f t="shared" si="39"/>
        <v>97.45</v>
      </c>
      <c r="BU62">
        <f>U62*63/$BU$2</f>
        <v>3.1328008464225854</v>
      </c>
      <c r="BV62">
        <f>(BU62-X62)^2</f>
        <v>0.33965682659088214</v>
      </c>
      <c r="BW62">
        <f t="shared" si="10"/>
        <v>0.58280084642258556</v>
      </c>
    </row>
    <row r="63" spans="17:75">
      <c r="Q63" s="2">
        <v>1.9300000000000001E-2</v>
      </c>
      <c r="R63" s="2">
        <v>2623</v>
      </c>
      <c r="S63" s="11"/>
      <c r="T63" s="11"/>
      <c r="U63" s="2"/>
      <c r="X63" s="1">
        <v>2.3199999999999998</v>
      </c>
      <c r="AH63" s="2">
        <v>47.49</v>
      </c>
      <c r="AI63" s="2">
        <v>2.79</v>
      </c>
      <c r="AJ63" s="2">
        <v>18.829999999999998</v>
      </c>
      <c r="AL63" s="2">
        <v>10.36</v>
      </c>
      <c r="AM63" s="2">
        <v>0.28999999999999998</v>
      </c>
      <c r="AN63" s="2">
        <v>3.31</v>
      </c>
      <c r="AO63" s="2">
        <v>6.95</v>
      </c>
      <c r="AP63" s="2">
        <v>6.03</v>
      </c>
      <c r="AQ63" s="2">
        <v>2.78</v>
      </c>
      <c r="AR63" s="2"/>
      <c r="AT63" s="11">
        <f t="shared" si="7"/>
        <v>8.6056080000000001</v>
      </c>
      <c r="AU63" s="11">
        <f t="shared" si="29"/>
        <v>64.781376000000009</v>
      </c>
      <c r="AV63" s="11">
        <f t="shared" si="8"/>
        <v>0.13284077201447525</v>
      </c>
      <c r="AW63" s="11"/>
      <c r="AX63" s="11">
        <f t="shared" si="9"/>
        <v>0.36286109512695325</v>
      </c>
      <c r="AZ63" s="11">
        <f t="shared" si="30"/>
        <v>46.388232000000009</v>
      </c>
      <c r="BA63" s="11">
        <f t="shared" si="31"/>
        <v>2.7252720000000004</v>
      </c>
      <c r="BB63" s="11">
        <f t="shared" si="32"/>
        <v>18.393143999999999</v>
      </c>
      <c r="BC63" s="11"/>
      <c r="BD63" s="11">
        <f t="shared" si="33"/>
        <v>10.119648</v>
      </c>
      <c r="BE63" s="11">
        <f t="shared" si="34"/>
        <v>0.28327200000000002</v>
      </c>
      <c r="BF63" s="11">
        <f t="shared" si="35"/>
        <v>3.2332080000000003</v>
      </c>
      <c r="BG63" s="11">
        <f t="shared" si="36"/>
        <v>6.7887600000000008</v>
      </c>
      <c r="BH63" s="11">
        <f t="shared" si="37"/>
        <v>5.8901040000000009</v>
      </c>
      <c r="BI63" s="11">
        <f t="shared" si="38"/>
        <v>2.7155040000000001</v>
      </c>
      <c r="BJ63">
        <f t="shared" si="39"/>
        <v>97.68</v>
      </c>
    </row>
    <row r="64" spans="17:75">
      <c r="Q64" s="2">
        <v>4.5999999999999999E-3</v>
      </c>
      <c r="R64" s="2">
        <v>2623</v>
      </c>
      <c r="S64" s="11">
        <v>0.27102633593630382</v>
      </c>
      <c r="T64" s="11">
        <v>0.63997366406369627</v>
      </c>
      <c r="U64" s="2">
        <v>2.16</v>
      </c>
      <c r="X64" s="2">
        <v>2.35</v>
      </c>
      <c r="AA64">
        <f>100*18*S64/($Q64*$R64*AA$3)</f>
        <v>1.0399178896298005</v>
      </c>
      <c r="AB64">
        <f>100*18*T64/($Q64*$R64*AB$3)</f>
        <v>1.4183784440272624</v>
      </c>
      <c r="AC64">
        <f t="shared" ref="AC64" si="46">AA64+AB64</f>
        <v>2.4582963336570627</v>
      </c>
      <c r="AD64">
        <f>(AC64-X64)^2</f>
        <v>1.1728095883561829E-2</v>
      </c>
      <c r="AH64" s="2">
        <v>47.49</v>
      </c>
      <c r="AI64" s="2">
        <v>2.79</v>
      </c>
      <c r="AJ64" s="2">
        <v>18.829999999999998</v>
      </c>
      <c r="AL64" s="2">
        <v>10.36</v>
      </c>
      <c r="AM64" s="2">
        <v>0.28999999999999998</v>
      </c>
      <c r="AN64" s="2">
        <v>3.31</v>
      </c>
      <c r="AO64" s="2">
        <v>6.95</v>
      </c>
      <c r="AP64" s="2">
        <v>6.03</v>
      </c>
      <c r="AQ64" s="2">
        <v>2.78</v>
      </c>
      <c r="AR64" s="2"/>
      <c r="AT64" s="11">
        <f t="shared" si="7"/>
        <v>8.6029650000000011</v>
      </c>
      <c r="AU64" s="11">
        <f t="shared" si="29"/>
        <v>64.761480000000006</v>
      </c>
      <c r="AV64" s="11">
        <f t="shared" si="8"/>
        <v>0.13284077201447528</v>
      </c>
      <c r="AW64" s="11">
        <f t="shared" si="0"/>
        <v>0.10829633365706259</v>
      </c>
      <c r="AX64" s="11">
        <f t="shared" si="9"/>
        <v>0.36286109512695319</v>
      </c>
      <c r="AZ64" s="11">
        <f t="shared" si="30"/>
        <v>46.373985000000005</v>
      </c>
      <c r="BA64" s="11">
        <f t="shared" si="31"/>
        <v>2.7244350000000002</v>
      </c>
      <c r="BB64" s="11">
        <f t="shared" si="32"/>
        <v>18.387494999999998</v>
      </c>
      <c r="BC64" s="11"/>
      <c r="BD64" s="11">
        <f t="shared" si="33"/>
        <v>10.116540000000001</v>
      </c>
      <c r="BE64" s="11">
        <f t="shared" si="34"/>
        <v>0.28318500000000002</v>
      </c>
      <c r="BF64" s="11">
        <f t="shared" si="35"/>
        <v>3.2322150000000005</v>
      </c>
      <c r="BG64" s="11">
        <f t="shared" si="36"/>
        <v>6.7866749999999998</v>
      </c>
      <c r="BH64" s="11">
        <f t="shared" si="37"/>
        <v>5.8882950000000003</v>
      </c>
      <c r="BI64" s="11">
        <f t="shared" si="38"/>
        <v>2.7146699999999999</v>
      </c>
      <c r="BJ64">
        <f t="shared" si="39"/>
        <v>97.65</v>
      </c>
      <c r="BU64">
        <f>U64*63/$BU$2</f>
        <v>2.6228100109584442</v>
      </c>
      <c r="BV64">
        <f>(BU64-X64)^2</f>
        <v>7.442530207914641E-2</v>
      </c>
      <c r="BW64">
        <f t="shared" si="10"/>
        <v>0.27281001095844415</v>
      </c>
    </row>
    <row r="65" spans="17:75">
      <c r="Q65" s="2">
        <v>2.3599999999999999E-2</v>
      </c>
      <c r="R65" s="2">
        <v>2621</v>
      </c>
      <c r="S65" s="11"/>
      <c r="T65" s="11"/>
      <c r="U65" s="2"/>
      <c r="X65" s="1">
        <v>2.12</v>
      </c>
      <c r="AH65" s="2">
        <v>47.49</v>
      </c>
      <c r="AI65" s="2">
        <v>2.79</v>
      </c>
      <c r="AJ65" s="2">
        <v>18.829999999999998</v>
      </c>
      <c r="AL65" s="2">
        <v>10.36</v>
      </c>
      <c r="AM65" s="2">
        <v>0.28999999999999998</v>
      </c>
      <c r="AN65" s="2">
        <v>3.31</v>
      </c>
      <c r="AO65" s="2">
        <v>6.95</v>
      </c>
      <c r="AP65" s="2">
        <v>6.03</v>
      </c>
      <c r="AQ65" s="2">
        <v>2.78</v>
      </c>
      <c r="AR65" s="2"/>
      <c r="AT65" s="11">
        <f t="shared" si="7"/>
        <v>8.6232279999999992</v>
      </c>
      <c r="AU65" s="11">
        <f t="shared" si="29"/>
        <v>64.914016000000004</v>
      </c>
      <c r="AV65" s="11">
        <f t="shared" si="8"/>
        <v>0.13284077201447525</v>
      </c>
      <c r="AW65" s="11"/>
      <c r="AX65" s="11">
        <f t="shared" si="9"/>
        <v>0.36286109512695325</v>
      </c>
      <c r="AZ65" s="11">
        <f t="shared" si="30"/>
        <v>46.483212000000002</v>
      </c>
      <c r="BA65" s="11">
        <f t="shared" si="31"/>
        <v>2.7308520000000001</v>
      </c>
      <c r="BB65" s="11">
        <f t="shared" si="32"/>
        <v>18.430803999999998</v>
      </c>
      <c r="BC65" s="11"/>
      <c r="BD65" s="11">
        <f t="shared" si="33"/>
        <v>10.140367999999999</v>
      </c>
      <c r="BE65" s="11">
        <f t="shared" si="34"/>
        <v>0.28385199999999999</v>
      </c>
      <c r="BF65" s="11">
        <f t="shared" si="35"/>
        <v>3.2398280000000002</v>
      </c>
      <c r="BG65" s="11">
        <f t="shared" si="36"/>
        <v>6.8026599999999995</v>
      </c>
      <c r="BH65" s="11">
        <f t="shared" si="37"/>
        <v>5.902164</v>
      </c>
      <c r="BI65" s="11">
        <f t="shared" si="38"/>
        <v>2.7210639999999997</v>
      </c>
      <c r="BJ65">
        <f t="shared" si="39"/>
        <v>97.88</v>
      </c>
    </row>
    <row r="66" spans="17:75">
      <c r="Q66" s="2">
        <v>5.3E-3</v>
      </c>
      <c r="R66" s="2">
        <v>2621</v>
      </c>
      <c r="S66" s="11">
        <v>0.21350352112676058</v>
      </c>
      <c r="T66" s="11">
        <v>0.6914964788732394</v>
      </c>
      <c r="U66" s="2">
        <v>1.86</v>
      </c>
      <c r="X66" s="2">
        <v>2.13</v>
      </c>
      <c r="AA66">
        <f>100*18*S66/($Q66*$R66*AA$3)</f>
        <v>0.71155066550249635</v>
      </c>
      <c r="AB66">
        <f>100*18*T66/($Q66*$R66*AB$3)</f>
        <v>1.3311690900869864</v>
      </c>
      <c r="AC66">
        <f t="shared" ref="AC66" si="47">AA66+AB66</f>
        <v>2.0427197555894825</v>
      </c>
      <c r="AD66">
        <f>(AC66-X66)^2</f>
        <v>7.617841064359655E-3</v>
      </c>
      <c r="AH66" s="2">
        <v>47.49</v>
      </c>
      <c r="AI66" s="2">
        <v>2.79</v>
      </c>
      <c r="AJ66" s="2">
        <v>18.829999999999998</v>
      </c>
      <c r="AL66" s="2">
        <v>10.36</v>
      </c>
      <c r="AM66" s="2">
        <v>0.28999999999999998</v>
      </c>
      <c r="AN66" s="2">
        <v>3.31</v>
      </c>
      <c r="AO66" s="2">
        <v>6.95</v>
      </c>
      <c r="AP66" s="2">
        <v>6.03</v>
      </c>
      <c r="AQ66" s="2">
        <v>2.78</v>
      </c>
      <c r="AR66" s="2"/>
      <c r="AT66" s="11">
        <f t="shared" si="7"/>
        <v>8.6223469999999995</v>
      </c>
      <c r="AU66" s="11">
        <f t="shared" si="29"/>
        <v>64.907384000000008</v>
      </c>
      <c r="AV66" s="11">
        <f t="shared" si="8"/>
        <v>0.13284077201447525</v>
      </c>
      <c r="AW66" s="11">
        <f t="shared" si="0"/>
        <v>-8.7280244410517405E-2</v>
      </c>
      <c r="AX66" s="11">
        <f t="shared" si="9"/>
        <v>0.36286109512695325</v>
      </c>
      <c r="AZ66" s="11">
        <f t="shared" si="30"/>
        <v>46.478463000000005</v>
      </c>
      <c r="BA66" s="11">
        <f t="shared" si="31"/>
        <v>2.7305730000000001</v>
      </c>
      <c r="BB66" s="11">
        <f t="shared" si="32"/>
        <v>18.428920999999999</v>
      </c>
      <c r="BC66" s="11"/>
      <c r="BD66" s="11">
        <f t="shared" si="33"/>
        <v>10.139332</v>
      </c>
      <c r="BE66" s="11">
        <f t="shared" si="34"/>
        <v>0.28382299999999999</v>
      </c>
      <c r="BF66" s="11">
        <f t="shared" si="35"/>
        <v>3.2394970000000001</v>
      </c>
      <c r="BG66" s="11">
        <f t="shared" si="36"/>
        <v>6.801965</v>
      </c>
      <c r="BH66" s="11">
        <f t="shared" si="37"/>
        <v>5.9015610000000001</v>
      </c>
      <c r="BI66" s="11">
        <f t="shared" si="38"/>
        <v>2.7207859999999999</v>
      </c>
      <c r="BJ66">
        <f t="shared" si="39"/>
        <v>97.87</v>
      </c>
      <c r="BU66">
        <f>U66*63/$BU$2</f>
        <v>2.2585308427697712</v>
      </c>
      <c r="BV66">
        <f>(BU66-X66)^2</f>
        <v>1.6520177543107681E-2</v>
      </c>
      <c r="BW66">
        <f t="shared" si="10"/>
        <v>0.12853084276977134</v>
      </c>
    </row>
    <row r="67" spans="17:75">
      <c r="Q67" s="2">
        <v>2.12E-2</v>
      </c>
      <c r="R67" s="2">
        <v>2639</v>
      </c>
      <c r="S67" s="11"/>
      <c r="T67" s="11"/>
      <c r="U67" s="2"/>
      <c r="X67" s="1">
        <v>3.43</v>
      </c>
      <c r="AH67" s="2">
        <v>48.69</v>
      </c>
      <c r="AI67" s="2">
        <v>0.98</v>
      </c>
      <c r="AJ67" s="2">
        <v>15.26</v>
      </c>
      <c r="AL67" s="2">
        <v>8.15</v>
      </c>
      <c r="AM67" s="2">
        <v>0.23</v>
      </c>
      <c r="AN67" s="2">
        <v>6.68</v>
      </c>
      <c r="AO67" s="2">
        <v>11.6</v>
      </c>
      <c r="AP67" s="2">
        <v>1.93</v>
      </c>
      <c r="AQ67" s="2">
        <v>5.86</v>
      </c>
      <c r="AR67" s="2"/>
      <c r="AT67" s="11">
        <f t="shared" si="7"/>
        <v>7.5228029999999997</v>
      </c>
      <c r="AU67" s="11">
        <f t="shared" si="29"/>
        <v>61.756514999999993</v>
      </c>
      <c r="AV67" s="11">
        <f t="shared" si="8"/>
        <v>0.12181391712275216</v>
      </c>
      <c r="AW67" s="11"/>
      <c r="AX67" s="11">
        <f t="shared" si="9"/>
        <v>0.59366482467972059</v>
      </c>
      <c r="AZ67" s="11">
        <f t="shared" si="30"/>
        <v>47.019932999999995</v>
      </c>
      <c r="BA67" s="11">
        <f t="shared" si="31"/>
        <v>0.94638599999999995</v>
      </c>
      <c r="BB67" s="11">
        <f t="shared" si="32"/>
        <v>14.736581999999999</v>
      </c>
      <c r="BC67" s="11"/>
      <c r="BD67" s="11">
        <f t="shared" si="33"/>
        <v>7.8704549999999998</v>
      </c>
      <c r="BE67" s="11">
        <f t="shared" si="34"/>
        <v>0.22211099999999998</v>
      </c>
      <c r="BF67" s="11">
        <f t="shared" si="35"/>
        <v>6.4508759999999992</v>
      </c>
      <c r="BG67" s="11">
        <f t="shared" si="36"/>
        <v>11.202120000000001</v>
      </c>
      <c r="BH67" s="11">
        <f t="shared" si="37"/>
        <v>1.8638009999999996</v>
      </c>
      <c r="BI67" s="11">
        <f t="shared" si="38"/>
        <v>5.6590020000000001</v>
      </c>
      <c r="BJ67">
        <f t="shared" si="39"/>
        <v>96.57</v>
      </c>
    </row>
    <row r="68" spans="17:75">
      <c r="Q68" s="2">
        <v>5.3E-3</v>
      </c>
      <c r="R68" s="2">
        <v>2639</v>
      </c>
      <c r="S68" s="11">
        <v>0.46105084745762703</v>
      </c>
      <c r="T68" s="11">
        <v>0.75694915254237294</v>
      </c>
      <c r="U68" s="2">
        <v>2.4900000000000002</v>
      </c>
      <c r="X68" s="2">
        <v>3.4</v>
      </c>
      <c r="AA68">
        <f>100*18*S68/($Q68*$R68*AA$3)</f>
        <v>1.5260797959362373</v>
      </c>
      <c r="AB68">
        <f>100*18*T68/($Q68*$R68*AB$3)</f>
        <v>1.4472301098295108</v>
      </c>
      <c r="AC68">
        <f t="shared" ref="AC68" si="48">AA68+AB68</f>
        <v>2.9733099057657482</v>
      </c>
      <c r="AD68">
        <f>(AC68-X68)^2</f>
        <v>0.18206443651763463</v>
      </c>
      <c r="AH68" s="2">
        <v>48.69</v>
      </c>
      <c r="AI68" s="2">
        <v>0.98</v>
      </c>
      <c r="AJ68" s="2">
        <v>15.26</v>
      </c>
      <c r="AL68" s="2">
        <v>8.15</v>
      </c>
      <c r="AM68" s="2">
        <v>0.23</v>
      </c>
      <c r="AN68" s="2">
        <v>6.68</v>
      </c>
      <c r="AO68" s="2">
        <v>11.6</v>
      </c>
      <c r="AP68" s="2">
        <v>1.93</v>
      </c>
      <c r="AQ68" s="2">
        <v>5.86</v>
      </c>
      <c r="AR68" s="2"/>
      <c r="AT68" s="11">
        <f t="shared" si="7"/>
        <v>7.5251399999999995</v>
      </c>
      <c r="AU68" s="11">
        <f t="shared" si="29"/>
        <v>61.775700000000001</v>
      </c>
      <c r="AV68" s="11">
        <f t="shared" si="8"/>
        <v>0.12181391712275214</v>
      </c>
      <c r="AW68" s="11">
        <f t="shared" si="0"/>
        <v>-0.42669009423425175</v>
      </c>
      <c r="AX68" s="11">
        <f t="shared" si="9"/>
        <v>0.59366482467972048</v>
      </c>
      <c r="AZ68" s="11">
        <f t="shared" si="30"/>
        <v>47.03454</v>
      </c>
      <c r="BA68" s="11">
        <f t="shared" si="31"/>
        <v>0.94667999999999997</v>
      </c>
      <c r="BB68" s="11">
        <f t="shared" si="32"/>
        <v>14.741160000000001</v>
      </c>
      <c r="BC68" s="11"/>
      <c r="BD68" s="11">
        <f t="shared" si="33"/>
        <v>7.8728999999999996</v>
      </c>
      <c r="BE68" s="11">
        <f t="shared" si="34"/>
        <v>0.22217999999999999</v>
      </c>
      <c r="BF68" s="11">
        <f t="shared" si="35"/>
        <v>6.4528799999999986</v>
      </c>
      <c r="BG68" s="11">
        <f t="shared" si="36"/>
        <v>11.205599999999999</v>
      </c>
      <c r="BH68" s="11">
        <f t="shared" si="37"/>
        <v>1.8643799999999999</v>
      </c>
      <c r="BI68" s="11">
        <f t="shared" si="38"/>
        <v>5.6607599999999998</v>
      </c>
      <c r="BJ68">
        <f t="shared" si="39"/>
        <v>96.6</v>
      </c>
      <c r="BU68">
        <f>U68*63/$BU$2</f>
        <v>3.0235170959659841</v>
      </c>
      <c r="BV68">
        <f>(BU68-X68)^2</f>
        <v>0.14173937702988598</v>
      </c>
      <c r="BW68">
        <f t="shared" si="10"/>
        <v>-0.37648290403401585</v>
      </c>
    </row>
    <row r="69" spans="17:75">
      <c r="Q69" s="2">
        <v>1.9099999999999999E-2</v>
      </c>
      <c r="R69" s="2">
        <v>2658</v>
      </c>
      <c r="S69" s="11"/>
      <c r="T69" s="11"/>
      <c r="U69" s="2"/>
      <c r="X69" s="1">
        <v>2.74</v>
      </c>
      <c r="AH69" s="2">
        <v>48.69</v>
      </c>
      <c r="AI69" s="2">
        <v>0.98</v>
      </c>
      <c r="AJ69" s="2">
        <v>15.26</v>
      </c>
      <c r="AL69" s="2">
        <v>8.15</v>
      </c>
      <c r="AM69" s="2">
        <v>0.23</v>
      </c>
      <c r="AN69" s="2">
        <v>6.68</v>
      </c>
      <c r="AO69" s="2">
        <v>11.6</v>
      </c>
      <c r="AP69" s="2">
        <v>1.93</v>
      </c>
      <c r="AQ69" s="2">
        <v>5.86</v>
      </c>
      <c r="AR69" s="2"/>
      <c r="AT69" s="11">
        <f t="shared" si="7"/>
        <v>7.5765540000000007</v>
      </c>
      <c r="AU69" s="11">
        <f t="shared" si="29"/>
        <v>62.197769999999998</v>
      </c>
      <c r="AV69" s="11">
        <f t="shared" si="8"/>
        <v>0.12181391712275216</v>
      </c>
      <c r="AW69" s="11"/>
      <c r="AX69" s="11">
        <f t="shared" si="9"/>
        <v>0.59366482467972048</v>
      </c>
      <c r="AZ69" s="11">
        <f t="shared" si="30"/>
        <v>47.355893999999999</v>
      </c>
      <c r="BA69" s="11">
        <f t="shared" si="31"/>
        <v>0.95314800000000011</v>
      </c>
      <c r="BB69" s="11">
        <f t="shared" si="32"/>
        <v>14.841875999999999</v>
      </c>
      <c r="BC69" s="11"/>
      <c r="BD69" s="11">
        <f t="shared" si="33"/>
        <v>7.9266900000000007</v>
      </c>
      <c r="BE69" s="11">
        <f t="shared" si="34"/>
        <v>0.22369800000000001</v>
      </c>
      <c r="BF69" s="11">
        <f t="shared" si="35"/>
        <v>6.4969680000000007</v>
      </c>
      <c r="BG69" s="11">
        <f t="shared" si="36"/>
        <v>11.282160000000001</v>
      </c>
      <c r="BH69" s="11">
        <f t="shared" si="37"/>
        <v>1.8771180000000001</v>
      </c>
      <c r="BI69" s="11">
        <f t="shared" si="38"/>
        <v>5.6994360000000004</v>
      </c>
      <c r="BJ69">
        <f t="shared" si="39"/>
        <v>97.26</v>
      </c>
    </row>
    <row r="70" spans="17:75">
      <c r="Q70" s="2">
        <v>5.8999999999999999E-3</v>
      </c>
      <c r="R70" s="2">
        <v>2658</v>
      </c>
      <c r="S70" s="11">
        <v>0.32992485432991769</v>
      </c>
      <c r="T70" s="11">
        <v>0.78407514567008241</v>
      </c>
      <c r="U70" s="2">
        <v>2.0299999999999998</v>
      </c>
      <c r="X70" s="2">
        <v>2.75</v>
      </c>
      <c r="AA70">
        <f>100*18*S70/($Q70*$R70*AA$3)</f>
        <v>0.9739837771104819</v>
      </c>
      <c r="AB70">
        <f>100*18*T70/($Q70*$R70*AB$3)</f>
        <v>1.337016729387924</v>
      </c>
      <c r="AC70">
        <f t="shared" ref="AC70" si="49">AA70+AB70</f>
        <v>2.3110005064984058</v>
      </c>
      <c r="AD70">
        <f>(AC70-X70)^2</f>
        <v>0.19272055529465623</v>
      </c>
      <c r="AH70" s="2">
        <v>48.69</v>
      </c>
      <c r="AI70" s="2">
        <v>0.98</v>
      </c>
      <c r="AJ70" s="2">
        <v>15.26</v>
      </c>
      <c r="AL70" s="2">
        <v>8.15</v>
      </c>
      <c r="AM70" s="2">
        <v>0.23</v>
      </c>
      <c r="AN70" s="2">
        <v>6.68</v>
      </c>
      <c r="AO70" s="2">
        <v>11.6</v>
      </c>
      <c r="AP70" s="2">
        <v>1.93</v>
      </c>
      <c r="AQ70" s="2">
        <v>5.86</v>
      </c>
      <c r="AR70" s="2"/>
      <c r="AT70" s="11">
        <f t="shared" ref="AT70:AT90" si="50">BH70+BI70</f>
        <v>7.5757750000000001</v>
      </c>
      <c r="AU70" s="11">
        <f t="shared" si="29"/>
        <v>62.191375000000001</v>
      </c>
      <c r="AV70" s="11">
        <f t="shared" ref="AV70:AV90" si="51">AT70/AU70</f>
        <v>0.12181391712275215</v>
      </c>
      <c r="AW70" s="11">
        <f t="shared" ref="AW70:AW90" si="52">AC70-X70</f>
        <v>-0.43899949350159417</v>
      </c>
      <c r="AX70" s="11">
        <f t="shared" ref="AX70:AX90" si="53">(BF70/40.3044)/((BF70/40.3044)+(BD70/71.844))</f>
        <v>0.59366482467972048</v>
      </c>
      <c r="AZ70" s="11">
        <f t="shared" si="30"/>
        <v>47.351025</v>
      </c>
      <c r="BA70" s="11">
        <f t="shared" si="31"/>
        <v>0.95304999999999995</v>
      </c>
      <c r="BB70" s="11">
        <f t="shared" si="32"/>
        <v>14.840350000000001</v>
      </c>
      <c r="BC70" s="11"/>
      <c r="BD70" s="11">
        <f t="shared" si="33"/>
        <v>7.9258750000000013</v>
      </c>
      <c r="BE70" s="11">
        <f t="shared" si="34"/>
        <v>0.22367499999999998</v>
      </c>
      <c r="BF70" s="11">
        <f t="shared" si="35"/>
        <v>6.4962999999999997</v>
      </c>
      <c r="BG70" s="11">
        <f t="shared" si="36"/>
        <v>11.280999999999999</v>
      </c>
      <c r="BH70" s="11">
        <f t="shared" si="37"/>
        <v>1.876925</v>
      </c>
      <c r="BI70" s="11">
        <f t="shared" si="38"/>
        <v>5.6988500000000002</v>
      </c>
      <c r="BJ70">
        <f t="shared" si="39"/>
        <v>97.25</v>
      </c>
      <c r="BU70">
        <f>U70*63/$BU$2</f>
        <v>2.4649557047433519</v>
      </c>
      <c r="BV70">
        <f>(BU70-X70)^2</f>
        <v>8.1250250258359177E-2</v>
      </c>
      <c r="BW70">
        <f t="shared" ref="BW70:BW90" si="54">(BU70-X70)</f>
        <v>-0.28504429525664809</v>
      </c>
    </row>
    <row r="71" spans="17:75">
      <c r="Q71" s="2">
        <v>2.01E-2</v>
      </c>
      <c r="R71" s="2">
        <v>2626</v>
      </c>
      <c r="S71" s="11"/>
      <c r="T71" s="11"/>
      <c r="U71" s="2"/>
      <c r="X71" s="1">
        <v>3.95</v>
      </c>
      <c r="AH71" s="2">
        <v>48.69</v>
      </c>
      <c r="AI71" s="2">
        <v>0.98</v>
      </c>
      <c r="AJ71" s="2">
        <v>15.26</v>
      </c>
      <c r="AL71" s="2">
        <v>8.15</v>
      </c>
      <c r="AM71" s="2">
        <v>0.23</v>
      </c>
      <c r="AN71" s="2">
        <v>6.68</v>
      </c>
      <c r="AO71" s="2">
        <v>11.6</v>
      </c>
      <c r="AP71" s="2">
        <v>1.93</v>
      </c>
      <c r="AQ71" s="2">
        <v>5.86</v>
      </c>
      <c r="AR71" s="2"/>
      <c r="AT71" s="11">
        <f t="shared" si="50"/>
        <v>7.4822950000000006</v>
      </c>
      <c r="AU71" s="11">
        <f t="shared" si="29"/>
        <v>61.423974999999999</v>
      </c>
      <c r="AV71" s="11">
        <f t="shared" si="51"/>
        <v>0.12181391712275216</v>
      </c>
      <c r="AW71" s="11"/>
      <c r="AX71" s="11">
        <f t="shared" si="53"/>
        <v>0.59366482467972059</v>
      </c>
      <c r="AZ71" s="11">
        <f t="shared" si="30"/>
        <v>46.766745</v>
      </c>
      <c r="BA71" s="11">
        <f t="shared" si="31"/>
        <v>0.94128999999999996</v>
      </c>
      <c r="BB71" s="11">
        <f t="shared" si="32"/>
        <v>14.65723</v>
      </c>
      <c r="BC71" s="11"/>
      <c r="BD71" s="11">
        <f t="shared" si="33"/>
        <v>7.8280750000000001</v>
      </c>
      <c r="BE71" s="11">
        <f t="shared" si="34"/>
        <v>0.220915</v>
      </c>
      <c r="BF71" s="11">
        <f t="shared" si="35"/>
        <v>6.4161399999999995</v>
      </c>
      <c r="BG71" s="11">
        <f t="shared" si="36"/>
        <v>11.141799999999998</v>
      </c>
      <c r="BH71" s="11">
        <f t="shared" si="37"/>
        <v>1.8537649999999999</v>
      </c>
      <c r="BI71" s="11">
        <f t="shared" si="38"/>
        <v>5.6285300000000005</v>
      </c>
      <c r="BJ71">
        <f t="shared" si="39"/>
        <v>96.05</v>
      </c>
    </row>
    <row r="72" spans="17:75">
      <c r="Q72" s="2">
        <v>4.5999999999999999E-3</v>
      </c>
      <c r="R72" s="2">
        <v>2626</v>
      </c>
      <c r="S72" s="11">
        <v>0.71541537203597716</v>
      </c>
      <c r="T72" s="11">
        <v>0.73558462796402291</v>
      </c>
      <c r="U72" s="2">
        <v>3.44</v>
      </c>
      <c r="X72" s="2">
        <v>3.95</v>
      </c>
      <c r="AA72">
        <f>100*18*S72/($Q72*$R72*AA$3)</f>
        <v>2.7418859867496805</v>
      </c>
      <c r="AB72">
        <f>100*18*T72/($Q72*$R72*AB$3)</f>
        <v>1.6284192726564943</v>
      </c>
      <c r="AC72">
        <f t="shared" ref="AC72" si="55">AA72+AB72</f>
        <v>4.3703052594061749</v>
      </c>
      <c r="AD72">
        <f>(AC72-X72)^2</f>
        <v>0.17665651108449179</v>
      </c>
      <c r="AH72" s="2">
        <v>48.69</v>
      </c>
      <c r="AI72" s="2">
        <v>0.98</v>
      </c>
      <c r="AJ72" s="2">
        <v>15.26</v>
      </c>
      <c r="AL72" s="2">
        <v>8.15</v>
      </c>
      <c r="AM72" s="2">
        <v>0.23</v>
      </c>
      <c r="AN72" s="2">
        <v>6.68</v>
      </c>
      <c r="AO72" s="2">
        <v>11.6</v>
      </c>
      <c r="AP72" s="2">
        <v>1.93</v>
      </c>
      <c r="AQ72" s="2">
        <v>5.86</v>
      </c>
      <c r="AR72" s="2"/>
      <c r="AT72" s="11">
        <f t="shared" si="50"/>
        <v>7.4822950000000006</v>
      </c>
      <c r="AU72" s="11">
        <f t="shared" si="29"/>
        <v>61.423974999999999</v>
      </c>
      <c r="AV72" s="11">
        <f t="shared" si="51"/>
        <v>0.12181391712275216</v>
      </c>
      <c r="AW72" s="11">
        <f t="shared" si="52"/>
        <v>0.42030525940617469</v>
      </c>
      <c r="AX72" s="11">
        <f t="shared" si="53"/>
        <v>0.59366482467972059</v>
      </c>
      <c r="AZ72" s="11">
        <f t="shared" si="30"/>
        <v>46.766745</v>
      </c>
      <c r="BA72" s="11">
        <f t="shared" si="31"/>
        <v>0.94128999999999996</v>
      </c>
      <c r="BB72" s="11">
        <f t="shared" si="32"/>
        <v>14.65723</v>
      </c>
      <c r="BC72" s="11"/>
      <c r="BD72" s="11">
        <f t="shared" si="33"/>
        <v>7.8280750000000001</v>
      </c>
      <c r="BE72" s="11">
        <f t="shared" si="34"/>
        <v>0.220915</v>
      </c>
      <c r="BF72" s="11">
        <f t="shared" si="35"/>
        <v>6.4161399999999995</v>
      </c>
      <c r="BG72" s="11">
        <f t="shared" si="36"/>
        <v>11.141799999999998</v>
      </c>
      <c r="BH72" s="11">
        <f t="shared" si="37"/>
        <v>1.8537649999999999</v>
      </c>
      <c r="BI72" s="11">
        <f t="shared" si="38"/>
        <v>5.6285300000000005</v>
      </c>
      <c r="BJ72">
        <f t="shared" si="39"/>
        <v>96.05</v>
      </c>
      <c r="BU72">
        <f>U72*63/$BU$2</f>
        <v>4.1770677952301138</v>
      </c>
      <c r="BV72">
        <f>(BU72-X72)^2</f>
        <v>5.1559783630664831E-2</v>
      </c>
      <c r="BW72">
        <f t="shared" si="54"/>
        <v>0.22706779523011367</v>
      </c>
    </row>
    <row r="73" spans="17:75">
      <c r="Q73" s="2">
        <v>1.9300000000000001E-2</v>
      </c>
      <c r="R73" s="2">
        <v>2604</v>
      </c>
      <c r="S73" s="11"/>
      <c r="T73" s="11"/>
      <c r="U73" s="2"/>
      <c r="X73" s="1">
        <v>4.62</v>
      </c>
      <c r="AH73" s="2">
        <v>48.69</v>
      </c>
      <c r="AI73" s="2">
        <v>0.98</v>
      </c>
      <c r="AJ73" s="2">
        <v>15.26</v>
      </c>
      <c r="AL73" s="2">
        <v>8.15</v>
      </c>
      <c r="AM73" s="2">
        <v>0.23</v>
      </c>
      <c r="AN73" s="2">
        <v>6.68</v>
      </c>
      <c r="AO73" s="2">
        <v>11.6</v>
      </c>
      <c r="AP73" s="2">
        <v>1.93</v>
      </c>
      <c r="AQ73" s="2">
        <v>5.86</v>
      </c>
      <c r="AR73" s="2"/>
      <c r="AT73" s="11">
        <f t="shared" si="50"/>
        <v>7.4301019999999998</v>
      </c>
      <c r="AU73" s="11">
        <f t="shared" si="29"/>
        <v>60.995509999999996</v>
      </c>
      <c r="AV73" s="11">
        <f t="shared" si="51"/>
        <v>0.12181391712275215</v>
      </c>
      <c r="AW73" s="11"/>
      <c r="AX73" s="11">
        <f t="shared" si="53"/>
        <v>0.59366482467972059</v>
      </c>
      <c r="AZ73" s="11">
        <f t="shared" si="30"/>
        <v>46.440521999999994</v>
      </c>
      <c r="BA73" s="11">
        <f t="shared" si="31"/>
        <v>0.93472399999999989</v>
      </c>
      <c r="BB73" s="11">
        <f t="shared" si="32"/>
        <v>14.554987999999998</v>
      </c>
      <c r="BC73" s="11"/>
      <c r="BD73" s="11">
        <f t="shared" si="33"/>
        <v>7.7734699999999997</v>
      </c>
      <c r="BE73" s="11">
        <f t="shared" si="34"/>
        <v>0.21937400000000001</v>
      </c>
      <c r="BF73" s="11">
        <f t="shared" si="35"/>
        <v>6.371383999999999</v>
      </c>
      <c r="BG73" s="11">
        <f t="shared" si="36"/>
        <v>11.064079999999999</v>
      </c>
      <c r="BH73" s="11">
        <f t="shared" si="37"/>
        <v>1.8408339999999999</v>
      </c>
      <c r="BI73" s="11">
        <f t="shared" si="38"/>
        <v>5.5892679999999997</v>
      </c>
      <c r="BJ73">
        <f t="shared" si="39"/>
        <v>95.38</v>
      </c>
    </row>
    <row r="74" spans="17:75">
      <c r="Q74" s="2">
        <v>4.1999999999999997E-3</v>
      </c>
      <c r="R74" s="2">
        <v>2604</v>
      </c>
      <c r="S74" s="11">
        <v>0.71081088576876417</v>
      </c>
      <c r="T74" s="11">
        <v>0.68018911423123585</v>
      </c>
      <c r="U74" s="2">
        <v>3.64</v>
      </c>
      <c r="X74" s="2">
        <v>4.58</v>
      </c>
      <c r="AA74">
        <f>100*18*S74/($Q74*$R74*AA$3)</f>
        <v>3.0088980841717112</v>
      </c>
      <c r="AB74">
        <f>100*18*T74/($Q74*$R74*AB$3)</f>
        <v>1.6631275168628252</v>
      </c>
      <c r="AC74">
        <f t="shared" ref="AC74" si="56">AA74+AB74</f>
        <v>4.6720256010345365</v>
      </c>
      <c r="AD74">
        <f>(AC74-X74)^2</f>
        <v>8.4687112457676652E-3</v>
      </c>
      <c r="AH74" s="2">
        <v>48.69</v>
      </c>
      <c r="AI74" s="2">
        <v>0.98</v>
      </c>
      <c r="AJ74" s="2">
        <v>15.26</v>
      </c>
      <c r="AL74" s="2">
        <v>8.15</v>
      </c>
      <c r="AM74" s="2">
        <v>0.23</v>
      </c>
      <c r="AN74" s="2">
        <v>6.68</v>
      </c>
      <c r="AO74" s="2">
        <v>11.6</v>
      </c>
      <c r="AP74" s="2">
        <v>1.93</v>
      </c>
      <c r="AQ74" s="2">
        <v>5.86</v>
      </c>
      <c r="AR74" s="2"/>
      <c r="AT74" s="11">
        <f t="shared" si="50"/>
        <v>7.4332180000000001</v>
      </c>
      <c r="AU74" s="11">
        <f t="shared" si="29"/>
        <v>61.021090000000001</v>
      </c>
      <c r="AV74" s="11">
        <f t="shared" si="51"/>
        <v>0.12181391712275215</v>
      </c>
      <c r="AW74" s="11">
        <f t="shared" si="52"/>
        <v>9.2025601034536386E-2</v>
      </c>
      <c r="AX74" s="11">
        <f t="shared" si="53"/>
        <v>0.59366482467972048</v>
      </c>
      <c r="AZ74" s="11">
        <f t="shared" si="30"/>
        <v>46.459997999999999</v>
      </c>
      <c r="BA74" s="11">
        <f t="shared" si="31"/>
        <v>0.93511600000000006</v>
      </c>
      <c r="BB74" s="11">
        <f t="shared" si="32"/>
        <v>14.561092</v>
      </c>
      <c r="BC74" s="11"/>
      <c r="BD74" s="11">
        <f t="shared" si="33"/>
        <v>7.7767299999999997</v>
      </c>
      <c r="BE74" s="11">
        <f t="shared" si="34"/>
        <v>0.21946599999999999</v>
      </c>
      <c r="BF74" s="11">
        <f t="shared" si="35"/>
        <v>6.3740559999999995</v>
      </c>
      <c r="BG74" s="11">
        <f t="shared" si="36"/>
        <v>11.068720000000001</v>
      </c>
      <c r="BH74" s="11">
        <f t="shared" si="37"/>
        <v>1.8416059999999999</v>
      </c>
      <c r="BI74" s="11">
        <f t="shared" si="38"/>
        <v>5.5916120000000005</v>
      </c>
      <c r="BJ74">
        <f t="shared" si="39"/>
        <v>95.42</v>
      </c>
      <c r="BU74">
        <f>U74*63/$BU$2</f>
        <v>4.4199205740225631</v>
      </c>
      <c r="BV74">
        <f>(BU74-X74)^2</f>
        <v>2.5625422621265721E-2</v>
      </c>
      <c r="BW74">
        <f t="shared" si="54"/>
        <v>-0.16007942597743696</v>
      </c>
    </row>
    <row r="75" spans="17:75">
      <c r="Q75" s="2">
        <v>2.0299999999999999E-2</v>
      </c>
      <c r="R75" s="2">
        <v>2683</v>
      </c>
      <c r="S75" s="11"/>
      <c r="T75" s="11"/>
      <c r="U75" s="2"/>
      <c r="X75" s="1">
        <v>2.68</v>
      </c>
      <c r="AH75" s="2">
        <v>47.46</v>
      </c>
      <c r="AI75" s="2">
        <v>1.81</v>
      </c>
      <c r="AJ75" s="2">
        <v>16.170000000000002</v>
      </c>
      <c r="AL75" s="2">
        <v>10.47</v>
      </c>
      <c r="AM75" s="2">
        <v>0.2</v>
      </c>
      <c r="AN75" s="2">
        <v>6.74</v>
      </c>
      <c r="AO75" s="2">
        <v>11.42</v>
      </c>
      <c r="AP75" s="2">
        <v>3.48</v>
      </c>
      <c r="AQ75" s="2">
        <v>1.72</v>
      </c>
      <c r="AR75" s="2"/>
      <c r="AT75" s="11">
        <f t="shared" si="50"/>
        <v>5.0606399999999994</v>
      </c>
      <c r="AU75" s="11">
        <f t="shared" si="29"/>
        <v>61.924716000000004</v>
      </c>
      <c r="AV75" s="11">
        <f t="shared" si="51"/>
        <v>8.1722457960081707E-2</v>
      </c>
      <c r="AW75" s="11"/>
      <c r="AX75" s="11">
        <f t="shared" si="53"/>
        <v>0.53434143600975281</v>
      </c>
      <c r="AZ75" s="11">
        <f t="shared" si="30"/>
        <v>46.188072000000005</v>
      </c>
      <c r="BA75" s="11">
        <f t="shared" si="31"/>
        <v>1.7614919999999998</v>
      </c>
      <c r="BB75" s="11">
        <f t="shared" si="32"/>
        <v>15.736644000000002</v>
      </c>
      <c r="BC75" s="11"/>
      <c r="BD75" s="11">
        <f t="shared" si="33"/>
        <v>10.189404</v>
      </c>
      <c r="BE75" s="11">
        <f t="shared" si="34"/>
        <v>0.19463999999999998</v>
      </c>
      <c r="BF75" s="11">
        <f t="shared" si="35"/>
        <v>6.5593679999999992</v>
      </c>
      <c r="BG75" s="11">
        <f t="shared" si="36"/>
        <v>11.113943999999998</v>
      </c>
      <c r="BH75" s="11">
        <f t="shared" si="37"/>
        <v>3.3867359999999995</v>
      </c>
      <c r="BI75" s="11">
        <f t="shared" si="38"/>
        <v>1.6739040000000001</v>
      </c>
      <c r="BJ75">
        <f t="shared" si="39"/>
        <v>97.32</v>
      </c>
    </row>
    <row r="76" spans="17:75">
      <c r="Q76" s="2">
        <v>6.1000000000000004E-3</v>
      </c>
      <c r="R76" s="2">
        <v>2683</v>
      </c>
      <c r="S76" s="11">
        <v>0.37317465040166609</v>
      </c>
      <c r="T76" s="11">
        <v>0.87482534959833391</v>
      </c>
      <c r="U76" s="2">
        <v>2.1800000000000002</v>
      </c>
      <c r="X76" s="2">
        <v>2.67</v>
      </c>
      <c r="AA76">
        <f>100*18*S76/($Q76*$R76*AA$3)</f>
        <v>1.0556143972471825</v>
      </c>
      <c r="AB76">
        <f>100*18*T76/($Q76*$R76*AB$3)</f>
        <v>1.4294105841723483</v>
      </c>
      <c r="AC76">
        <f t="shared" ref="AC76" si="57">AA76+AB76</f>
        <v>2.4850249814195307</v>
      </c>
      <c r="AD76">
        <f>(AC76-X76)^2</f>
        <v>3.4215757498844951E-2</v>
      </c>
      <c r="AH76" s="2">
        <v>47.46</v>
      </c>
      <c r="AI76" s="2">
        <v>1.81</v>
      </c>
      <c r="AJ76" s="2">
        <v>16.170000000000002</v>
      </c>
      <c r="AL76" s="2">
        <v>10.47</v>
      </c>
      <c r="AM76" s="2">
        <v>0.2</v>
      </c>
      <c r="AN76" s="2">
        <v>6.74</v>
      </c>
      <c r="AO76" s="2">
        <v>11.42</v>
      </c>
      <c r="AP76" s="2">
        <v>3.48</v>
      </c>
      <c r="AQ76" s="2">
        <v>1.72</v>
      </c>
      <c r="AR76" s="2"/>
      <c r="AT76" s="11">
        <f t="shared" si="50"/>
        <v>5.0611600000000001</v>
      </c>
      <c r="AU76" s="11">
        <f t="shared" si="29"/>
        <v>61.931078999999997</v>
      </c>
      <c r="AV76" s="11">
        <f t="shared" si="51"/>
        <v>8.1722457960081735E-2</v>
      </c>
      <c r="AW76" s="11">
        <f t="shared" si="52"/>
        <v>-0.18497501858046927</v>
      </c>
      <c r="AX76" s="11">
        <f t="shared" si="53"/>
        <v>0.5343414360097527</v>
      </c>
      <c r="AZ76" s="11">
        <f t="shared" si="30"/>
        <v>46.192817999999995</v>
      </c>
      <c r="BA76" s="11">
        <f t="shared" si="31"/>
        <v>1.761673</v>
      </c>
      <c r="BB76" s="11">
        <f t="shared" si="32"/>
        <v>15.738261000000001</v>
      </c>
      <c r="BC76" s="11"/>
      <c r="BD76" s="11">
        <f t="shared" si="33"/>
        <v>10.190451000000001</v>
      </c>
      <c r="BE76" s="11">
        <f t="shared" si="34"/>
        <v>0.19466</v>
      </c>
      <c r="BF76" s="11">
        <f t="shared" si="35"/>
        <v>6.5600419999999993</v>
      </c>
      <c r="BG76" s="11">
        <f t="shared" si="36"/>
        <v>11.115085999999998</v>
      </c>
      <c r="BH76" s="11">
        <f t="shared" si="37"/>
        <v>3.3870839999999998</v>
      </c>
      <c r="BI76" s="11">
        <f t="shared" si="38"/>
        <v>1.6740760000000001</v>
      </c>
      <c r="BJ76">
        <f t="shared" si="39"/>
        <v>97.33</v>
      </c>
      <c r="BU76">
        <f>U76*63/$BU$2</f>
        <v>2.6470952888376886</v>
      </c>
      <c r="BV76">
        <f>(BU76-X76)^2</f>
        <v>5.2462579342890778E-4</v>
      </c>
      <c r="BW76">
        <f t="shared" si="54"/>
        <v>-2.2904711162311298E-2</v>
      </c>
    </row>
    <row r="77" spans="17:75">
      <c r="Q77" s="2">
        <v>1.4800000000000001E-2</v>
      </c>
      <c r="R77" s="2">
        <v>2666</v>
      </c>
      <c r="U77" s="2"/>
      <c r="X77" s="1">
        <v>3.35</v>
      </c>
      <c r="AH77" s="2">
        <v>47.46</v>
      </c>
      <c r="AI77" s="2">
        <v>1.81</v>
      </c>
      <c r="AJ77" s="2">
        <v>16.170000000000002</v>
      </c>
      <c r="AL77" s="2">
        <v>10.47</v>
      </c>
      <c r="AM77" s="2">
        <v>0.2</v>
      </c>
      <c r="AN77" s="2">
        <v>6.74</v>
      </c>
      <c r="AO77" s="2">
        <v>11.42</v>
      </c>
      <c r="AP77" s="2">
        <v>3.48</v>
      </c>
      <c r="AQ77" s="2">
        <v>1.72</v>
      </c>
      <c r="AR77" s="2"/>
      <c r="AT77" s="11">
        <f t="shared" si="50"/>
        <v>5.0258000000000003</v>
      </c>
      <c r="AU77" s="11">
        <f t="shared" si="29"/>
        <v>61.498395000000002</v>
      </c>
      <c r="AV77" s="11">
        <f t="shared" si="51"/>
        <v>8.1722457960081721E-2</v>
      </c>
      <c r="AW77" s="11"/>
      <c r="AX77" s="11">
        <f t="shared" si="53"/>
        <v>0.53434143600975281</v>
      </c>
      <c r="AZ77" s="11">
        <f t="shared" si="30"/>
        <v>45.870089999999998</v>
      </c>
      <c r="BA77" s="11">
        <f t="shared" si="31"/>
        <v>1.7493650000000003</v>
      </c>
      <c r="BB77" s="11">
        <f t="shared" si="32"/>
        <v>15.628305000000003</v>
      </c>
      <c r="BC77" s="11"/>
      <c r="BD77" s="11">
        <f t="shared" si="33"/>
        <v>10.119255000000003</v>
      </c>
      <c r="BE77" s="11">
        <f t="shared" si="34"/>
        <v>0.19330000000000003</v>
      </c>
      <c r="BF77" s="11">
        <f t="shared" si="35"/>
        <v>6.5142100000000003</v>
      </c>
      <c r="BG77" s="11">
        <f t="shared" si="36"/>
        <v>11.037430000000002</v>
      </c>
      <c r="BH77" s="11">
        <f t="shared" si="37"/>
        <v>3.3634200000000005</v>
      </c>
      <c r="BI77" s="11">
        <f t="shared" si="38"/>
        <v>1.66238</v>
      </c>
      <c r="BJ77">
        <f t="shared" si="39"/>
        <v>96.65</v>
      </c>
    </row>
    <row r="78" spans="17:75">
      <c r="Q78" s="2">
        <v>8.3999999999999995E-3</v>
      </c>
      <c r="R78" s="2">
        <v>2666</v>
      </c>
      <c r="U78" s="2"/>
      <c r="X78" s="2">
        <v>3.31</v>
      </c>
      <c r="AH78" s="2">
        <v>47.46</v>
      </c>
      <c r="AI78" s="2">
        <v>1.81</v>
      </c>
      <c r="AJ78" s="2">
        <v>16.170000000000002</v>
      </c>
      <c r="AL78" s="2">
        <v>10.47</v>
      </c>
      <c r="AM78" s="2">
        <v>0.2</v>
      </c>
      <c r="AN78" s="2">
        <v>6.74</v>
      </c>
      <c r="AO78" s="2">
        <v>11.42</v>
      </c>
      <c r="AP78" s="2">
        <v>3.48</v>
      </c>
      <c r="AQ78" s="2">
        <v>1.72</v>
      </c>
      <c r="AR78" s="2"/>
      <c r="AT78" s="11">
        <f t="shared" si="50"/>
        <v>5.0278799999999997</v>
      </c>
      <c r="AU78" s="11">
        <f t="shared" si="29"/>
        <v>61.523847000000004</v>
      </c>
      <c r="AV78" s="11">
        <f t="shared" si="51"/>
        <v>8.1722457960081707E-2</v>
      </c>
      <c r="AW78" s="11"/>
      <c r="AX78" s="11">
        <f t="shared" si="53"/>
        <v>0.53434143600975281</v>
      </c>
      <c r="AZ78" s="11">
        <f t="shared" si="30"/>
        <v>45.889074000000001</v>
      </c>
      <c r="BA78" s="11">
        <f t="shared" si="31"/>
        <v>1.750089</v>
      </c>
      <c r="BB78" s="11">
        <f t="shared" si="32"/>
        <v>15.634773000000003</v>
      </c>
      <c r="BC78" s="11"/>
      <c r="BD78" s="11">
        <f t="shared" si="33"/>
        <v>10.123443000000002</v>
      </c>
      <c r="BE78" s="11">
        <f t="shared" si="34"/>
        <v>0.19338</v>
      </c>
      <c r="BF78" s="11">
        <f t="shared" si="35"/>
        <v>6.5169060000000005</v>
      </c>
      <c r="BG78" s="11">
        <f t="shared" si="36"/>
        <v>11.041998</v>
      </c>
      <c r="BH78" s="11">
        <f t="shared" si="37"/>
        <v>3.3648120000000001</v>
      </c>
      <c r="BI78" s="11">
        <f t="shared" si="38"/>
        <v>1.6630679999999998</v>
      </c>
      <c r="BJ78">
        <f t="shared" si="39"/>
        <v>96.69</v>
      </c>
    </row>
    <row r="79" spans="17:75">
      <c r="Q79" s="2">
        <v>2.0799999999999999E-2</v>
      </c>
      <c r="R79" s="2">
        <v>2640</v>
      </c>
      <c r="U79" s="2"/>
      <c r="X79" s="1">
        <v>4.24</v>
      </c>
      <c r="AH79" s="2">
        <v>47.46</v>
      </c>
      <c r="AI79" s="2">
        <v>1.81</v>
      </c>
      <c r="AJ79" s="2">
        <v>16.170000000000002</v>
      </c>
      <c r="AL79" s="2">
        <v>10.47</v>
      </c>
      <c r="AM79" s="2">
        <v>0.2</v>
      </c>
      <c r="AN79" s="2">
        <v>6.74</v>
      </c>
      <c r="AO79" s="2">
        <v>11.42</v>
      </c>
      <c r="AP79" s="2">
        <v>3.48</v>
      </c>
      <c r="AQ79" s="2">
        <v>1.72</v>
      </c>
      <c r="AR79" s="2"/>
      <c r="AT79" s="11">
        <f t="shared" si="50"/>
        <v>4.9795199999999999</v>
      </c>
      <c r="AU79" s="11">
        <f t="shared" si="29"/>
        <v>60.932088000000007</v>
      </c>
      <c r="AV79" s="11">
        <f t="shared" si="51"/>
        <v>8.1722457960081707E-2</v>
      </c>
      <c r="AW79" s="11"/>
      <c r="AX79" s="11">
        <f t="shared" si="53"/>
        <v>0.53434143600975281</v>
      </c>
      <c r="AZ79" s="11">
        <f t="shared" si="30"/>
        <v>45.447696000000008</v>
      </c>
      <c r="BA79" s="11">
        <f t="shared" si="31"/>
        <v>1.7332560000000001</v>
      </c>
      <c r="BB79" s="11">
        <f t="shared" si="32"/>
        <v>15.484392000000003</v>
      </c>
      <c r="BC79" s="11"/>
      <c r="BD79" s="11">
        <f t="shared" si="33"/>
        <v>10.026072000000001</v>
      </c>
      <c r="BE79" s="11">
        <f t="shared" si="34"/>
        <v>0.19152000000000002</v>
      </c>
      <c r="BF79" s="11">
        <f t="shared" si="35"/>
        <v>6.454224</v>
      </c>
      <c r="BG79" s="11">
        <f t="shared" si="36"/>
        <v>10.935792000000001</v>
      </c>
      <c r="BH79" s="11">
        <f t="shared" si="37"/>
        <v>3.3324479999999999</v>
      </c>
      <c r="BI79" s="11">
        <f t="shared" si="38"/>
        <v>1.6470720000000001</v>
      </c>
      <c r="BJ79">
        <f t="shared" si="39"/>
        <v>95.76</v>
      </c>
    </row>
    <row r="80" spans="17:75">
      <c r="Q80" s="2">
        <v>5.7999999999999996E-3</v>
      </c>
      <c r="R80" s="2">
        <v>2640</v>
      </c>
      <c r="S80">
        <v>0.60099133910726199</v>
      </c>
      <c r="T80">
        <v>0.92900866089273804</v>
      </c>
      <c r="U80" s="2">
        <v>2.86</v>
      </c>
      <c r="X80" s="2">
        <v>4.25</v>
      </c>
      <c r="AA80">
        <f>100*18*S80/($Q80*$R80*AA$3)</f>
        <v>1.8171047801550717</v>
      </c>
      <c r="AB80">
        <f>100*18*T80/($Q80*$R80*AB$3)</f>
        <v>1.6224599479873045</v>
      </c>
      <c r="AC80">
        <f t="shared" ref="AC80" si="58">AA80+AB80</f>
        <v>3.4395647281423765</v>
      </c>
      <c r="AD80">
        <f>(AC80-X80)^2</f>
        <v>0.6568053298709402</v>
      </c>
      <c r="AH80" s="2">
        <v>47.46</v>
      </c>
      <c r="AI80" s="2">
        <v>1.81</v>
      </c>
      <c r="AJ80" s="2">
        <v>16.170000000000002</v>
      </c>
      <c r="AL80" s="2">
        <v>10.47</v>
      </c>
      <c r="AM80" s="2">
        <v>0.2</v>
      </c>
      <c r="AN80" s="2">
        <v>6.74</v>
      </c>
      <c r="AO80" s="2">
        <v>11.42</v>
      </c>
      <c r="AP80" s="2">
        <v>3.48</v>
      </c>
      <c r="AQ80" s="2">
        <v>1.72</v>
      </c>
      <c r="AR80" s="2"/>
      <c r="AT80" s="11">
        <f t="shared" si="50"/>
        <v>4.9789999999999992</v>
      </c>
      <c r="AU80" s="11">
        <f t="shared" si="29"/>
        <v>60.925725000000007</v>
      </c>
      <c r="AV80" s="11">
        <f t="shared" si="51"/>
        <v>8.1722457960081707E-2</v>
      </c>
      <c r="AW80" s="11">
        <f t="shared" si="52"/>
        <v>-0.81043527185762354</v>
      </c>
      <c r="AX80" s="11">
        <f t="shared" si="53"/>
        <v>0.53434143600975281</v>
      </c>
      <c r="AZ80" s="11">
        <f t="shared" si="30"/>
        <v>45.442950000000003</v>
      </c>
      <c r="BA80" s="11">
        <f t="shared" si="31"/>
        <v>1.7330750000000001</v>
      </c>
      <c r="BB80" s="11">
        <f t="shared" si="32"/>
        <v>15.482775000000002</v>
      </c>
      <c r="BC80" s="11"/>
      <c r="BD80" s="11">
        <f t="shared" si="33"/>
        <v>10.025025000000001</v>
      </c>
      <c r="BE80" s="11">
        <f t="shared" si="34"/>
        <v>0.19150000000000003</v>
      </c>
      <c r="BF80" s="11">
        <f t="shared" si="35"/>
        <v>6.4535499999999999</v>
      </c>
      <c r="BG80" s="11">
        <f t="shared" si="36"/>
        <v>10.93465</v>
      </c>
      <c r="BH80" s="11">
        <f t="shared" si="37"/>
        <v>3.3320999999999996</v>
      </c>
      <c r="BI80" s="11">
        <f t="shared" si="38"/>
        <v>1.6469</v>
      </c>
      <c r="BJ80">
        <f t="shared" si="39"/>
        <v>95.75</v>
      </c>
      <c r="BU80">
        <f>U80*63/$BU$2</f>
        <v>3.4727947367320131</v>
      </c>
      <c r="BV80">
        <f>(BU80-X80)^2</f>
        <v>0.60404802125146084</v>
      </c>
      <c r="BW80">
        <f t="shared" si="54"/>
        <v>-0.77720526326798689</v>
      </c>
    </row>
    <row r="81" spans="17:75">
      <c r="Q81" s="2">
        <v>2.0799999999999999E-2</v>
      </c>
      <c r="R81" s="2">
        <v>2607</v>
      </c>
      <c r="U81" s="2"/>
      <c r="X81" s="1">
        <v>5.19</v>
      </c>
      <c r="AH81" s="2">
        <v>47.46</v>
      </c>
      <c r="AI81" s="2">
        <v>1.81</v>
      </c>
      <c r="AJ81" s="2">
        <v>16.170000000000002</v>
      </c>
      <c r="AL81" s="2">
        <v>10.47</v>
      </c>
      <c r="AM81" s="2">
        <v>0.2</v>
      </c>
      <c r="AN81" s="2">
        <v>6.74</v>
      </c>
      <c r="AO81" s="2">
        <v>11.42</v>
      </c>
      <c r="AP81" s="2">
        <v>3.48</v>
      </c>
      <c r="AQ81" s="2">
        <v>1.72</v>
      </c>
      <c r="AR81" s="2"/>
      <c r="AT81" s="11">
        <f t="shared" si="50"/>
        <v>4.9301200000000005</v>
      </c>
      <c r="AU81" s="11">
        <f t="shared" si="29"/>
        <v>60.327603000000003</v>
      </c>
      <c r="AV81" s="11">
        <f t="shared" si="51"/>
        <v>8.1722457960081721E-2</v>
      </c>
      <c r="AW81" s="11"/>
      <c r="AX81" s="11">
        <f t="shared" si="53"/>
        <v>0.53434143600975281</v>
      </c>
      <c r="AZ81" s="11">
        <f t="shared" si="30"/>
        <v>44.996825999999999</v>
      </c>
      <c r="BA81" s="11">
        <f t="shared" si="31"/>
        <v>1.7160610000000001</v>
      </c>
      <c r="BB81" s="11">
        <f t="shared" si="32"/>
        <v>15.330777000000003</v>
      </c>
      <c r="BC81" s="11"/>
      <c r="BD81" s="11">
        <f t="shared" si="33"/>
        <v>9.9266070000000006</v>
      </c>
      <c r="BE81" s="11">
        <f t="shared" si="34"/>
        <v>0.18962000000000001</v>
      </c>
      <c r="BF81" s="11">
        <f t="shared" si="35"/>
        <v>6.3901940000000002</v>
      </c>
      <c r="BG81" s="11">
        <f t="shared" si="36"/>
        <v>10.827302</v>
      </c>
      <c r="BH81" s="11">
        <f t="shared" si="37"/>
        <v>3.299388</v>
      </c>
      <c r="BI81" s="11">
        <f t="shared" si="38"/>
        <v>1.6307320000000001</v>
      </c>
      <c r="BJ81">
        <f t="shared" si="39"/>
        <v>94.81</v>
      </c>
    </row>
    <row r="82" spans="17:75">
      <c r="Q82" s="2">
        <v>3.8999999999999998E-3</v>
      </c>
      <c r="R82" s="2">
        <v>2607</v>
      </c>
      <c r="S82">
        <v>0.72228838889801283</v>
      </c>
      <c r="T82">
        <v>0.7047116111019871</v>
      </c>
      <c r="U82" s="2">
        <v>4.01</v>
      </c>
      <c r="X82" s="2">
        <v>5.2</v>
      </c>
      <c r="AA82">
        <f t="shared" ref="AA82:AB84" si="59">100*18*S82/($Q82*$R82*AA$3)</f>
        <v>3.2888848865436215</v>
      </c>
      <c r="AB82">
        <f t="shared" si="59"/>
        <v>1.8534971867792454</v>
      </c>
      <c r="AC82">
        <f t="shared" ref="AC82:AC83" si="60">AA82+AB82</f>
        <v>5.1423820733228673</v>
      </c>
      <c r="AD82">
        <f>(AC82-X82)^2</f>
        <v>3.3198254745714557E-3</v>
      </c>
      <c r="AH82" s="2">
        <v>47.46</v>
      </c>
      <c r="AI82" s="2">
        <v>1.81</v>
      </c>
      <c r="AJ82" s="2">
        <v>16.170000000000002</v>
      </c>
      <c r="AL82" s="2">
        <v>10.47</v>
      </c>
      <c r="AM82" s="2">
        <v>0.2</v>
      </c>
      <c r="AN82" s="2">
        <v>6.74</v>
      </c>
      <c r="AO82" s="2">
        <v>11.42</v>
      </c>
      <c r="AP82" s="2">
        <v>3.48</v>
      </c>
      <c r="AQ82" s="2">
        <v>1.72</v>
      </c>
      <c r="AR82" s="2"/>
      <c r="AT82" s="11">
        <f t="shared" si="50"/>
        <v>4.9295999999999998</v>
      </c>
      <c r="AU82" s="11">
        <f t="shared" si="29"/>
        <v>60.321239999999996</v>
      </c>
      <c r="AV82" s="11">
        <f t="shared" si="51"/>
        <v>8.1722457960081721E-2</v>
      </c>
      <c r="AW82" s="11">
        <f t="shared" si="52"/>
        <v>-5.7617926677132836E-2</v>
      </c>
      <c r="AX82" s="11">
        <f t="shared" si="53"/>
        <v>0.53434143600975281</v>
      </c>
      <c r="AZ82" s="11">
        <f t="shared" si="30"/>
        <v>44.992079999999994</v>
      </c>
      <c r="BA82" s="11">
        <f t="shared" si="31"/>
        <v>1.7158799999999998</v>
      </c>
      <c r="BB82" s="11">
        <f t="shared" si="32"/>
        <v>15.329160000000002</v>
      </c>
      <c r="BC82" s="11"/>
      <c r="BD82" s="11">
        <f t="shared" si="33"/>
        <v>9.9255600000000008</v>
      </c>
      <c r="BE82" s="11">
        <f t="shared" si="34"/>
        <v>0.18960000000000002</v>
      </c>
      <c r="BF82" s="11">
        <f t="shared" si="35"/>
        <v>6.3895200000000001</v>
      </c>
      <c r="BG82" s="11">
        <f t="shared" si="36"/>
        <v>10.82616</v>
      </c>
      <c r="BH82" s="11">
        <f t="shared" si="37"/>
        <v>3.2990399999999998</v>
      </c>
      <c r="BI82" s="11">
        <f t="shared" si="38"/>
        <v>1.6305599999999998</v>
      </c>
      <c r="BJ82">
        <f t="shared" si="39"/>
        <v>94.8</v>
      </c>
      <c r="BU82">
        <f>U82*63/$BU$2</f>
        <v>4.8691982147885922</v>
      </c>
      <c r="BV82">
        <f>(BU82-X82)^2</f>
        <v>0.10942982109905453</v>
      </c>
      <c r="BW82">
        <f t="shared" si="54"/>
        <v>-0.33080178521140802</v>
      </c>
    </row>
    <row r="83" spans="17:75">
      <c r="Q83" s="2">
        <v>5.0000000000000001E-3</v>
      </c>
      <c r="R83" s="2">
        <v>2624</v>
      </c>
      <c r="S83">
        <v>0.85422066549912423</v>
      </c>
      <c r="T83">
        <v>0.70577933450087582</v>
      </c>
      <c r="U83" s="2">
        <v>3.4</v>
      </c>
      <c r="X83" s="1">
        <v>4.53</v>
      </c>
      <c r="AA83">
        <f t="shared" si="59"/>
        <v>3.0142544906235118</v>
      </c>
      <c r="AB83">
        <f t="shared" si="59"/>
        <v>1.4385376903398059</v>
      </c>
      <c r="AC83">
        <f t="shared" si="60"/>
        <v>4.4527921809633177</v>
      </c>
      <c r="AD83">
        <f>(AC83-X83)^2</f>
        <v>5.9610473204011125E-3</v>
      </c>
      <c r="AH83" s="2">
        <v>47.46</v>
      </c>
      <c r="AI83" s="2">
        <v>1.81</v>
      </c>
      <c r="AJ83" s="2">
        <v>16.170000000000002</v>
      </c>
      <c r="AL83" s="2">
        <v>10.47</v>
      </c>
      <c r="AM83" s="2">
        <v>0.2</v>
      </c>
      <c r="AN83" s="2">
        <v>6.74</v>
      </c>
      <c r="AO83" s="2">
        <v>11.42</v>
      </c>
      <c r="AP83" s="2">
        <v>3.48</v>
      </c>
      <c r="AQ83" s="2">
        <v>1.72</v>
      </c>
      <c r="AR83" s="2"/>
      <c r="AT83" s="11">
        <f t="shared" si="50"/>
        <v>4.9644399999999997</v>
      </c>
      <c r="AU83" s="11">
        <f t="shared" si="29"/>
        <v>60.747560999999997</v>
      </c>
      <c r="AV83" s="11">
        <f t="shared" si="51"/>
        <v>8.1722457960081721E-2</v>
      </c>
      <c r="AW83" s="11">
        <f t="shared" si="52"/>
        <v>-7.7207819036682501E-2</v>
      </c>
      <c r="AX83" s="11">
        <f t="shared" si="53"/>
        <v>0.53434143600975292</v>
      </c>
      <c r="AZ83" s="11">
        <f t="shared" si="30"/>
        <v>45.310061999999995</v>
      </c>
      <c r="BA83" s="11">
        <f t="shared" si="31"/>
        <v>1.7280070000000001</v>
      </c>
      <c r="BB83" s="11">
        <f t="shared" si="32"/>
        <v>15.437499000000003</v>
      </c>
      <c r="BC83" s="11"/>
      <c r="BD83" s="11">
        <f t="shared" si="33"/>
        <v>9.9957089999999997</v>
      </c>
      <c r="BE83" s="11">
        <f t="shared" si="34"/>
        <v>0.19094</v>
      </c>
      <c r="BF83" s="11">
        <f t="shared" si="35"/>
        <v>6.4346779999999999</v>
      </c>
      <c r="BG83" s="11">
        <f t="shared" si="36"/>
        <v>10.902673999999999</v>
      </c>
      <c r="BH83" s="11">
        <f t="shared" si="37"/>
        <v>3.3223559999999996</v>
      </c>
      <c r="BI83" s="11">
        <f t="shared" si="38"/>
        <v>1.6420839999999999</v>
      </c>
      <c r="BJ83">
        <f t="shared" si="39"/>
        <v>95.47</v>
      </c>
      <c r="BU83">
        <f>U83*63/$BU$2</f>
        <v>4.1284972394716242</v>
      </c>
      <c r="BV83">
        <f>(BU83-X83)^2</f>
        <v>0.1612044667119065</v>
      </c>
    </row>
    <row r="84" spans="17:75">
      <c r="Q84" s="2">
        <v>3.8E-3</v>
      </c>
      <c r="R84" s="2">
        <v>2624</v>
      </c>
      <c r="S84">
        <v>0.68921705426356594</v>
      </c>
      <c r="T84">
        <v>0.63778294573643401</v>
      </c>
      <c r="U84" s="2">
        <v>3.81</v>
      </c>
      <c r="X84" s="2">
        <v>4.55</v>
      </c>
      <c r="AA84">
        <f t="shared" si="59"/>
        <v>3.2000168549052859</v>
      </c>
      <c r="AB84">
        <f t="shared" si="59"/>
        <v>1.7104548584741024</v>
      </c>
      <c r="AC84">
        <f t="shared" ref="AC84" si="61">AA84+AB84</f>
        <v>4.9104717133793887</v>
      </c>
      <c r="AD84">
        <f>(AC84-X84)^2</f>
        <v>0.12993985614667228</v>
      </c>
      <c r="AH84" s="2">
        <v>47.46</v>
      </c>
      <c r="AI84" s="2">
        <v>1.81</v>
      </c>
      <c r="AJ84" s="2">
        <v>16.170000000000002</v>
      </c>
      <c r="AL84" s="2">
        <v>10.47</v>
      </c>
      <c r="AM84" s="2">
        <v>0.2</v>
      </c>
      <c r="AN84" s="2">
        <v>6.74</v>
      </c>
      <c r="AO84" s="2">
        <v>11.42</v>
      </c>
      <c r="AP84" s="2">
        <v>3.48</v>
      </c>
      <c r="AQ84" s="2">
        <v>1.72</v>
      </c>
      <c r="AR84" s="2"/>
      <c r="AT84" s="11">
        <f t="shared" si="50"/>
        <v>4.9634</v>
      </c>
      <c r="AU84" s="11">
        <f t="shared" si="29"/>
        <v>60.734835000000004</v>
      </c>
      <c r="AV84" s="11">
        <f t="shared" si="51"/>
        <v>8.1722457960081721E-2</v>
      </c>
      <c r="AW84" s="11">
        <f t="shared" si="52"/>
        <v>0.36047171337938888</v>
      </c>
      <c r="AX84" s="11">
        <f t="shared" si="53"/>
        <v>0.53434143600975281</v>
      </c>
      <c r="AZ84" s="11">
        <f t="shared" si="30"/>
        <v>45.30057</v>
      </c>
      <c r="BA84" s="11">
        <f t="shared" si="31"/>
        <v>1.7276449999999999</v>
      </c>
      <c r="BB84" s="11">
        <f t="shared" si="32"/>
        <v>15.434265000000003</v>
      </c>
      <c r="BC84" s="11"/>
      <c r="BD84" s="11">
        <f t="shared" si="33"/>
        <v>9.9936150000000001</v>
      </c>
      <c r="BE84" s="11">
        <f t="shared" si="34"/>
        <v>0.19089999999999999</v>
      </c>
      <c r="BF84" s="11">
        <f t="shared" si="35"/>
        <v>6.4333300000000007</v>
      </c>
      <c r="BG84" s="11">
        <f t="shared" si="36"/>
        <v>10.90039</v>
      </c>
      <c r="BH84" s="11">
        <f t="shared" si="37"/>
        <v>3.3216600000000001</v>
      </c>
      <c r="BI84" s="11">
        <f t="shared" si="38"/>
        <v>1.64174</v>
      </c>
      <c r="BJ84">
        <f t="shared" si="39"/>
        <v>95.45</v>
      </c>
      <c r="BU84">
        <f>U84*63/$BU$2</f>
        <v>4.6263454359961438</v>
      </c>
      <c r="BV84">
        <f>(BU84-X84)^2</f>
        <v>5.8286255974413139E-3</v>
      </c>
      <c r="BW84">
        <f t="shared" si="54"/>
        <v>7.6345435996143962E-2</v>
      </c>
    </row>
    <row r="85" spans="17:75">
      <c r="Q85" s="2">
        <v>1.9400000000000001E-2</v>
      </c>
      <c r="R85" s="2">
        <v>2680</v>
      </c>
      <c r="U85" s="2"/>
      <c r="X85" s="1">
        <v>2.33</v>
      </c>
      <c r="AH85" s="2">
        <v>48.85</v>
      </c>
      <c r="AI85" s="2">
        <v>0.83</v>
      </c>
      <c r="AJ85" s="2">
        <v>16.829999999999998</v>
      </c>
      <c r="AL85" s="2">
        <v>8.15</v>
      </c>
      <c r="AM85" s="2">
        <v>0.2</v>
      </c>
      <c r="AN85" s="2">
        <v>7.81</v>
      </c>
      <c r="AO85" s="2">
        <v>12.45</v>
      </c>
      <c r="AP85" s="2">
        <v>2.46</v>
      </c>
      <c r="AQ85" s="2">
        <v>1.99</v>
      </c>
      <c r="AR85" s="2"/>
      <c r="AT85" s="11">
        <f t="shared" si="50"/>
        <v>4.3463150000000006</v>
      </c>
      <c r="AU85" s="11">
        <f t="shared" si="29"/>
        <v>64.149655999999993</v>
      </c>
      <c r="AV85" s="11">
        <f t="shared" si="51"/>
        <v>6.7752740560292346E-2</v>
      </c>
      <c r="AW85" s="11"/>
      <c r="AX85" s="11">
        <f t="shared" si="53"/>
        <v>0.63074716510273066</v>
      </c>
      <c r="AZ85" s="11">
        <f t="shared" si="30"/>
        <v>47.711795000000002</v>
      </c>
      <c r="BA85" s="11">
        <f t="shared" si="31"/>
        <v>0.81066099999999996</v>
      </c>
      <c r="BB85" s="11">
        <f t="shared" si="32"/>
        <v>16.437860999999998</v>
      </c>
      <c r="BC85" s="11"/>
      <c r="BD85" s="11">
        <f t="shared" si="33"/>
        <v>7.9601050000000013</v>
      </c>
      <c r="BE85" s="11">
        <f t="shared" si="34"/>
        <v>0.19534000000000001</v>
      </c>
      <c r="BF85" s="11">
        <f t="shared" si="35"/>
        <v>7.6280269999999994</v>
      </c>
      <c r="BG85" s="11">
        <f t="shared" si="36"/>
        <v>12.159914999999998</v>
      </c>
      <c r="BH85" s="11">
        <f t="shared" si="37"/>
        <v>2.402682</v>
      </c>
      <c r="BI85" s="11">
        <f t="shared" si="38"/>
        <v>1.9436330000000002</v>
      </c>
      <c r="BJ85">
        <f t="shared" si="39"/>
        <v>97.67</v>
      </c>
    </row>
    <row r="86" spans="17:75">
      <c r="Q86" s="2">
        <v>6.7999999999999996E-3</v>
      </c>
      <c r="R86" s="2">
        <v>2680</v>
      </c>
      <c r="S86">
        <v>0.41462728551336148</v>
      </c>
      <c r="T86">
        <v>0.98537271448663843</v>
      </c>
      <c r="U86" s="2">
        <v>2.2000000000000002</v>
      </c>
      <c r="X86" s="2">
        <v>2.37</v>
      </c>
      <c r="AA86">
        <f>100*18*S86/($Q86*$R86*AA$3)</f>
        <v>1.0533139829992564</v>
      </c>
      <c r="AB86">
        <f>100*18*T86/($Q86*$R86*AB$3)</f>
        <v>1.4459156812100433</v>
      </c>
      <c r="AC86">
        <f t="shared" ref="AC86" si="62">AA86+AB86</f>
        <v>2.4992296642092997</v>
      </c>
      <c r="AD86">
        <f>(AC86-X86)^2</f>
        <v>1.6700306111648331E-2</v>
      </c>
      <c r="AH86" s="2">
        <v>48.85</v>
      </c>
      <c r="AI86" s="2">
        <v>0.83</v>
      </c>
      <c r="AJ86" s="2">
        <v>16.829999999999998</v>
      </c>
      <c r="AL86" s="2">
        <v>8.15</v>
      </c>
      <c r="AM86" s="2">
        <v>0.2</v>
      </c>
      <c r="AN86" s="2">
        <v>7.81</v>
      </c>
      <c r="AO86" s="2">
        <v>12.45</v>
      </c>
      <c r="AP86" s="2">
        <v>2.46</v>
      </c>
      <c r="AQ86" s="2">
        <v>1.99</v>
      </c>
      <c r="AR86" s="2"/>
      <c r="AT86" s="11">
        <f t="shared" si="50"/>
        <v>4.3445349999999996</v>
      </c>
      <c r="AU86" s="11">
        <f t="shared" si="29"/>
        <v>64.123383999999987</v>
      </c>
      <c r="AV86" s="11">
        <f t="shared" si="51"/>
        <v>6.7752740560292332E-2</v>
      </c>
      <c r="AW86" s="11">
        <f t="shared" si="52"/>
        <v>0.1292296642092996</v>
      </c>
      <c r="AX86" s="11">
        <f t="shared" si="53"/>
        <v>0.63074716510273077</v>
      </c>
      <c r="AZ86" s="11">
        <f t="shared" si="30"/>
        <v>47.692254999999996</v>
      </c>
      <c r="BA86" s="11">
        <f t="shared" si="31"/>
        <v>0.81032899999999997</v>
      </c>
      <c r="BB86" s="11">
        <f t="shared" si="32"/>
        <v>16.431128999999999</v>
      </c>
      <c r="BC86" s="11"/>
      <c r="BD86" s="11">
        <f t="shared" si="33"/>
        <v>7.9568449999999995</v>
      </c>
      <c r="BE86" s="11">
        <f t="shared" si="34"/>
        <v>0.19525999999999999</v>
      </c>
      <c r="BF86" s="11">
        <f t="shared" si="35"/>
        <v>7.6249029999999998</v>
      </c>
      <c r="BG86" s="11">
        <f t="shared" si="36"/>
        <v>12.154934999999998</v>
      </c>
      <c r="BH86" s="11">
        <f t="shared" si="37"/>
        <v>2.4016979999999997</v>
      </c>
      <c r="BI86" s="11">
        <f t="shared" si="38"/>
        <v>1.9428369999999999</v>
      </c>
      <c r="BJ86">
        <f t="shared" si="39"/>
        <v>97.63</v>
      </c>
      <c r="BU86">
        <f>U86*63/$BU$2</f>
        <v>2.6713805667169339</v>
      </c>
      <c r="BV86">
        <f>(BU86-X86)^2</f>
        <v>9.0830245994620196E-2</v>
      </c>
      <c r="BW86">
        <f t="shared" si="54"/>
        <v>0.30138056671693381</v>
      </c>
    </row>
    <row r="87" spans="17:75">
      <c r="Q87" s="2">
        <v>2.1000000000000001E-2</v>
      </c>
      <c r="R87" s="2">
        <v>2676</v>
      </c>
      <c r="U87" s="2"/>
      <c r="X87" s="1">
        <v>2.64</v>
      </c>
      <c r="AH87" s="2">
        <v>48.85</v>
      </c>
      <c r="AI87" s="2">
        <v>0.83</v>
      </c>
      <c r="AJ87" s="2">
        <v>16.829999999999998</v>
      </c>
      <c r="AL87" s="2">
        <v>8.15</v>
      </c>
      <c r="AM87" s="2">
        <v>0.2</v>
      </c>
      <c r="AN87" s="2">
        <v>7.81</v>
      </c>
      <c r="AO87" s="2">
        <v>12.45</v>
      </c>
      <c r="AP87" s="2">
        <v>2.46</v>
      </c>
      <c r="AQ87" s="2">
        <v>1.99</v>
      </c>
      <c r="AR87" s="2"/>
      <c r="AT87" s="11">
        <f t="shared" si="50"/>
        <v>4.3325199999999997</v>
      </c>
      <c r="AU87" s="11">
        <f t="shared" si="29"/>
        <v>63.946048000000005</v>
      </c>
      <c r="AV87" s="11">
        <f t="shared" si="51"/>
        <v>6.7752740560292318E-2</v>
      </c>
      <c r="AW87" s="11"/>
      <c r="AX87" s="11">
        <f t="shared" si="53"/>
        <v>0.63074716510273077</v>
      </c>
      <c r="AZ87" s="11">
        <f t="shared" si="30"/>
        <v>47.560360000000003</v>
      </c>
      <c r="BA87" s="11">
        <f t="shared" si="31"/>
        <v>0.80808799999999992</v>
      </c>
      <c r="BB87" s="11">
        <f t="shared" si="32"/>
        <v>16.385687999999998</v>
      </c>
      <c r="BC87" s="11"/>
      <c r="BD87" s="11">
        <f t="shared" si="33"/>
        <v>7.9348400000000003</v>
      </c>
      <c r="BE87" s="11">
        <f t="shared" si="34"/>
        <v>0.19472</v>
      </c>
      <c r="BF87" s="11">
        <f t="shared" si="35"/>
        <v>7.6038159999999992</v>
      </c>
      <c r="BG87" s="11">
        <f t="shared" si="36"/>
        <v>12.121319999999999</v>
      </c>
      <c r="BH87" s="11">
        <f t="shared" si="37"/>
        <v>2.3950559999999999</v>
      </c>
      <c r="BI87" s="11">
        <f t="shared" si="38"/>
        <v>1.9374639999999999</v>
      </c>
      <c r="BJ87">
        <f t="shared" si="39"/>
        <v>97.36</v>
      </c>
    </row>
    <row r="88" spans="17:75">
      <c r="Q88" s="2">
        <v>4.1999999999999997E-3</v>
      </c>
      <c r="R88" s="2">
        <v>2676</v>
      </c>
      <c r="S88">
        <v>0.35674869109947638</v>
      </c>
      <c r="T88">
        <v>0.66025130890052353</v>
      </c>
      <c r="U88" s="2">
        <v>2.59</v>
      </c>
      <c r="X88" s="2">
        <v>2.65</v>
      </c>
      <c r="AA88">
        <f>100*18*S88/($Q88*$R88*AA$3)</f>
        <v>1.4695036419591607</v>
      </c>
      <c r="AB88">
        <f>100*18*T88/($Q88*$R88*AB$3)</f>
        <v>1.5709415030620701</v>
      </c>
      <c r="AC88">
        <f t="shared" ref="AC88" si="63">AA88+AB88</f>
        <v>3.0404451450212306</v>
      </c>
      <c r="AD88">
        <f>(AC88-X88)^2</f>
        <v>0.1524474112706499</v>
      </c>
      <c r="AH88" s="2">
        <v>48.85</v>
      </c>
      <c r="AI88" s="2">
        <v>0.83</v>
      </c>
      <c r="AJ88" s="2">
        <v>16.829999999999998</v>
      </c>
      <c r="AL88" s="2">
        <v>8.15</v>
      </c>
      <c r="AM88" s="2">
        <v>0.2</v>
      </c>
      <c r="AN88" s="2">
        <v>7.81</v>
      </c>
      <c r="AO88" s="2">
        <v>12.45</v>
      </c>
      <c r="AP88" s="2">
        <v>2.46</v>
      </c>
      <c r="AQ88" s="2">
        <v>1.99</v>
      </c>
      <c r="AR88" s="2"/>
      <c r="AT88" s="11">
        <f t="shared" si="50"/>
        <v>4.3320749999999997</v>
      </c>
      <c r="AU88" s="11">
        <f t="shared" si="29"/>
        <v>63.939479999999989</v>
      </c>
      <c r="AV88" s="11">
        <f t="shared" si="51"/>
        <v>6.7752740560292332E-2</v>
      </c>
      <c r="AW88" s="11">
        <f t="shared" si="52"/>
        <v>0.39044514502123073</v>
      </c>
      <c r="AX88" s="11">
        <f t="shared" si="53"/>
        <v>0.63074716510273066</v>
      </c>
      <c r="AZ88" s="11">
        <f t="shared" si="30"/>
        <v>47.555474999999994</v>
      </c>
      <c r="BA88" s="11">
        <f t="shared" si="31"/>
        <v>0.80800499999999986</v>
      </c>
      <c r="BB88" s="11">
        <f t="shared" si="32"/>
        <v>16.384004999999998</v>
      </c>
      <c r="BC88" s="11"/>
      <c r="BD88" s="11">
        <f t="shared" si="33"/>
        <v>7.9340250000000001</v>
      </c>
      <c r="BE88" s="11">
        <f t="shared" si="34"/>
        <v>0.19469999999999998</v>
      </c>
      <c r="BF88" s="11">
        <f t="shared" si="35"/>
        <v>7.6030349999999984</v>
      </c>
      <c r="BG88" s="11">
        <f t="shared" si="36"/>
        <v>12.120075</v>
      </c>
      <c r="BH88" s="11">
        <f t="shared" si="37"/>
        <v>2.3948100000000001</v>
      </c>
      <c r="BI88" s="11">
        <f t="shared" si="38"/>
        <v>1.9372649999999998</v>
      </c>
      <c r="BJ88">
        <f t="shared" si="39"/>
        <v>97.35</v>
      </c>
      <c r="BU88">
        <f>U88*63/$BU$2</f>
        <v>3.1449434853622078</v>
      </c>
      <c r="BV88">
        <f>(BU88-X88)^2</f>
        <v>0.24496905370249009</v>
      </c>
      <c r="BW88">
        <f t="shared" si="54"/>
        <v>0.49494348536220789</v>
      </c>
    </row>
    <row r="89" spans="17:75">
      <c r="Q89" s="2">
        <v>1.8700000000000001E-2</v>
      </c>
      <c r="R89" s="2">
        <v>2634</v>
      </c>
      <c r="U89" s="2"/>
      <c r="X89" s="1">
        <v>4.16</v>
      </c>
      <c r="AH89" s="2">
        <v>48.85</v>
      </c>
      <c r="AI89" s="2">
        <v>0.83</v>
      </c>
      <c r="AJ89" s="2">
        <v>16.829999999999998</v>
      </c>
      <c r="AL89" s="2">
        <v>8.15</v>
      </c>
      <c r="AM89" s="2">
        <v>0.2</v>
      </c>
      <c r="AN89" s="2">
        <v>7.81</v>
      </c>
      <c r="AO89" s="2">
        <v>12.45</v>
      </c>
      <c r="AP89" s="2">
        <v>2.46</v>
      </c>
      <c r="AQ89" s="2">
        <v>1.99</v>
      </c>
      <c r="AR89" s="2"/>
      <c r="AT89" s="11">
        <f t="shared" si="50"/>
        <v>4.2648799999999998</v>
      </c>
      <c r="AU89" s="11">
        <f t="shared" si="29"/>
        <v>62.947712000000003</v>
      </c>
      <c r="AV89" s="11">
        <f t="shared" si="51"/>
        <v>6.7752740560292318E-2</v>
      </c>
      <c r="AW89" s="11"/>
      <c r="AX89" s="11">
        <f t="shared" si="53"/>
        <v>0.63074716510273077</v>
      </c>
      <c r="AZ89" s="11">
        <f t="shared" si="30"/>
        <v>46.817840000000004</v>
      </c>
      <c r="BA89" s="11">
        <f t="shared" si="31"/>
        <v>0.79547200000000007</v>
      </c>
      <c r="BB89" s="11">
        <f t="shared" si="32"/>
        <v>16.129871999999999</v>
      </c>
      <c r="BC89" s="11"/>
      <c r="BD89" s="11">
        <f t="shared" si="33"/>
        <v>7.8109600000000015</v>
      </c>
      <c r="BE89" s="11">
        <f t="shared" si="34"/>
        <v>0.19168000000000002</v>
      </c>
      <c r="BF89" s="11">
        <f t="shared" si="35"/>
        <v>7.4851039999999998</v>
      </c>
      <c r="BG89" s="11">
        <f t="shared" si="36"/>
        <v>11.932080000000001</v>
      </c>
      <c r="BH89" s="11">
        <f t="shared" si="37"/>
        <v>2.3576640000000002</v>
      </c>
      <c r="BI89" s="11">
        <f t="shared" si="38"/>
        <v>1.907216</v>
      </c>
      <c r="BJ89">
        <f t="shared" si="39"/>
        <v>95.84</v>
      </c>
    </row>
    <row r="90" spans="17:75">
      <c r="Q90" s="2">
        <v>4.8999999999999998E-3</v>
      </c>
      <c r="R90" s="2">
        <v>2634</v>
      </c>
      <c r="S90">
        <v>0.50431348425196854</v>
      </c>
      <c r="T90">
        <v>0.80668651574803141</v>
      </c>
      <c r="U90" s="2">
        <v>2.91</v>
      </c>
      <c r="X90" s="2">
        <v>4.0999999999999996</v>
      </c>
      <c r="AA90">
        <f>100*18*S90/($Q90*$R90*AA$3)</f>
        <v>1.8089743446348785</v>
      </c>
      <c r="AB90">
        <f>100*18*T90/($Q90*$R90*AB$3)</f>
        <v>1.6713949632529357</v>
      </c>
      <c r="AC90">
        <f t="shared" ref="AC90" si="64">AA90+AB90</f>
        <v>3.4803693078878144</v>
      </c>
      <c r="AD90">
        <f>(AC90-X90)^2</f>
        <v>0.38394219460742568</v>
      </c>
      <c r="AH90" s="2">
        <v>48.85</v>
      </c>
      <c r="AI90" s="2">
        <v>0.83</v>
      </c>
      <c r="AJ90" s="2">
        <v>16.829999999999998</v>
      </c>
      <c r="AL90" s="2">
        <v>8.15</v>
      </c>
      <c r="AM90" s="2">
        <v>0.2</v>
      </c>
      <c r="AN90" s="2">
        <v>7.81</v>
      </c>
      <c r="AO90" s="2">
        <v>12.45</v>
      </c>
      <c r="AP90" s="2">
        <v>2.46</v>
      </c>
      <c r="AQ90" s="2">
        <v>1.99</v>
      </c>
      <c r="AR90" s="2"/>
      <c r="AT90" s="11">
        <f t="shared" si="50"/>
        <v>4.26755</v>
      </c>
      <c r="AU90" s="11">
        <f t="shared" si="29"/>
        <v>62.987119999999997</v>
      </c>
      <c r="AV90" s="11">
        <f t="shared" si="51"/>
        <v>6.7752740560292332E-2</v>
      </c>
      <c r="AW90" s="11">
        <f t="shared" si="52"/>
        <v>-0.61963069211218524</v>
      </c>
      <c r="AX90" s="11">
        <f t="shared" si="53"/>
        <v>0.63074716510273077</v>
      </c>
      <c r="AZ90" s="11">
        <f t="shared" si="30"/>
        <v>46.847149999999999</v>
      </c>
      <c r="BA90" s="11">
        <f t="shared" si="31"/>
        <v>0.79596999999999996</v>
      </c>
      <c r="BB90" s="11">
        <f t="shared" si="32"/>
        <v>16.139969999999998</v>
      </c>
      <c r="BC90" s="11"/>
      <c r="BD90" s="11">
        <f t="shared" si="33"/>
        <v>7.8158500000000002</v>
      </c>
      <c r="BE90" s="11">
        <f t="shared" si="34"/>
        <v>0.19180000000000003</v>
      </c>
      <c r="BF90" s="11">
        <f t="shared" si="35"/>
        <v>7.4897900000000002</v>
      </c>
      <c r="BG90" s="11">
        <f t="shared" si="36"/>
        <v>11.939549999999999</v>
      </c>
      <c r="BH90" s="11">
        <f t="shared" si="37"/>
        <v>2.35914</v>
      </c>
      <c r="BI90" s="11">
        <f t="shared" si="38"/>
        <v>1.9084100000000002</v>
      </c>
      <c r="BJ90">
        <f t="shared" si="39"/>
        <v>95.9</v>
      </c>
      <c r="BU90">
        <f t="shared" ref="BU90" si="65">U90*63/$BU$2</f>
        <v>3.5335079314301261</v>
      </c>
      <c r="BV90">
        <f t="shared" ref="BV90" si="66">(BU90-X90)^2</f>
        <v>0.32091326375257434</v>
      </c>
      <c r="BW90">
        <f t="shared" si="54"/>
        <v>-0.56649206856987355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F06FB-597A-9F41-8826-8FD3EC72B73F}">
  <dimension ref="A1:R140"/>
  <sheetViews>
    <sheetView topLeftCell="C108" workbookViewId="0">
      <selection activeCell="M121" sqref="M121"/>
    </sheetView>
  </sheetViews>
  <sheetFormatPr baseColWidth="10" defaultRowHeight="16"/>
  <cols>
    <col min="8" max="8" width="14.1640625" bestFit="1" customWidth="1"/>
  </cols>
  <sheetData>
    <row r="1" spans="1:12">
      <c r="A1" s="12" t="s">
        <v>327</v>
      </c>
      <c r="B1" s="12" t="s">
        <v>328</v>
      </c>
      <c r="C1" s="13"/>
      <c r="D1" s="12" t="s">
        <v>329</v>
      </c>
      <c r="E1" s="12"/>
      <c r="F1" s="13"/>
      <c r="G1" s="12" t="s">
        <v>330</v>
      </c>
      <c r="H1" s="12" t="s">
        <v>331</v>
      </c>
      <c r="I1" s="12" t="s">
        <v>332</v>
      </c>
      <c r="J1" s="12" t="s">
        <v>333</v>
      </c>
      <c r="K1" s="12" t="s">
        <v>334</v>
      </c>
      <c r="L1" s="12" t="s">
        <v>335</v>
      </c>
    </row>
    <row r="2" spans="1:12">
      <c r="A2" s="12" t="s">
        <v>336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>
      <c r="A3" s="12" t="s">
        <v>337</v>
      </c>
      <c r="B3" s="14" t="s">
        <v>338</v>
      </c>
      <c r="C3" s="13"/>
      <c r="D3" s="14">
        <v>18.02</v>
      </c>
      <c r="E3" s="14"/>
      <c r="F3" s="14">
        <v>7.55</v>
      </c>
      <c r="G3" s="14">
        <v>6.96</v>
      </c>
      <c r="H3" s="14">
        <v>9.65</v>
      </c>
      <c r="I3" s="14">
        <v>3.76</v>
      </c>
      <c r="J3" s="14">
        <v>1.23</v>
      </c>
      <c r="K3" s="14">
        <v>0.52</v>
      </c>
      <c r="L3" s="14">
        <v>65</v>
      </c>
    </row>
    <row r="4" spans="1:12">
      <c r="A4" s="12" t="s">
        <v>339</v>
      </c>
      <c r="B4" s="14" t="s">
        <v>340</v>
      </c>
      <c r="C4" s="13"/>
      <c r="D4" s="14">
        <v>17.579999999999998</v>
      </c>
      <c r="E4" s="14"/>
      <c r="F4" s="14">
        <v>7.85</v>
      </c>
      <c r="G4" s="14">
        <v>4.4400000000000004</v>
      </c>
      <c r="H4" s="14">
        <v>8.32</v>
      </c>
      <c r="I4" s="14">
        <v>4.78</v>
      </c>
      <c r="J4" s="14">
        <v>2.16</v>
      </c>
      <c r="K4" s="14">
        <v>0.77</v>
      </c>
      <c r="L4" s="14">
        <v>53</v>
      </c>
    </row>
    <row r="5" spans="1:12">
      <c r="A5" s="12" t="s">
        <v>341</v>
      </c>
      <c r="B5" s="14" t="s">
        <v>342</v>
      </c>
      <c r="C5" s="13"/>
      <c r="D5" s="14">
        <v>15.19</v>
      </c>
      <c r="E5" s="14"/>
      <c r="F5" s="14">
        <v>9.91</v>
      </c>
      <c r="G5" s="14">
        <v>6.86</v>
      </c>
      <c r="H5" s="14">
        <v>11.74</v>
      </c>
      <c r="I5" s="14">
        <v>3.26</v>
      </c>
      <c r="J5" s="14">
        <v>0.22</v>
      </c>
      <c r="K5" s="14">
        <v>0.25</v>
      </c>
      <c r="L5" s="14">
        <v>58</v>
      </c>
    </row>
    <row r="6" spans="1:12">
      <c r="A6" s="12" t="s">
        <v>343</v>
      </c>
      <c r="B6" s="14" t="s">
        <v>344</v>
      </c>
      <c r="C6" s="13"/>
      <c r="D6" s="14">
        <v>16.7</v>
      </c>
      <c r="E6" s="14"/>
      <c r="F6" s="14">
        <v>9.2100000000000009</v>
      </c>
      <c r="G6" s="14">
        <v>6.75</v>
      </c>
      <c r="H6" s="14">
        <v>10.74</v>
      </c>
      <c r="I6" s="14">
        <v>3.1</v>
      </c>
      <c r="J6" s="14">
        <v>0.73</v>
      </c>
      <c r="K6" s="14">
        <v>0.3</v>
      </c>
      <c r="L6" s="14">
        <v>59</v>
      </c>
    </row>
    <row r="7" spans="1:12">
      <c r="A7" s="12" t="s">
        <v>345</v>
      </c>
      <c r="B7" s="14" t="s">
        <v>346</v>
      </c>
      <c r="C7" s="13"/>
      <c r="D7" s="14">
        <v>17.8</v>
      </c>
      <c r="E7" s="14"/>
      <c r="F7" s="14">
        <v>8.18</v>
      </c>
      <c r="G7" s="14">
        <v>7.69</v>
      </c>
      <c r="H7" s="14">
        <v>10.48</v>
      </c>
      <c r="I7" s="14">
        <v>3.38</v>
      </c>
      <c r="J7" s="14">
        <v>0.76</v>
      </c>
      <c r="K7" s="14">
        <v>0.39</v>
      </c>
      <c r="L7" s="14">
        <v>65</v>
      </c>
    </row>
    <row r="8" spans="1:12">
      <c r="A8" s="12" t="s">
        <v>347</v>
      </c>
      <c r="B8" s="14" t="s">
        <v>348</v>
      </c>
      <c r="C8" s="13"/>
      <c r="D8" s="14">
        <v>14.52</v>
      </c>
      <c r="E8" s="14"/>
      <c r="F8" s="14">
        <v>10.65</v>
      </c>
      <c r="G8" s="14">
        <v>7.72</v>
      </c>
      <c r="H8" s="14">
        <v>12.59</v>
      </c>
      <c r="I8" s="14">
        <v>2.23</v>
      </c>
      <c r="J8" s="14">
        <v>0.06</v>
      </c>
      <c r="K8" s="14">
        <v>0.12</v>
      </c>
      <c r="L8" s="14">
        <v>59</v>
      </c>
    </row>
    <row r="9" spans="1:12">
      <c r="A9" s="12" t="s">
        <v>349</v>
      </c>
      <c r="B9" s="14" t="s">
        <v>350</v>
      </c>
      <c r="C9" s="13"/>
      <c r="D9" s="14">
        <v>17.8</v>
      </c>
      <c r="E9" s="14"/>
      <c r="F9" s="14">
        <v>7.78</v>
      </c>
      <c r="G9" s="14">
        <v>6.96</v>
      </c>
      <c r="H9" s="14">
        <v>9.6999999999999993</v>
      </c>
      <c r="I9" s="14">
        <v>3.69</v>
      </c>
      <c r="J9" s="14">
        <v>1.19</v>
      </c>
      <c r="K9" s="14">
        <v>0.54</v>
      </c>
      <c r="L9" s="14">
        <v>64</v>
      </c>
    </row>
    <row r="10" spans="1:12">
      <c r="A10" s="12" t="s">
        <v>351</v>
      </c>
      <c r="B10" s="14" t="s">
        <v>352</v>
      </c>
      <c r="C10" s="13"/>
      <c r="D10" s="14">
        <v>16.18</v>
      </c>
      <c r="E10" s="14"/>
      <c r="F10" s="14">
        <v>8.98</v>
      </c>
      <c r="G10" s="14">
        <v>8.23</v>
      </c>
      <c r="H10" s="14">
        <v>12.23</v>
      </c>
      <c r="I10" s="14">
        <v>2.56</v>
      </c>
      <c r="J10" s="14">
        <v>0.05</v>
      </c>
      <c r="K10" s="14">
        <v>0.1</v>
      </c>
      <c r="L10" s="14">
        <v>64</v>
      </c>
    </row>
    <row r="11" spans="1:12">
      <c r="A11" s="12" t="s">
        <v>353</v>
      </c>
      <c r="B11" s="14" t="s">
        <v>354</v>
      </c>
      <c r="C11" s="13"/>
      <c r="D11" s="14">
        <v>15.44</v>
      </c>
      <c r="E11" s="14"/>
      <c r="F11" s="14">
        <v>9.66</v>
      </c>
      <c r="G11" s="14">
        <v>7.68</v>
      </c>
      <c r="H11" s="14">
        <v>12</v>
      </c>
      <c r="I11" s="14">
        <v>2.79</v>
      </c>
      <c r="J11" s="14">
        <v>0.11</v>
      </c>
      <c r="K11" s="14">
        <v>0.13</v>
      </c>
      <c r="L11" s="14">
        <v>61</v>
      </c>
    </row>
    <row r="12" spans="1:12">
      <c r="A12" s="12" t="s">
        <v>355</v>
      </c>
      <c r="B12" s="14" t="s">
        <v>356</v>
      </c>
      <c r="C12" s="13"/>
      <c r="D12" s="14">
        <v>15.13</v>
      </c>
      <c r="E12" s="14"/>
      <c r="F12" s="14">
        <v>9.75</v>
      </c>
      <c r="G12" s="14">
        <v>7.14</v>
      </c>
      <c r="H12" s="14">
        <v>11.79</v>
      </c>
      <c r="I12" s="14">
        <v>2.9</v>
      </c>
      <c r="J12" s="14">
        <v>0.27</v>
      </c>
      <c r="K12" s="14">
        <v>0.17</v>
      </c>
      <c r="L12" s="14">
        <v>59</v>
      </c>
    </row>
    <row r="13" spans="1:12">
      <c r="A13" s="12" t="s">
        <v>357</v>
      </c>
      <c r="B13" s="14" t="s">
        <v>358</v>
      </c>
      <c r="C13" s="13"/>
      <c r="D13" s="14">
        <v>14.76</v>
      </c>
      <c r="E13" s="14"/>
      <c r="F13" s="14">
        <v>10.31</v>
      </c>
      <c r="G13" s="14">
        <v>6.95</v>
      </c>
      <c r="H13" s="14">
        <v>11.56</v>
      </c>
      <c r="I13" s="14">
        <v>2.42</v>
      </c>
      <c r="J13" s="14">
        <v>0.5</v>
      </c>
      <c r="K13" s="14">
        <v>0.19</v>
      </c>
      <c r="L13" s="14">
        <v>57</v>
      </c>
    </row>
    <row r="14" spans="1:12">
      <c r="A14" s="12" t="s">
        <v>359</v>
      </c>
      <c r="B14" s="14" t="s">
        <v>360</v>
      </c>
      <c r="C14" s="13"/>
      <c r="D14" s="14">
        <v>14.11</v>
      </c>
      <c r="E14" s="14"/>
      <c r="F14" s="14">
        <v>12.03</v>
      </c>
      <c r="G14" s="14">
        <v>6.58</v>
      </c>
      <c r="H14" s="14">
        <v>11.27</v>
      </c>
      <c r="I14" s="14">
        <v>2.84</v>
      </c>
      <c r="J14" s="14">
        <v>0.14000000000000001</v>
      </c>
      <c r="K14" s="14">
        <v>0.21</v>
      </c>
      <c r="L14" s="14">
        <v>52</v>
      </c>
    </row>
    <row r="15" spans="1:12">
      <c r="A15" s="12" t="s">
        <v>361</v>
      </c>
      <c r="B15" s="14" t="s">
        <v>362</v>
      </c>
      <c r="C15" s="13"/>
      <c r="D15" s="14">
        <v>16.8</v>
      </c>
      <c r="E15" s="14"/>
      <c r="F15" s="14">
        <v>10.15</v>
      </c>
      <c r="G15" s="14">
        <v>9.41</v>
      </c>
      <c r="H15" s="14">
        <v>11.82</v>
      </c>
      <c r="I15" s="14">
        <v>2.8</v>
      </c>
      <c r="J15" s="14">
        <v>0.03</v>
      </c>
      <c r="K15" s="14">
        <v>0.11</v>
      </c>
      <c r="L15" s="14">
        <v>63</v>
      </c>
    </row>
    <row r="16" spans="1:12">
      <c r="A16" s="12" t="s">
        <v>363</v>
      </c>
      <c r="B16" s="14" t="s">
        <v>364</v>
      </c>
      <c r="C16" s="13"/>
      <c r="D16" s="14">
        <v>14.6</v>
      </c>
      <c r="E16" s="14"/>
      <c r="F16" s="14">
        <v>11.86</v>
      </c>
      <c r="G16" s="14">
        <v>6.83</v>
      </c>
      <c r="H16" s="14">
        <v>12.03</v>
      </c>
      <c r="I16" s="14">
        <v>2.9</v>
      </c>
      <c r="J16" s="14">
        <v>0.16</v>
      </c>
      <c r="K16" s="14">
        <v>0.16</v>
      </c>
      <c r="L16" s="14">
        <v>51</v>
      </c>
    </row>
    <row r="17" spans="1:12">
      <c r="A17" s="12" t="s">
        <v>365</v>
      </c>
      <c r="B17" s="14" t="s">
        <v>366</v>
      </c>
      <c r="C17" s="13"/>
      <c r="D17" s="14">
        <v>14.2</v>
      </c>
      <c r="E17" s="14"/>
      <c r="F17" s="14">
        <v>12</v>
      </c>
      <c r="G17" s="14">
        <v>6.7</v>
      </c>
      <c r="H17" s="14">
        <v>11</v>
      </c>
      <c r="I17" s="14">
        <v>2.6</v>
      </c>
      <c r="J17" s="14">
        <v>0.16</v>
      </c>
      <c r="K17" s="14">
        <v>0.18</v>
      </c>
      <c r="L17" s="14">
        <v>48</v>
      </c>
    </row>
    <row r="18" spans="1:12">
      <c r="A18" s="12" t="s">
        <v>367</v>
      </c>
      <c r="B18" s="14" t="s">
        <v>368</v>
      </c>
      <c r="C18" s="13"/>
      <c r="D18" s="14">
        <v>12.95</v>
      </c>
      <c r="E18" s="14"/>
      <c r="F18" s="14">
        <v>14.1</v>
      </c>
      <c r="G18" s="14">
        <v>5.9</v>
      </c>
      <c r="H18" s="14">
        <v>10.9</v>
      </c>
      <c r="I18" s="14">
        <v>2.7</v>
      </c>
      <c r="J18" s="14">
        <v>0.15</v>
      </c>
      <c r="K18" s="14">
        <v>0.23</v>
      </c>
      <c r="L18" s="14">
        <v>43</v>
      </c>
    </row>
    <row r="19" spans="1:12">
      <c r="A19" s="12" t="s">
        <v>369</v>
      </c>
      <c r="B19" s="14" t="s">
        <v>370</v>
      </c>
      <c r="C19" s="13"/>
      <c r="D19" s="14">
        <v>13.9</v>
      </c>
      <c r="E19" s="14"/>
      <c r="F19" s="14">
        <v>11.7</v>
      </c>
      <c r="G19" s="14">
        <v>6.92</v>
      </c>
      <c r="H19" s="14">
        <v>12.3</v>
      </c>
      <c r="I19" s="14">
        <v>2.2999999999999998</v>
      </c>
      <c r="J19" s="14">
        <v>0.21</v>
      </c>
      <c r="K19" s="14">
        <v>0.21</v>
      </c>
      <c r="L19" s="14">
        <v>52</v>
      </c>
    </row>
    <row r="20" spans="1:12">
      <c r="A20" s="12" t="s">
        <v>371</v>
      </c>
      <c r="B20" s="14" t="s">
        <v>372</v>
      </c>
      <c r="C20" s="13"/>
      <c r="D20" s="14">
        <v>15.3</v>
      </c>
      <c r="E20" s="14"/>
      <c r="F20" s="14">
        <v>9.3000000000000007</v>
      </c>
      <c r="G20" s="14">
        <v>7.5</v>
      </c>
      <c r="H20" s="14">
        <v>11.8</v>
      </c>
      <c r="I20" s="14">
        <v>3.2</v>
      </c>
      <c r="J20" s="14">
        <v>0.1</v>
      </c>
      <c r="K20" s="14">
        <v>0.16</v>
      </c>
      <c r="L20" s="14">
        <v>59</v>
      </c>
    </row>
    <row r="21" spans="1:12">
      <c r="A21" s="12" t="s">
        <v>373</v>
      </c>
      <c r="B21" s="14" t="s">
        <v>374</v>
      </c>
      <c r="C21" s="13"/>
      <c r="D21" s="14">
        <v>14.2</v>
      </c>
      <c r="E21" s="14"/>
      <c r="F21" s="14">
        <v>11.11</v>
      </c>
      <c r="G21" s="14">
        <v>6.23</v>
      </c>
      <c r="H21" s="14">
        <v>11.18</v>
      </c>
      <c r="I21" s="14">
        <v>3</v>
      </c>
      <c r="J21" s="14">
        <v>0.44</v>
      </c>
      <c r="K21" s="14">
        <v>0.33</v>
      </c>
      <c r="L21" s="14">
        <v>50</v>
      </c>
    </row>
    <row r="22" spans="1:12">
      <c r="A22" s="12" t="s">
        <v>375</v>
      </c>
      <c r="B22" s="14" t="s">
        <v>376</v>
      </c>
      <c r="C22" s="13"/>
      <c r="D22" s="14">
        <v>14.9</v>
      </c>
      <c r="E22" s="14"/>
      <c r="F22" s="14">
        <v>7.7</v>
      </c>
      <c r="G22" s="14">
        <v>8.1</v>
      </c>
      <c r="H22" s="14">
        <v>13.3</v>
      </c>
      <c r="I22" s="14">
        <v>2.2000000000000002</v>
      </c>
      <c r="J22" s="14">
        <v>0.4</v>
      </c>
      <c r="K22" s="14" t="s">
        <v>377</v>
      </c>
      <c r="L22" s="14">
        <v>68</v>
      </c>
    </row>
    <row r="23" spans="1:12">
      <c r="A23" s="12" t="s">
        <v>378</v>
      </c>
      <c r="B23" s="14" t="s">
        <v>379</v>
      </c>
      <c r="C23" s="13"/>
      <c r="D23" s="14">
        <v>13.3</v>
      </c>
      <c r="E23" s="14"/>
      <c r="F23" s="14">
        <v>12.3</v>
      </c>
      <c r="G23" s="14">
        <v>2.67</v>
      </c>
      <c r="H23" s="14">
        <v>7.14</v>
      </c>
      <c r="I23" s="14">
        <v>3.33</v>
      </c>
      <c r="J23" s="14">
        <v>0.56000000000000005</v>
      </c>
      <c r="K23" s="14">
        <v>0.18</v>
      </c>
      <c r="L23" s="14">
        <v>30</v>
      </c>
    </row>
    <row r="24" spans="1:12">
      <c r="A24" s="12" t="s">
        <v>380</v>
      </c>
      <c r="B24" s="14" t="s">
        <v>381</v>
      </c>
      <c r="C24" s="13"/>
      <c r="D24" s="14">
        <v>11.5</v>
      </c>
      <c r="E24" s="14"/>
      <c r="F24" s="14">
        <v>15.6</v>
      </c>
      <c r="G24" s="14">
        <v>2.5</v>
      </c>
      <c r="H24" s="14">
        <v>7.3</v>
      </c>
      <c r="I24" s="14">
        <v>3.2</v>
      </c>
      <c r="J24" s="14">
        <v>0.22</v>
      </c>
      <c r="K24" s="14">
        <v>0.54</v>
      </c>
      <c r="L24" s="14">
        <v>24</v>
      </c>
    </row>
    <row r="25" spans="1:12">
      <c r="A25" s="12" t="s">
        <v>382</v>
      </c>
      <c r="B25" s="14" t="s">
        <v>383</v>
      </c>
      <c r="C25" s="13"/>
      <c r="D25" s="14">
        <v>12.2</v>
      </c>
      <c r="E25" s="14"/>
      <c r="F25" s="14">
        <v>14.78</v>
      </c>
      <c r="G25" s="14">
        <v>3.9</v>
      </c>
      <c r="H25" s="14">
        <v>8.6</v>
      </c>
      <c r="I25" s="14">
        <v>2.8</v>
      </c>
      <c r="J25" s="14">
        <v>0.19</v>
      </c>
      <c r="K25" s="14">
        <v>0.33</v>
      </c>
      <c r="L25" s="14">
        <v>34</v>
      </c>
    </row>
    <row r="26" spans="1:12">
      <c r="A26" s="12" t="s">
        <v>384</v>
      </c>
      <c r="B26" s="14" t="s">
        <v>385</v>
      </c>
      <c r="C26" s="13"/>
      <c r="D26" s="14">
        <v>11.1</v>
      </c>
      <c r="E26" s="14"/>
      <c r="F26" s="14">
        <v>16.3</v>
      </c>
      <c r="G26" s="14">
        <v>1.6</v>
      </c>
      <c r="H26" s="14">
        <v>6.8</v>
      </c>
      <c r="I26" s="14">
        <v>3</v>
      </c>
      <c r="J26" s="14">
        <v>0.25</v>
      </c>
      <c r="K26" s="14">
        <v>0.72</v>
      </c>
      <c r="L26" s="14">
        <v>16</v>
      </c>
    </row>
    <row r="27" spans="1:12">
      <c r="A27" s="12" t="s">
        <v>386</v>
      </c>
      <c r="B27" s="14" t="s">
        <v>387</v>
      </c>
      <c r="C27" s="13"/>
      <c r="D27" s="14">
        <v>12</v>
      </c>
      <c r="E27" s="14"/>
      <c r="F27" s="14">
        <v>15.5</v>
      </c>
      <c r="G27" s="14">
        <v>3.5</v>
      </c>
      <c r="H27" s="14">
        <v>8.1999999999999993</v>
      </c>
      <c r="I27" s="14">
        <v>3</v>
      </c>
      <c r="J27" s="14">
        <v>0.2</v>
      </c>
      <c r="K27" s="14">
        <v>0.47</v>
      </c>
      <c r="L27" s="14">
        <v>31</v>
      </c>
    </row>
    <row r="28" spans="1:12">
      <c r="A28" s="12" t="s">
        <v>388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1:12">
      <c r="A29" s="12" t="s">
        <v>389</v>
      </c>
      <c r="B29" s="14" t="s">
        <v>390</v>
      </c>
      <c r="C29" s="13"/>
      <c r="D29" s="14">
        <v>16.95</v>
      </c>
      <c r="E29" s="14"/>
      <c r="F29" s="14">
        <v>10.08</v>
      </c>
      <c r="G29" s="14">
        <v>6.39</v>
      </c>
      <c r="H29" s="14">
        <v>9.68</v>
      </c>
      <c r="I29" s="14">
        <v>5.0199999999999996</v>
      </c>
      <c r="J29" s="14">
        <v>7.0000000000000007E-2</v>
      </c>
      <c r="K29" s="14">
        <v>0.32</v>
      </c>
      <c r="L29" s="14">
        <v>56</v>
      </c>
    </row>
    <row r="30" spans="1:12">
      <c r="A30" s="12" t="s">
        <v>391</v>
      </c>
      <c r="B30" s="14" t="s">
        <v>392</v>
      </c>
      <c r="C30" s="13"/>
      <c r="D30" s="14">
        <v>16.97</v>
      </c>
      <c r="E30" s="14"/>
      <c r="F30" s="14">
        <v>10.02</v>
      </c>
      <c r="G30" s="14">
        <v>6.47</v>
      </c>
      <c r="H30" s="14">
        <v>9.7799999999999994</v>
      </c>
      <c r="I30" s="14">
        <v>5.08</v>
      </c>
      <c r="J30" s="14">
        <v>0.09</v>
      </c>
      <c r="K30" s="14">
        <v>0.32</v>
      </c>
      <c r="L30" s="14">
        <v>56</v>
      </c>
    </row>
    <row r="31" spans="1:12">
      <c r="A31" s="12" t="s">
        <v>393</v>
      </c>
      <c r="B31" s="14" t="s">
        <v>394</v>
      </c>
      <c r="C31" s="13"/>
      <c r="D31" s="14">
        <v>17.12</v>
      </c>
      <c r="E31" s="14"/>
      <c r="F31" s="14">
        <v>9.83</v>
      </c>
      <c r="G31" s="14">
        <v>6.36</v>
      </c>
      <c r="H31" s="14">
        <v>9.7200000000000006</v>
      </c>
      <c r="I31" s="14">
        <v>5.26</v>
      </c>
      <c r="J31" s="14">
        <v>7.0000000000000007E-2</v>
      </c>
      <c r="K31" s="14">
        <v>0.32</v>
      </c>
      <c r="L31" s="14">
        <v>56</v>
      </c>
    </row>
    <row r="32" spans="1:12">
      <c r="A32" s="12" t="s">
        <v>395</v>
      </c>
      <c r="B32" s="14" t="s">
        <v>396</v>
      </c>
      <c r="C32" s="13"/>
      <c r="D32" s="14">
        <v>16.95</v>
      </c>
      <c r="E32" s="14"/>
      <c r="F32" s="14">
        <v>9.93</v>
      </c>
      <c r="G32" s="14">
        <v>6.45</v>
      </c>
      <c r="H32" s="14">
        <v>9.4700000000000006</v>
      </c>
      <c r="I32" s="14">
        <v>5.04</v>
      </c>
      <c r="J32" s="14">
        <v>7.0000000000000007E-2</v>
      </c>
      <c r="K32" s="14">
        <v>0.32</v>
      </c>
      <c r="L32" s="14">
        <v>56</v>
      </c>
    </row>
    <row r="33" spans="1:12">
      <c r="A33" s="12" t="s">
        <v>397</v>
      </c>
      <c r="B33" s="14" t="s">
        <v>398</v>
      </c>
      <c r="C33" s="13"/>
      <c r="D33" s="14">
        <v>14.86</v>
      </c>
      <c r="E33" s="14"/>
      <c r="F33" s="14">
        <v>10</v>
      </c>
      <c r="G33" s="14">
        <v>7.49</v>
      </c>
      <c r="H33" s="14">
        <v>11.22</v>
      </c>
      <c r="I33" s="14">
        <v>2.88</v>
      </c>
      <c r="J33" s="14">
        <v>0.08</v>
      </c>
      <c r="K33" s="14">
        <v>0.2</v>
      </c>
      <c r="L33" s="14">
        <v>60</v>
      </c>
    </row>
    <row r="34" spans="1:12">
      <c r="A34" s="12" t="s">
        <v>399</v>
      </c>
      <c r="B34" s="14" t="s">
        <v>400</v>
      </c>
      <c r="C34" s="13"/>
      <c r="D34" s="14">
        <v>15.68</v>
      </c>
      <c r="E34" s="14"/>
      <c r="F34" s="14">
        <v>9.2899999999999991</v>
      </c>
      <c r="G34" s="14">
        <v>7.84</v>
      </c>
      <c r="H34" s="14">
        <v>11.76</v>
      </c>
      <c r="I34" s="14">
        <v>2.88</v>
      </c>
      <c r="J34" s="14">
        <v>0.1</v>
      </c>
      <c r="K34" s="14">
        <v>0.24</v>
      </c>
      <c r="L34" s="14">
        <v>63</v>
      </c>
    </row>
    <row r="35" spans="1:12">
      <c r="A35" s="12" t="s">
        <v>401</v>
      </c>
      <c r="B35" s="14" t="s">
        <v>402</v>
      </c>
      <c r="C35" s="13"/>
      <c r="D35" s="14">
        <v>15.85</v>
      </c>
      <c r="E35" s="14"/>
      <c r="F35" s="14">
        <v>10.130000000000001</v>
      </c>
      <c r="G35" s="14">
        <v>6.41</v>
      </c>
      <c r="H35" s="14">
        <v>10.93</v>
      </c>
      <c r="I35" s="14">
        <v>3</v>
      </c>
      <c r="J35" s="14">
        <v>0.68</v>
      </c>
      <c r="K35" s="14">
        <v>0.21</v>
      </c>
      <c r="L35" s="14">
        <v>53</v>
      </c>
    </row>
    <row r="36" spans="1:12">
      <c r="A36" s="12" t="s">
        <v>403</v>
      </c>
      <c r="B36" s="14" t="s">
        <v>404</v>
      </c>
      <c r="C36" s="13"/>
      <c r="D36" s="14">
        <v>16.579999999999998</v>
      </c>
      <c r="E36" s="14"/>
      <c r="F36" s="14">
        <v>7.69</v>
      </c>
      <c r="G36" s="14">
        <v>7.67</v>
      </c>
      <c r="H36" s="14">
        <v>11.12</v>
      </c>
      <c r="I36" s="14">
        <v>3.15</v>
      </c>
      <c r="J36" s="14">
        <v>0.34</v>
      </c>
      <c r="K36" s="14">
        <v>0.19</v>
      </c>
      <c r="L36" s="14">
        <v>67</v>
      </c>
    </row>
    <row r="37" spans="1:12">
      <c r="A37" s="12" t="s">
        <v>405</v>
      </c>
      <c r="B37" s="14" t="s">
        <v>406</v>
      </c>
      <c r="C37" s="13"/>
      <c r="D37" s="14">
        <v>16.489999999999998</v>
      </c>
      <c r="E37" s="14"/>
      <c r="F37" s="14">
        <v>7.57</v>
      </c>
      <c r="G37" s="14">
        <v>7.64</v>
      </c>
      <c r="H37" s="14">
        <v>11.05</v>
      </c>
      <c r="I37" s="14">
        <v>3.18</v>
      </c>
      <c r="J37" s="14">
        <v>0.3</v>
      </c>
      <c r="K37" s="14">
        <v>0.18</v>
      </c>
      <c r="L37" s="14">
        <v>67</v>
      </c>
    </row>
    <row r="38" spans="1:12">
      <c r="A38" s="12" t="s">
        <v>407</v>
      </c>
      <c r="B38" s="14" t="s">
        <v>408</v>
      </c>
      <c r="C38" s="13"/>
      <c r="D38" s="14">
        <v>16.45</v>
      </c>
      <c r="E38" s="14"/>
      <c r="F38" s="14">
        <v>8.27</v>
      </c>
      <c r="G38" s="14">
        <v>7.32</v>
      </c>
      <c r="H38" s="14">
        <v>10.85</v>
      </c>
      <c r="I38" s="14">
        <v>3.44</v>
      </c>
      <c r="J38" s="14">
        <v>0.43</v>
      </c>
      <c r="K38" s="14">
        <v>0.2</v>
      </c>
      <c r="L38" s="14">
        <v>64</v>
      </c>
    </row>
    <row r="39" spans="1:12">
      <c r="A39" s="12" t="s">
        <v>409</v>
      </c>
      <c r="B39" s="14" t="s">
        <v>410</v>
      </c>
      <c r="C39" s="13"/>
      <c r="D39" s="14">
        <v>15.74</v>
      </c>
      <c r="E39" s="14"/>
      <c r="F39" s="14">
        <v>7.07</v>
      </c>
      <c r="G39" s="14">
        <v>8.25</v>
      </c>
      <c r="H39" s="14">
        <v>13.68</v>
      </c>
      <c r="I39" s="14">
        <v>1.48</v>
      </c>
      <c r="J39" s="14">
        <v>0.08</v>
      </c>
      <c r="K39" s="14">
        <v>0.13</v>
      </c>
      <c r="L39" s="14">
        <v>70</v>
      </c>
    </row>
    <row r="40" spans="1:12">
      <c r="A40" s="12" t="s">
        <v>411</v>
      </c>
      <c r="B40" s="14" t="s">
        <v>412</v>
      </c>
      <c r="C40" s="13"/>
      <c r="D40" s="14">
        <v>11.65</v>
      </c>
      <c r="E40" s="14"/>
      <c r="F40" s="14">
        <v>11.31</v>
      </c>
      <c r="G40" s="14">
        <v>0.5</v>
      </c>
      <c r="H40" s="14">
        <v>5.13</v>
      </c>
      <c r="I40" s="14">
        <v>3.97</v>
      </c>
      <c r="J40" s="14">
        <v>0.28999999999999998</v>
      </c>
      <c r="K40" s="14">
        <v>0.33</v>
      </c>
      <c r="L40" s="14">
        <v>8</v>
      </c>
    </row>
    <row r="41" spans="1:12">
      <c r="A41" s="12" t="s">
        <v>413</v>
      </c>
      <c r="B41" s="14" t="s">
        <v>414</v>
      </c>
      <c r="C41" s="13"/>
      <c r="D41" s="14">
        <v>16.16</v>
      </c>
      <c r="E41" s="14"/>
      <c r="F41" s="14">
        <v>8.91</v>
      </c>
      <c r="G41" s="14">
        <v>7.38</v>
      </c>
      <c r="H41" s="14">
        <v>11.4</v>
      </c>
      <c r="I41" s="14">
        <v>2.88</v>
      </c>
      <c r="J41" s="14">
        <v>0.5</v>
      </c>
      <c r="K41" s="14">
        <v>0.13</v>
      </c>
      <c r="L41" s="14">
        <v>63</v>
      </c>
    </row>
    <row r="42" spans="1:12">
      <c r="A42" s="12" t="s">
        <v>415</v>
      </c>
      <c r="B42" s="14" t="s">
        <v>416</v>
      </c>
      <c r="C42" s="13"/>
      <c r="D42" s="14">
        <v>15.52</v>
      </c>
      <c r="E42" s="14"/>
      <c r="F42" s="14">
        <v>9.25</v>
      </c>
      <c r="G42" s="14">
        <v>2.98</v>
      </c>
      <c r="H42" s="14">
        <v>8.1199999999999992</v>
      </c>
      <c r="I42" s="14">
        <v>2.83</v>
      </c>
      <c r="J42" s="14">
        <v>1.07</v>
      </c>
      <c r="K42" s="14">
        <v>0.22</v>
      </c>
      <c r="L42" s="14">
        <v>39</v>
      </c>
    </row>
    <row r="43" spans="1:12">
      <c r="A43" s="12" t="s">
        <v>417</v>
      </c>
      <c r="B43" s="14" t="s">
        <v>418</v>
      </c>
      <c r="C43" s="13"/>
      <c r="D43" s="14">
        <v>15.94</v>
      </c>
      <c r="E43" s="14"/>
      <c r="F43" s="14">
        <v>9.57</v>
      </c>
      <c r="G43" s="14">
        <v>3.57</v>
      </c>
      <c r="H43" s="14">
        <v>9.16</v>
      </c>
      <c r="I43" s="14">
        <v>2.67</v>
      </c>
      <c r="J43" s="14">
        <v>1.06</v>
      </c>
      <c r="K43" s="14">
        <v>0.18</v>
      </c>
      <c r="L43" s="14">
        <v>43</v>
      </c>
    </row>
    <row r="44" spans="1:12">
      <c r="A44" s="12" t="s">
        <v>419</v>
      </c>
      <c r="B44" s="14" t="s">
        <v>420</v>
      </c>
      <c r="C44" s="13"/>
      <c r="D44" s="14">
        <v>16.02</v>
      </c>
      <c r="E44" s="14"/>
      <c r="F44" s="14">
        <v>10.25</v>
      </c>
      <c r="G44" s="14">
        <v>3.33</v>
      </c>
      <c r="H44" s="14">
        <v>8.32</v>
      </c>
      <c r="I44" s="14">
        <v>2.84</v>
      </c>
      <c r="J44" s="14">
        <v>1.1599999999999999</v>
      </c>
      <c r="K44" s="14">
        <v>0.22</v>
      </c>
      <c r="L44" s="14">
        <v>40</v>
      </c>
    </row>
    <row r="45" spans="1:12">
      <c r="A45" s="12" t="s">
        <v>421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</row>
    <row r="46" spans="1:12">
      <c r="A46" s="12" t="s">
        <v>422</v>
      </c>
      <c r="B46" s="14" t="s">
        <v>423</v>
      </c>
      <c r="C46" s="13"/>
      <c r="D46" s="14">
        <v>13.83</v>
      </c>
      <c r="E46" s="14"/>
      <c r="F46" s="14">
        <v>11.88</v>
      </c>
      <c r="G46" s="14">
        <v>5.95</v>
      </c>
      <c r="H46" s="14">
        <v>11.51</v>
      </c>
      <c r="I46" s="14">
        <v>3.15</v>
      </c>
      <c r="J46" s="14">
        <v>0.9</v>
      </c>
      <c r="K46" s="14">
        <v>0.44</v>
      </c>
      <c r="L46" s="14">
        <v>50</v>
      </c>
    </row>
    <row r="47" spans="1:12">
      <c r="A47" s="12" t="s">
        <v>424</v>
      </c>
      <c r="B47" s="14" t="s">
        <v>425</v>
      </c>
      <c r="C47" s="13"/>
      <c r="D47" s="14">
        <v>13.1</v>
      </c>
      <c r="E47" s="14"/>
      <c r="F47" s="14">
        <v>12.59</v>
      </c>
      <c r="G47" s="14">
        <v>6.52</v>
      </c>
      <c r="H47" s="14">
        <v>11.88</v>
      </c>
      <c r="I47" s="14">
        <v>3.3</v>
      </c>
      <c r="J47" s="14">
        <v>0.92</v>
      </c>
      <c r="K47" s="14">
        <v>0.48</v>
      </c>
      <c r="L47" s="14">
        <v>51</v>
      </c>
    </row>
    <row r="48" spans="1:12">
      <c r="A48" s="12" t="s">
        <v>426</v>
      </c>
      <c r="B48" s="14" t="s">
        <v>427</v>
      </c>
      <c r="C48" s="13"/>
      <c r="D48" s="14">
        <v>14.07</v>
      </c>
      <c r="E48" s="14"/>
      <c r="F48" s="14">
        <v>12.46</v>
      </c>
      <c r="G48" s="14">
        <v>5.64</v>
      </c>
      <c r="H48" s="14">
        <v>11.67</v>
      </c>
      <c r="I48" s="14">
        <v>3.14</v>
      </c>
      <c r="J48" s="14">
        <v>0.87</v>
      </c>
      <c r="K48" s="14">
        <v>0.39</v>
      </c>
      <c r="L48" s="14">
        <v>52</v>
      </c>
    </row>
    <row r="49" spans="1:12">
      <c r="A49" s="12" t="s">
        <v>428</v>
      </c>
      <c r="B49" s="14" t="s">
        <v>429</v>
      </c>
      <c r="C49" s="13"/>
      <c r="D49" s="14">
        <v>12.38</v>
      </c>
      <c r="E49" s="14"/>
      <c r="F49" s="14">
        <v>11.93</v>
      </c>
      <c r="G49" s="14">
        <v>7.33</v>
      </c>
      <c r="H49" s="14">
        <v>12.6</v>
      </c>
      <c r="I49" s="14">
        <v>2.37</v>
      </c>
      <c r="J49" s="14">
        <v>0.51</v>
      </c>
      <c r="K49" s="14">
        <v>0.27</v>
      </c>
      <c r="L49" s="14">
        <v>55</v>
      </c>
    </row>
    <row r="50" spans="1:12">
      <c r="A50" s="12" t="s">
        <v>430</v>
      </c>
      <c r="B50" s="14" t="s">
        <v>431</v>
      </c>
      <c r="C50" s="13"/>
      <c r="D50" s="14">
        <v>13.66</v>
      </c>
      <c r="E50" s="14"/>
      <c r="F50" s="14">
        <v>10.87</v>
      </c>
      <c r="G50" s="14">
        <v>5.26</v>
      </c>
      <c r="H50" s="14">
        <v>9.2200000000000006</v>
      </c>
      <c r="I50" s="14">
        <v>2.87</v>
      </c>
      <c r="J50" s="14">
        <v>0.75</v>
      </c>
      <c r="K50" s="14">
        <v>0.41</v>
      </c>
      <c r="L50" s="14">
        <v>49</v>
      </c>
    </row>
    <row r="51" spans="1:12">
      <c r="A51" s="12" t="s">
        <v>432</v>
      </c>
      <c r="B51" s="14" t="s">
        <v>433</v>
      </c>
      <c r="C51" s="13"/>
      <c r="D51" s="14">
        <v>13.25</v>
      </c>
      <c r="E51" s="14"/>
      <c r="F51" s="14">
        <v>12.31</v>
      </c>
      <c r="G51" s="14">
        <v>5.54</v>
      </c>
      <c r="H51" s="14">
        <v>9.8699999999999992</v>
      </c>
      <c r="I51" s="14">
        <v>2.52</v>
      </c>
      <c r="J51" s="14">
        <v>0.6</v>
      </c>
      <c r="K51" s="14">
        <v>0.37</v>
      </c>
      <c r="L51" s="14">
        <v>47</v>
      </c>
    </row>
    <row r="52" spans="1:12">
      <c r="A52" s="12" t="s">
        <v>434</v>
      </c>
      <c r="B52" s="14" t="s">
        <v>435</v>
      </c>
      <c r="C52" s="13"/>
      <c r="D52" s="14">
        <v>13.58</v>
      </c>
      <c r="E52" s="14"/>
      <c r="F52" s="14">
        <v>11.05</v>
      </c>
      <c r="G52" s="14">
        <v>6.01</v>
      </c>
      <c r="H52" s="14">
        <v>9.86</v>
      </c>
      <c r="I52" s="14">
        <v>2.4900000000000002</v>
      </c>
      <c r="J52" s="14">
        <v>0.54</v>
      </c>
      <c r="K52" s="14">
        <v>0.33</v>
      </c>
      <c r="L52" s="14">
        <v>52</v>
      </c>
    </row>
    <row r="53" spans="1:12">
      <c r="A53" s="12" t="s">
        <v>436</v>
      </c>
      <c r="B53" s="14" t="s">
        <v>437</v>
      </c>
      <c r="C53" s="13"/>
      <c r="D53" s="14">
        <v>14.1</v>
      </c>
      <c r="E53" s="14"/>
      <c r="F53" s="14">
        <v>10.06</v>
      </c>
      <c r="G53" s="14">
        <v>6.87</v>
      </c>
      <c r="H53" s="14">
        <v>10.88</v>
      </c>
      <c r="I53" s="14">
        <v>2.37</v>
      </c>
      <c r="J53" s="14">
        <v>0.36</v>
      </c>
      <c r="K53" s="14">
        <v>0.27</v>
      </c>
      <c r="L53" s="14">
        <v>57</v>
      </c>
    </row>
    <row r="54" spans="1:12">
      <c r="A54" s="12" t="s">
        <v>438</v>
      </c>
      <c r="B54" s="14" t="s">
        <v>439</v>
      </c>
      <c r="C54" s="13"/>
      <c r="D54" s="14">
        <v>14.53</v>
      </c>
      <c r="E54" s="14"/>
      <c r="F54" s="14">
        <v>10.37</v>
      </c>
      <c r="G54" s="14">
        <v>6.3</v>
      </c>
      <c r="H54" s="14">
        <v>10.59</v>
      </c>
      <c r="I54" s="14">
        <v>2.3199999999999998</v>
      </c>
      <c r="J54" s="14">
        <v>0.37</v>
      </c>
      <c r="K54" s="14">
        <v>0.26</v>
      </c>
      <c r="L54" s="14">
        <v>55</v>
      </c>
    </row>
    <row r="55" spans="1:12">
      <c r="A55" s="12" t="s">
        <v>440</v>
      </c>
      <c r="B55" s="14" t="s">
        <v>441</v>
      </c>
      <c r="C55" s="13"/>
      <c r="D55" s="14">
        <v>13.58</v>
      </c>
      <c r="E55" s="14"/>
      <c r="F55" s="14">
        <v>11.41</v>
      </c>
      <c r="G55" s="14">
        <v>5.98</v>
      </c>
      <c r="H55" s="14">
        <v>10.25</v>
      </c>
      <c r="I55" s="14">
        <v>2.36</v>
      </c>
      <c r="J55" s="14">
        <v>0.49</v>
      </c>
      <c r="K55" s="14">
        <v>0.34</v>
      </c>
      <c r="L55" s="14">
        <v>51</v>
      </c>
    </row>
    <row r="56" spans="1:12">
      <c r="A56" s="12" t="s">
        <v>442</v>
      </c>
      <c r="B56" s="14" t="s">
        <v>443</v>
      </c>
      <c r="C56" s="13"/>
      <c r="D56" s="14">
        <v>13.44</v>
      </c>
      <c r="E56" s="14"/>
      <c r="F56" s="14">
        <v>11.82</v>
      </c>
      <c r="G56" s="14">
        <v>6.81</v>
      </c>
      <c r="H56" s="14">
        <v>11.68</v>
      </c>
      <c r="I56" s="14">
        <v>2.54</v>
      </c>
      <c r="J56" s="14">
        <v>0.54</v>
      </c>
      <c r="K56" s="14">
        <v>0.32</v>
      </c>
      <c r="L56" s="14">
        <v>53</v>
      </c>
    </row>
    <row r="57" spans="1:12">
      <c r="A57" s="12" t="s">
        <v>444</v>
      </c>
      <c r="B57" s="14" t="s">
        <v>445</v>
      </c>
      <c r="C57" s="13"/>
      <c r="D57" s="14">
        <v>15.3</v>
      </c>
      <c r="E57" s="14"/>
      <c r="F57" s="14">
        <v>11.86</v>
      </c>
      <c r="G57" s="14">
        <v>6.25</v>
      </c>
      <c r="H57" s="14">
        <v>11.59</v>
      </c>
      <c r="I57" s="14">
        <v>2.81</v>
      </c>
      <c r="J57" s="14">
        <v>0.48</v>
      </c>
      <c r="K57" s="14">
        <v>0.34</v>
      </c>
      <c r="L57" s="14">
        <v>51</v>
      </c>
    </row>
    <row r="58" spans="1:12">
      <c r="A58" s="12" t="s">
        <v>446</v>
      </c>
      <c r="B58" s="14" t="s">
        <v>447</v>
      </c>
      <c r="C58" s="13"/>
      <c r="D58" s="14">
        <v>15.25</v>
      </c>
      <c r="E58" s="14"/>
      <c r="F58" s="14">
        <v>11.87</v>
      </c>
      <c r="G58" s="14">
        <v>6.71</v>
      </c>
      <c r="H58" s="14">
        <v>11.6</v>
      </c>
      <c r="I58" s="14">
        <v>2.78</v>
      </c>
      <c r="J58" s="14">
        <v>0.48</v>
      </c>
      <c r="K58" s="14">
        <v>0.34</v>
      </c>
      <c r="L58" s="14">
        <v>53</v>
      </c>
    </row>
    <row r="59" spans="1:12">
      <c r="A59" s="12" t="s">
        <v>448</v>
      </c>
      <c r="B59" s="14" t="s">
        <v>449</v>
      </c>
      <c r="C59" s="14" t="s">
        <v>450</v>
      </c>
      <c r="D59" s="14" t="s">
        <v>451</v>
      </c>
      <c r="E59" s="14" t="s">
        <v>514</v>
      </c>
      <c r="F59" s="14" t="s">
        <v>452</v>
      </c>
      <c r="G59" s="14" t="s">
        <v>453</v>
      </c>
      <c r="H59" s="13"/>
      <c r="I59" s="13"/>
      <c r="J59" s="13"/>
      <c r="K59" s="13"/>
      <c r="L59" s="13"/>
    </row>
    <row r="60" spans="1:12">
      <c r="A60" s="13"/>
      <c r="B60" s="14" t="s">
        <v>454</v>
      </c>
      <c r="C60" s="14" t="s">
        <v>455</v>
      </c>
      <c r="D60" s="14" t="s">
        <v>456</v>
      </c>
      <c r="E60" s="14"/>
      <c r="F60" s="14" t="s">
        <v>457</v>
      </c>
      <c r="G60" s="14" t="s">
        <v>458</v>
      </c>
      <c r="H60" s="13"/>
      <c r="I60" s="13"/>
      <c r="J60" s="13"/>
      <c r="K60" s="13"/>
      <c r="L60" s="13"/>
    </row>
    <row r="61" spans="1:12">
      <c r="A61" s="13"/>
      <c r="B61" s="13"/>
      <c r="C61" s="14" t="s">
        <v>459</v>
      </c>
      <c r="D61" s="13"/>
      <c r="E61" s="13"/>
      <c r="F61" s="13"/>
      <c r="G61" s="13"/>
      <c r="H61" s="13"/>
      <c r="I61" s="13"/>
      <c r="J61" s="13"/>
      <c r="K61" s="13"/>
      <c r="L61" s="13"/>
    </row>
    <row r="62" spans="1:12">
      <c r="A62" s="12" t="s">
        <v>460</v>
      </c>
      <c r="B62" s="14">
        <v>0.88100000000000001</v>
      </c>
      <c r="C62" s="14">
        <v>1.119</v>
      </c>
      <c r="D62" s="14">
        <v>152</v>
      </c>
      <c r="E62" s="14">
        <f>D62/10000</f>
        <v>1.52E-2</v>
      </c>
      <c r="F62" s="14">
        <v>2735</v>
      </c>
      <c r="G62" s="14">
        <v>55</v>
      </c>
      <c r="H62" s="37">
        <f>C62*100*18/(B62*E62*F62)</f>
        <v>54.995323950362554</v>
      </c>
      <c r="I62" s="13"/>
      <c r="J62" s="13"/>
      <c r="K62" s="13"/>
      <c r="L62" s="13"/>
    </row>
    <row r="63" spans="1:12">
      <c r="A63" s="12" t="s">
        <v>523</v>
      </c>
      <c r="B63" s="14">
        <v>1.0209999999999999</v>
      </c>
      <c r="C63" s="14">
        <v>1.006</v>
      </c>
      <c r="D63" s="14">
        <v>114</v>
      </c>
      <c r="E63" s="14">
        <f t="shared" ref="E63:E115" si="0">D63/10000</f>
        <v>1.14E-2</v>
      </c>
      <c r="F63" s="14">
        <v>2718</v>
      </c>
      <c r="G63" s="14">
        <v>57</v>
      </c>
      <c r="H63" s="37">
        <f t="shared" ref="H63:H115" si="1">C63*100*18/(B63*E63*F63)</f>
        <v>57.238789418948912</v>
      </c>
      <c r="I63" s="13"/>
      <c r="J63" s="13"/>
      <c r="K63" s="13"/>
      <c r="L63" s="13"/>
    </row>
    <row r="64" spans="1:12">
      <c r="A64" s="12" t="s">
        <v>461</v>
      </c>
      <c r="B64" s="14">
        <v>0.35699999999999998</v>
      </c>
      <c r="C64" s="14">
        <v>0.432</v>
      </c>
      <c r="D64" s="14">
        <v>155</v>
      </c>
      <c r="E64" s="14">
        <f t="shared" si="0"/>
        <v>1.55E-2</v>
      </c>
      <c r="F64" s="14">
        <v>2783</v>
      </c>
      <c r="G64" s="14">
        <v>51</v>
      </c>
      <c r="H64" s="37">
        <f t="shared" si="1"/>
        <v>50.494390145334044</v>
      </c>
      <c r="I64" s="13"/>
      <c r="J64" s="13"/>
      <c r="K64" s="13"/>
      <c r="L64" s="13"/>
    </row>
    <row r="65" spans="1:12">
      <c r="A65" s="12" t="s">
        <v>462</v>
      </c>
      <c r="B65" s="14">
        <v>0.60599999999999998</v>
      </c>
      <c r="C65" s="14">
        <v>0.48599999999999999</v>
      </c>
      <c r="D65" s="14">
        <v>85</v>
      </c>
      <c r="E65" s="14">
        <f t="shared" si="0"/>
        <v>8.5000000000000006E-3</v>
      </c>
      <c r="F65" s="14">
        <v>2752</v>
      </c>
      <c r="G65" s="14">
        <v>62</v>
      </c>
      <c r="H65" s="37">
        <f t="shared" si="1"/>
        <v>61.71188254256343</v>
      </c>
      <c r="I65" s="13"/>
      <c r="J65" s="13"/>
      <c r="K65" s="13"/>
      <c r="L65" s="13"/>
    </row>
    <row r="66" spans="1:12">
      <c r="A66" s="12" t="s">
        <v>463</v>
      </c>
      <c r="B66" s="14">
        <v>0.67500000000000004</v>
      </c>
      <c r="C66" s="14">
        <v>0.442</v>
      </c>
      <c r="D66" s="14">
        <v>70</v>
      </c>
      <c r="E66" s="14">
        <f t="shared" si="0"/>
        <v>7.0000000000000001E-3</v>
      </c>
      <c r="F66" s="14">
        <v>2787</v>
      </c>
      <c r="G66" s="14">
        <v>60</v>
      </c>
      <c r="H66" s="37">
        <f t="shared" si="1"/>
        <v>60.416559878346746</v>
      </c>
      <c r="I66" s="13"/>
      <c r="J66" s="13"/>
      <c r="K66" s="13"/>
      <c r="L66" s="13"/>
    </row>
    <row r="67" spans="1:12">
      <c r="A67" s="12" t="s">
        <v>464</v>
      </c>
      <c r="B67" s="14">
        <v>0.126</v>
      </c>
      <c r="C67" s="14">
        <v>7.8E-2</v>
      </c>
      <c r="D67" s="14">
        <v>82</v>
      </c>
      <c r="E67" s="14">
        <f t="shared" si="0"/>
        <v>8.2000000000000007E-3</v>
      </c>
      <c r="F67" s="14">
        <v>2791</v>
      </c>
      <c r="G67" s="14">
        <v>49</v>
      </c>
      <c r="H67" s="37">
        <f t="shared" si="1"/>
        <v>48.688105246205751</v>
      </c>
      <c r="I67" s="13"/>
      <c r="J67" s="13"/>
      <c r="K67" s="13"/>
      <c r="L67" s="13"/>
    </row>
    <row r="68" spans="1:12">
      <c r="A68" s="12" t="s">
        <v>465</v>
      </c>
      <c r="B68" s="14">
        <v>0.79200000000000004</v>
      </c>
      <c r="C68" s="14">
        <v>1.5289999999999999</v>
      </c>
      <c r="D68" s="14">
        <v>186</v>
      </c>
      <c r="E68" s="14">
        <f t="shared" si="0"/>
        <v>1.8599999999999998E-2</v>
      </c>
      <c r="F68" s="14">
        <v>2725</v>
      </c>
      <c r="G68" s="14">
        <v>69</v>
      </c>
      <c r="H68" s="37">
        <f t="shared" si="1"/>
        <v>68.560718161191673</v>
      </c>
      <c r="I68" s="13"/>
      <c r="J68" s="13"/>
      <c r="K68" s="13"/>
      <c r="L68" s="13"/>
    </row>
    <row r="69" spans="1:12">
      <c r="A69" s="12" t="s">
        <v>466</v>
      </c>
      <c r="B69" s="14">
        <v>0.1</v>
      </c>
      <c r="C69" s="14">
        <v>0.112</v>
      </c>
      <c r="D69" s="14">
        <v>96</v>
      </c>
      <c r="E69" s="14">
        <f t="shared" si="0"/>
        <v>9.5999999999999992E-3</v>
      </c>
      <c r="F69" s="14">
        <v>2789</v>
      </c>
      <c r="G69" s="14">
        <v>75</v>
      </c>
      <c r="H69" s="37">
        <f t="shared" si="1"/>
        <v>75.295804948010058</v>
      </c>
      <c r="I69" s="13"/>
      <c r="J69" s="13"/>
      <c r="K69" s="13"/>
      <c r="L69" s="13"/>
    </row>
    <row r="70" spans="1:12">
      <c r="A70" s="12" t="s">
        <v>467</v>
      </c>
      <c r="B70" s="14">
        <v>0.19</v>
      </c>
      <c r="C70" s="14">
        <v>0.13</v>
      </c>
      <c r="D70" s="14">
        <v>68</v>
      </c>
      <c r="E70" s="14">
        <f t="shared" si="0"/>
        <v>6.7999999999999996E-3</v>
      </c>
      <c r="F70" s="14">
        <v>2847</v>
      </c>
      <c r="G70" s="14">
        <v>64</v>
      </c>
      <c r="H70" s="37">
        <f t="shared" si="1"/>
        <v>63.615929428728954</v>
      </c>
      <c r="I70" s="13"/>
      <c r="J70" s="13"/>
      <c r="K70" s="13"/>
      <c r="L70" s="13"/>
    </row>
    <row r="71" spans="1:12">
      <c r="A71" s="12" t="s">
        <v>468</v>
      </c>
      <c r="B71" s="14">
        <v>0.26</v>
      </c>
      <c r="C71" s="14">
        <v>0.622</v>
      </c>
      <c r="D71" s="14">
        <v>200</v>
      </c>
      <c r="E71" s="14">
        <f t="shared" si="0"/>
        <v>0.02</v>
      </c>
      <c r="F71" s="14">
        <v>2831</v>
      </c>
      <c r="G71" s="14">
        <v>76</v>
      </c>
      <c r="H71" s="37">
        <f t="shared" si="1"/>
        <v>76.053582588375946</v>
      </c>
      <c r="I71" s="13"/>
      <c r="J71" s="13"/>
      <c r="K71" s="13"/>
      <c r="L71" s="13"/>
    </row>
    <row r="72" spans="1:12">
      <c r="A72" s="12" t="s">
        <v>469</v>
      </c>
      <c r="B72" s="14">
        <v>0.45500000000000002</v>
      </c>
      <c r="C72" s="14">
        <v>0.67200000000000004</v>
      </c>
      <c r="D72" s="14">
        <v>170</v>
      </c>
      <c r="E72" s="14">
        <f t="shared" si="0"/>
        <v>1.7000000000000001E-2</v>
      </c>
      <c r="F72" s="14">
        <v>2788</v>
      </c>
      <c r="G72" s="14">
        <v>56</v>
      </c>
      <c r="H72" s="37">
        <f t="shared" si="1"/>
        <v>56.090419834195686</v>
      </c>
      <c r="I72" s="13"/>
      <c r="J72" s="13"/>
      <c r="K72" s="13"/>
      <c r="L72" s="13"/>
    </row>
    <row r="73" spans="1:12">
      <c r="A73" s="12" t="s">
        <v>470</v>
      </c>
      <c r="B73" s="14">
        <v>0.36199999999999999</v>
      </c>
      <c r="C73" s="14">
        <v>0.27400000000000002</v>
      </c>
      <c r="D73" s="14">
        <v>100</v>
      </c>
      <c r="E73" s="14">
        <f t="shared" si="0"/>
        <v>0.01</v>
      </c>
      <c r="F73" s="14">
        <v>2828</v>
      </c>
      <c r="G73" s="14">
        <v>48</v>
      </c>
      <c r="H73" s="37">
        <f t="shared" si="1"/>
        <v>48.176482999523316</v>
      </c>
      <c r="I73" s="13"/>
      <c r="J73" s="13"/>
      <c r="K73" s="13"/>
      <c r="L73" s="13"/>
    </row>
    <row r="74" spans="1:12">
      <c r="A74" s="12" t="s">
        <v>471</v>
      </c>
      <c r="B74" s="14">
        <v>0.16</v>
      </c>
      <c r="C74" s="14">
        <v>0.41399999999999998</v>
      </c>
      <c r="D74" s="14">
        <v>288</v>
      </c>
      <c r="E74" s="14">
        <f t="shared" si="0"/>
        <v>2.8799999999999999E-2</v>
      </c>
      <c r="F74" s="14">
        <v>2833</v>
      </c>
      <c r="G74" s="14">
        <v>57</v>
      </c>
      <c r="H74" s="37">
        <f t="shared" si="1"/>
        <v>57.083921637839737</v>
      </c>
      <c r="I74" s="13"/>
      <c r="J74" s="13"/>
      <c r="K74" s="13"/>
      <c r="L74" s="13"/>
    </row>
    <row r="75" spans="1:12">
      <c r="A75" s="12" t="s">
        <v>472</v>
      </c>
      <c r="B75" s="14">
        <v>0.27</v>
      </c>
      <c r="C75" s="14">
        <v>0.81899999999999995</v>
      </c>
      <c r="D75" s="14">
        <v>249</v>
      </c>
      <c r="E75" s="14">
        <f t="shared" si="0"/>
        <v>2.4899999999999999E-2</v>
      </c>
      <c r="F75" s="14">
        <v>2848</v>
      </c>
      <c r="G75" s="14">
        <v>77</v>
      </c>
      <c r="H75" s="37">
        <f t="shared" si="1"/>
        <v>76.993366725328272</v>
      </c>
      <c r="I75" s="13"/>
      <c r="J75" s="13"/>
      <c r="K75" s="13"/>
      <c r="L75" s="13"/>
    </row>
    <row r="76" spans="1:12">
      <c r="A76" s="12" t="s">
        <v>473</v>
      </c>
      <c r="B76" s="14">
        <v>0.28000000000000003</v>
      </c>
      <c r="C76" s="14">
        <v>0.68600000000000005</v>
      </c>
      <c r="D76" s="14">
        <v>195</v>
      </c>
      <c r="E76" s="14">
        <f t="shared" si="0"/>
        <v>1.95E-2</v>
      </c>
      <c r="F76" s="14">
        <v>2804</v>
      </c>
      <c r="G76" s="14">
        <v>81</v>
      </c>
      <c r="H76" s="37">
        <f t="shared" si="1"/>
        <v>80.654010753868107</v>
      </c>
      <c r="I76" s="13"/>
      <c r="J76" s="13"/>
      <c r="K76" s="13"/>
      <c r="L76" s="13"/>
    </row>
    <row r="77" spans="1:12">
      <c r="A77" s="12" t="s">
        <v>474</v>
      </c>
      <c r="B77" s="14">
        <v>0.25</v>
      </c>
      <c r="C77" s="14">
        <v>0.89</v>
      </c>
      <c r="D77" s="14">
        <v>302</v>
      </c>
      <c r="E77" s="14">
        <f t="shared" si="0"/>
        <v>3.0200000000000001E-2</v>
      </c>
      <c r="F77" s="14">
        <v>2845</v>
      </c>
      <c r="G77" s="14">
        <v>75</v>
      </c>
      <c r="H77" s="37">
        <f t="shared" si="1"/>
        <v>74.581873625158579</v>
      </c>
      <c r="I77" s="13"/>
      <c r="J77" s="13"/>
      <c r="K77" s="13"/>
      <c r="L77" s="13"/>
    </row>
    <row r="78" spans="1:12">
      <c r="A78" s="12" t="s">
        <v>475</v>
      </c>
      <c r="B78" s="14">
        <v>0.26</v>
      </c>
      <c r="C78" s="14">
        <v>0.52700000000000002</v>
      </c>
      <c r="D78" s="14">
        <v>193</v>
      </c>
      <c r="E78" s="14">
        <f t="shared" si="0"/>
        <v>1.9300000000000001E-2</v>
      </c>
      <c r="F78" s="14">
        <v>2777</v>
      </c>
      <c r="G78" s="14">
        <v>68</v>
      </c>
      <c r="H78" s="37">
        <f t="shared" si="1"/>
        <v>68.073265376800506</v>
      </c>
      <c r="I78" s="13"/>
      <c r="J78" s="13"/>
      <c r="K78" s="13"/>
      <c r="L78" s="13"/>
    </row>
    <row r="79" spans="1:12">
      <c r="A79" s="12" t="s">
        <v>476</v>
      </c>
      <c r="B79" s="14">
        <v>0.22</v>
      </c>
      <c r="C79" s="14">
        <v>0.66800000000000004</v>
      </c>
      <c r="D79" s="14">
        <v>234</v>
      </c>
      <c r="E79" s="14">
        <f t="shared" si="0"/>
        <v>2.3400000000000001E-2</v>
      </c>
      <c r="F79" s="14">
        <v>2813</v>
      </c>
      <c r="G79" s="14">
        <v>83</v>
      </c>
      <c r="H79" s="37">
        <f t="shared" si="1"/>
        <v>83.031081964604894</v>
      </c>
      <c r="I79" s="13"/>
      <c r="J79" s="13"/>
      <c r="K79" s="13"/>
      <c r="L79" s="13"/>
    </row>
    <row r="80" spans="1:12">
      <c r="A80" s="12" t="s">
        <v>477</v>
      </c>
      <c r="B80" s="14">
        <v>0.37</v>
      </c>
      <c r="C80" s="14">
        <v>0.88900000000000001</v>
      </c>
      <c r="D80" s="14">
        <v>223</v>
      </c>
      <c r="E80" s="14">
        <f t="shared" si="0"/>
        <v>2.23E-2</v>
      </c>
      <c r="F80" s="14">
        <v>2840</v>
      </c>
      <c r="G80" s="14">
        <v>68</v>
      </c>
      <c r="H80" s="37">
        <f t="shared" si="1"/>
        <v>68.288777630026928</v>
      </c>
      <c r="I80" s="13"/>
      <c r="J80" s="13"/>
      <c r="K80" s="13"/>
      <c r="L80" s="13"/>
    </row>
    <row r="81" spans="1:12">
      <c r="A81" s="12" t="s">
        <v>478</v>
      </c>
      <c r="B81" s="14">
        <v>0.52</v>
      </c>
      <c r="C81" s="14">
        <v>0.40200000000000002</v>
      </c>
      <c r="D81" s="14">
        <v>75</v>
      </c>
      <c r="E81" s="14">
        <f t="shared" si="0"/>
        <v>7.4999999999999997E-3</v>
      </c>
      <c r="F81" s="14">
        <v>2767</v>
      </c>
      <c r="G81" s="14">
        <v>67</v>
      </c>
      <c r="H81" s="37">
        <f t="shared" si="1"/>
        <v>67.054015734897561</v>
      </c>
      <c r="I81" s="13"/>
      <c r="J81" s="13"/>
      <c r="K81" s="13"/>
      <c r="L81" s="13"/>
    </row>
    <row r="82" spans="1:12">
      <c r="A82" s="12" t="s">
        <v>479</v>
      </c>
      <c r="B82" s="14">
        <v>1.17</v>
      </c>
      <c r="C82" s="14">
        <v>0.32</v>
      </c>
      <c r="D82" s="14">
        <v>35</v>
      </c>
      <c r="E82" s="14">
        <f t="shared" si="0"/>
        <v>3.5000000000000001E-3</v>
      </c>
      <c r="F82" s="14">
        <v>2561</v>
      </c>
      <c r="G82" s="14">
        <v>55</v>
      </c>
      <c r="H82" s="37">
        <f t="shared" si="1"/>
        <v>54.923600413643371</v>
      </c>
      <c r="I82" s="13"/>
      <c r="J82" s="13"/>
      <c r="K82" s="13"/>
      <c r="L82" s="13"/>
    </row>
    <row r="83" spans="1:12">
      <c r="A83" s="12" t="s">
        <v>480</v>
      </c>
      <c r="B83" s="14">
        <v>0.94</v>
      </c>
      <c r="C83" s="14">
        <v>0.64400000000000002</v>
      </c>
      <c r="D83" s="14">
        <v>65</v>
      </c>
      <c r="E83" s="14">
        <f t="shared" si="0"/>
        <v>6.4999999999999997E-3</v>
      </c>
      <c r="F83" s="14">
        <v>2597</v>
      </c>
      <c r="G83" s="14">
        <v>73</v>
      </c>
      <c r="H83" s="37">
        <f t="shared" si="1"/>
        <v>73.054203925340033</v>
      </c>
      <c r="I83" s="13"/>
      <c r="J83" s="13"/>
      <c r="K83" s="13"/>
      <c r="L83" s="13"/>
    </row>
    <row r="84" spans="1:12">
      <c r="A84" s="12" t="s">
        <v>481</v>
      </c>
      <c r="B84" s="14">
        <v>1.27</v>
      </c>
      <c r="C84" s="14">
        <v>1.5649999999999999</v>
      </c>
      <c r="D84" s="14">
        <v>125</v>
      </c>
      <c r="E84" s="14">
        <f t="shared" si="0"/>
        <v>1.2500000000000001E-2</v>
      </c>
      <c r="F84" s="14">
        <v>2621</v>
      </c>
      <c r="G84" s="14">
        <v>68</v>
      </c>
      <c r="H84" s="37">
        <f t="shared" si="1"/>
        <v>67.702716099823647</v>
      </c>
      <c r="I84" s="13"/>
      <c r="J84" s="13"/>
      <c r="K84" s="13"/>
      <c r="L84" s="13"/>
    </row>
    <row r="85" spans="1:12">
      <c r="A85" s="12" t="s">
        <v>482</v>
      </c>
      <c r="B85" s="14">
        <v>0.87</v>
      </c>
      <c r="C85" s="14">
        <v>0.376</v>
      </c>
      <c r="D85" s="14">
        <v>64</v>
      </c>
      <c r="E85" s="14">
        <f t="shared" si="0"/>
        <v>6.4000000000000003E-3</v>
      </c>
      <c r="F85" s="14">
        <v>2632</v>
      </c>
      <c r="G85" s="14">
        <v>46</v>
      </c>
      <c r="H85" s="37">
        <f t="shared" si="1"/>
        <v>46.182266009852221</v>
      </c>
      <c r="I85" s="13"/>
      <c r="J85" s="13"/>
      <c r="K85" s="13"/>
      <c r="L85" s="13"/>
    </row>
    <row r="86" spans="1:12">
      <c r="A86" s="12" t="s">
        <v>483</v>
      </c>
      <c r="B86" s="14">
        <v>0.77</v>
      </c>
      <c r="C86" s="14">
        <v>0.27900000000000003</v>
      </c>
      <c r="D86" s="14">
        <v>35</v>
      </c>
      <c r="E86" s="14">
        <f t="shared" si="0"/>
        <v>3.5000000000000001E-3</v>
      </c>
      <c r="F86" s="14">
        <v>2585</v>
      </c>
      <c r="G86" s="14">
        <v>72</v>
      </c>
      <c r="H86" s="37">
        <f t="shared" si="1"/>
        <v>72.087072916031204</v>
      </c>
      <c r="I86" s="13"/>
      <c r="J86" s="13"/>
      <c r="K86" s="13"/>
      <c r="L86" s="13"/>
    </row>
    <row r="87" spans="1:12">
      <c r="A87" s="12" t="s">
        <v>484</v>
      </c>
      <c r="B87" s="14">
        <v>0.63800000000000001</v>
      </c>
      <c r="C87" s="14">
        <v>0.72599999999999998</v>
      </c>
      <c r="D87" s="14">
        <v>133</v>
      </c>
      <c r="E87" s="14">
        <f t="shared" si="0"/>
        <v>1.3299999999999999E-2</v>
      </c>
      <c r="F87" s="14">
        <v>2800</v>
      </c>
      <c r="G87" s="14">
        <v>55</v>
      </c>
      <c r="H87" s="37">
        <f t="shared" si="1"/>
        <v>55.002037112485638</v>
      </c>
      <c r="I87" s="13"/>
      <c r="J87" s="13"/>
      <c r="K87" s="13"/>
      <c r="L87" s="13"/>
    </row>
    <row r="88" spans="1:12">
      <c r="A88" s="12" t="s">
        <v>485</v>
      </c>
      <c r="B88" s="14">
        <v>0.59</v>
      </c>
      <c r="C88" s="14">
        <v>0.81100000000000005</v>
      </c>
      <c r="D88" s="14">
        <v>148</v>
      </c>
      <c r="E88" s="14">
        <f t="shared" si="0"/>
        <v>1.4800000000000001E-2</v>
      </c>
      <c r="F88" s="14">
        <v>2769</v>
      </c>
      <c r="G88" s="14">
        <v>60</v>
      </c>
      <c r="H88" s="37">
        <f t="shared" si="1"/>
        <v>60.374935046694425</v>
      </c>
      <c r="I88" s="13"/>
      <c r="J88" s="13"/>
      <c r="K88" s="13"/>
      <c r="L88" s="13"/>
    </row>
    <row r="89" spans="1:12">
      <c r="A89" s="12" t="s">
        <v>486</v>
      </c>
      <c r="B89" s="14">
        <v>0.63100000000000001</v>
      </c>
      <c r="C89" s="14">
        <v>0.48699999999999999</v>
      </c>
      <c r="D89" s="14">
        <v>88</v>
      </c>
      <c r="E89" s="14">
        <f t="shared" si="0"/>
        <v>8.8000000000000005E-3</v>
      </c>
      <c r="F89" s="14">
        <v>2820</v>
      </c>
      <c r="G89" s="14">
        <v>56</v>
      </c>
      <c r="H89" s="37">
        <f t="shared" si="1"/>
        <v>55.980958044551791</v>
      </c>
      <c r="I89" s="13"/>
      <c r="J89" s="13"/>
      <c r="K89" s="13"/>
      <c r="L89" s="13"/>
    </row>
    <row r="90" spans="1:12">
      <c r="A90" s="12" t="s">
        <v>487</v>
      </c>
      <c r="B90" s="14">
        <v>0.56200000000000006</v>
      </c>
      <c r="C90" s="14">
        <v>0.86699999999999999</v>
      </c>
      <c r="D90" s="14">
        <v>157</v>
      </c>
      <c r="E90" s="14">
        <f t="shared" si="0"/>
        <v>1.5699999999999999E-2</v>
      </c>
      <c r="F90" s="14">
        <v>2766</v>
      </c>
      <c r="G90" s="14">
        <v>64</v>
      </c>
      <c r="H90" s="37">
        <f t="shared" si="1"/>
        <v>63.944538720913535</v>
      </c>
      <c r="I90" s="13"/>
      <c r="J90" s="13"/>
      <c r="K90" s="13"/>
      <c r="L90" s="13"/>
    </row>
    <row r="91" spans="1:12">
      <c r="A91" s="12" t="s">
        <v>488</v>
      </c>
      <c r="B91" s="14">
        <v>0.221</v>
      </c>
      <c r="C91" s="14">
        <v>0.375</v>
      </c>
      <c r="D91" s="14">
        <v>169</v>
      </c>
      <c r="E91" s="14">
        <f t="shared" si="0"/>
        <v>1.6899999999999998E-2</v>
      </c>
      <c r="F91" s="14">
        <v>2855</v>
      </c>
      <c r="G91" s="14">
        <v>63</v>
      </c>
      <c r="H91" s="37">
        <f t="shared" si="1"/>
        <v>63.302182251296628</v>
      </c>
      <c r="I91" s="13"/>
      <c r="J91" s="13"/>
      <c r="K91" s="13"/>
      <c r="L91" s="13"/>
    </row>
    <row r="92" spans="1:12">
      <c r="A92" s="12" t="s">
        <v>489</v>
      </c>
      <c r="B92" s="14">
        <v>0.26100000000000001</v>
      </c>
      <c r="C92" s="14">
        <v>0.37</v>
      </c>
      <c r="D92" s="14">
        <v>168</v>
      </c>
      <c r="E92" s="14">
        <f t="shared" si="0"/>
        <v>1.6799999999999999E-2</v>
      </c>
      <c r="F92" s="14">
        <v>2810</v>
      </c>
      <c r="G92" s="14">
        <v>54</v>
      </c>
      <c r="H92" s="37">
        <f t="shared" si="1"/>
        <v>54.052790584880412</v>
      </c>
      <c r="I92" s="13"/>
      <c r="J92" s="13"/>
      <c r="K92" s="13"/>
      <c r="L92" s="13"/>
    </row>
    <row r="93" spans="1:12">
      <c r="A93" s="12" t="s">
        <v>490</v>
      </c>
      <c r="B93" s="14">
        <v>0.8</v>
      </c>
      <c r="C93" s="14">
        <v>1.371</v>
      </c>
      <c r="D93" s="14">
        <v>180</v>
      </c>
      <c r="E93" s="14">
        <f t="shared" si="0"/>
        <v>1.7999999999999999E-2</v>
      </c>
      <c r="F93" s="14">
        <v>2789</v>
      </c>
      <c r="G93" s="14">
        <v>62</v>
      </c>
      <c r="H93" s="37">
        <f t="shared" si="1"/>
        <v>61.446755109358186</v>
      </c>
      <c r="I93" s="13"/>
      <c r="J93" s="13"/>
      <c r="K93" s="13"/>
      <c r="L93" s="13"/>
    </row>
    <row r="94" spans="1:12">
      <c r="A94" s="12" t="s">
        <v>491</v>
      </c>
      <c r="B94" s="14">
        <v>0.73299999999999998</v>
      </c>
      <c r="C94" s="14">
        <v>2</v>
      </c>
      <c r="D94" s="14">
        <v>296</v>
      </c>
      <c r="E94" s="14">
        <f t="shared" si="0"/>
        <v>2.9600000000000001E-2</v>
      </c>
      <c r="F94" s="14">
        <v>2795</v>
      </c>
      <c r="G94" s="14">
        <v>59</v>
      </c>
      <c r="H94" s="37">
        <f t="shared" si="1"/>
        <v>59.364252390680889</v>
      </c>
      <c r="I94" s="13"/>
      <c r="J94" s="13"/>
      <c r="K94" s="13"/>
      <c r="L94" s="13"/>
    </row>
    <row r="95" spans="1:12">
      <c r="A95" s="12" t="s">
        <v>492</v>
      </c>
      <c r="B95" s="14">
        <v>0.71699999999999997</v>
      </c>
      <c r="C95" s="14">
        <v>0.75</v>
      </c>
      <c r="D95" s="14">
        <v>108</v>
      </c>
      <c r="E95" s="14">
        <f t="shared" si="0"/>
        <v>1.0800000000000001E-2</v>
      </c>
      <c r="F95" s="14">
        <v>2803</v>
      </c>
      <c r="G95" s="14">
        <v>62</v>
      </c>
      <c r="H95" s="37">
        <f t="shared" si="1"/>
        <v>62.196759698091952</v>
      </c>
      <c r="I95" s="13"/>
      <c r="J95" s="13"/>
      <c r="K95" s="13"/>
      <c r="L95" s="13"/>
    </row>
    <row r="96" spans="1:12">
      <c r="A96" s="12" t="s">
        <v>493</v>
      </c>
      <c r="B96" s="14">
        <v>0.48</v>
      </c>
      <c r="C96" s="14">
        <v>0.28999999999999998</v>
      </c>
      <c r="D96" s="14">
        <v>84</v>
      </c>
      <c r="E96" s="14">
        <f t="shared" si="0"/>
        <v>8.3999999999999995E-3</v>
      </c>
      <c r="F96" s="14">
        <v>2796</v>
      </c>
      <c r="G96" s="14">
        <v>46</v>
      </c>
      <c r="H96" s="37">
        <f t="shared" si="1"/>
        <v>46.303392601675853</v>
      </c>
      <c r="I96" s="13"/>
      <c r="J96" s="13"/>
      <c r="K96" s="13"/>
      <c r="L96" s="13"/>
    </row>
    <row r="97" spans="1:12">
      <c r="A97" s="12" t="s">
        <v>510</v>
      </c>
      <c r="B97" s="14">
        <v>1.1519999999999999</v>
      </c>
      <c r="C97" s="14">
        <v>0.746</v>
      </c>
      <c r="D97" s="14">
        <v>74</v>
      </c>
      <c r="E97" s="14">
        <f t="shared" si="0"/>
        <v>7.4000000000000003E-3</v>
      </c>
      <c r="F97" s="14">
        <v>2784</v>
      </c>
      <c r="G97" s="14">
        <v>57</v>
      </c>
      <c r="H97" s="37">
        <f t="shared" si="1"/>
        <v>56.579343351972668</v>
      </c>
      <c r="I97" s="13"/>
      <c r="J97" s="13"/>
      <c r="K97" s="13"/>
      <c r="L97" s="13"/>
    </row>
    <row r="98" spans="1:12">
      <c r="A98" s="12" t="s">
        <v>494</v>
      </c>
      <c r="B98" s="14">
        <v>1.738</v>
      </c>
      <c r="C98" s="14">
        <v>1.516</v>
      </c>
      <c r="D98" s="14">
        <v>103</v>
      </c>
      <c r="E98" s="14">
        <f t="shared" si="0"/>
        <v>1.03E-2</v>
      </c>
      <c r="F98" s="14">
        <v>2574</v>
      </c>
      <c r="G98" s="14">
        <v>59</v>
      </c>
      <c r="H98" s="37">
        <f t="shared" si="1"/>
        <v>59.221058695960089</v>
      </c>
      <c r="I98" s="13"/>
      <c r="J98" s="13"/>
      <c r="K98" s="13"/>
      <c r="L98" s="13"/>
    </row>
    <row r="99" spans="1:12">
      <c r="A99" s="12" t="s">
        <v>520</v>
      </c>
      <c r="B99" s="14">
        <v>0.89800000000000002</v>
      </c>
      <c r="C99" s="14">
        <v>0.56799999999999995</v>
      </c>
      <c r="D99" s="14">
        <v>62</v>
      </c>
      <c r="E99" s="14">
        <f t="shared" si="0"/>
        <v>6.1999999999999998E-3</v>
      </c>
      <c r="F99" s="14">
        <v>2556</v>
      </c>
      <c r="G99" s="14">
        <v>72</v>
      </c>
      <c r="H99" s="37">
        <f t="shared" si="1"/>
        <v>71.844241684029029</v>
      </c>
      <c r="I99" s="13"/>
      <c r="J99" s="13"/>
      <c r="K99" s="13"/>
      <c r="L99" s="13"/>
    </row>
    <row r="100" spans="1:12">
      <c r="A100" s="12" t="s">
        <v>495</v>
      </c>
      <c r="B100" s="14">
        <v>0.89800000000000002</v>
      </c>
      <c r="C100" s="14">
        <v>0.38500000000000001</v>
      </c>
      <c r="D100" s="14">
        <v>56</v>
      </c>
      <c r="E100" s="14">
        <f t="shared" si="0"/>
        <v>5.5999999999999999E-3</v>
      </c>
      <c r="F100" s="14">
        <v>2480</v>
      </c>
      <c r="G100" s="14">
        <v>56</v>
      </c>
      <c r="H100" s="37">
        <f t="shared" si="1"/>
        <v>55.567030677491204</v>
      </c>
      <c r="I100" s="13"/>
      <c r="J100" s="13"/>
      <c r="K100" s="13"/>
      <c r="L100" s="13"/>
    </row>
    <row r="101" spans="1:12">
      <c r="A101" s="12" t="s">
        <v>521</v>
      </c>
      <c r="B101" s="14">
        <v>0.83699999999999997</v>
      </c>
      <c r="C101" s="14">
        <v>1.5469999999999999</v>
      </c>
      <c r="D101" s="14">
        <v>252</v>
      </c>
      <c r="E101" s="14">
        <f t="shared" si="0"/>
        <v>2.52E-2</v>
      </c>
      <c r="F101" s="14">
        <v>2535</v>
      </c>
      <c r="G101" s="14">
        <v>52</v>
      </c>
      <c r="H101" s="37">
        <f t="shared" si="1"/>
        <v>52.078546702202615</v>
      </c>
      <c r="I101" s="13"/>
      <c r="J101" s="13"/>
      <c r="K101" s="13"/>
      <c r="L101" s="13"/>
    </row>
    <row r="102" spans="1:12">
      <c r="A102" s="12" t="s">
        <v>522</v>
      </c>
      <c r="B102" s="14">
        <v>1.034</v>
      </c>
      <c r="C102" s="14">
        <v>2.0099999999999998</v>
      </c>
      <c r="D102" s="14">
        <v>250</v>
      </c>
      <c r="E102" s="14">
        <f t="shared" si="0"/>
        <v>2.5000000000000001E-2</v>
      </c>
      <c r="F102" s="14">
        <v>2539</v>
      </c>
      <c r="G102" s="14">
        <v>55</v>
      </c>
      <c r="H102" s="37">
        <f t="shared" si="1"/>
        <v>55.124582623262782</v>
      </c>
      <c r="I102" s="13"/>
      <c r="J102" s="13"/>
      <c r="K102" s="13"/>
      <c r="L102" s="13"/>
    </row>
    <row r="103" spans="1:12">
      <c r="A103" s="12" t="s">
        <v>496</v>
      </c>
      <c r="B103" s="14">
        <v>0.8</v>
      </c>
      <c r="C103" s="14">
        <v>1.343</v>
      </c>
      <c r="D103" s="14">
        <v>174</v>
      </c>
      <c r="E103" s="14">
        <f t="shared" si="0"/>
        <v>1.7399999999999999E-2</v>
      </c>
      <c r="F103" s="14">
        <v>2893</v>
      </c>
      <c r="G103" s="14">
        <v>60</v>
      </c>
      <c r="H103" s="37">
        <f t="shared" si="1"/>
        <v>60.028964086916098</v>
      </c>
      <c r="I103" s="13"/>
      <c r="J103" s="13"/>
      <c r="K103" s="13"/>
      <c r="L103" s="13"/>
    </row>
    <row r="104" spans="1:12">
      <c r="A104" s="12" t="s">
        <v>497</v>
      </c>
      <c r="B104" s="14">
        <v>0.83</v>
      </c>
      <c r="C104" s="14">
        <v>0.97699999999999998</v>
      </c>
      <c r="D104" s="14">
        <v>115</v>
      </c>
      <c r="E104" s="14">
        <f t="shared" si="0"/>
        <v>1.15E-2</v>
      </c>
      <c r="F104" s="14">
        <v>2869</v>
      </c>
      <c r="G104" s="14">
        <v>64</v>
      </c>
      <c r="H104" s="37">
        <f t="shared" si="1"/>
        <v>64.218563678387909</v>
      </c>
      <c r="I104" s="13"/>
      <c r="J104" s="13"/>
      <c r="K104" s="13"/>
      <c r="L104" s="13"/>
    </row>
    <row r="105" spans="1:12">
      <c r="A105" s="12" t="s">
        <v>498</v>
      </c>
      <c r="B105" s="14">
        <v>0.84</v>
      </c>
      <c r="C105" s="14">
        <v>0.51500000000000001</v>
      </c>
      <c r="D105" s="14">
        <v>60</v>
      </c>
      <c r="E105" s="14">
        <f t="shared" si="0"/>
        <v>6.0000000000000001E-3</v>
      </c>
      <c r="F105" s="14">
        <v>2831</v>
      </c>
      <c r="G105" s="14">
        <v>65</v>
      </c>
      <c r="H105" s="37">
        <f t="shared" si="1"/>
        <v>64.969470656507042</v>
      </c>
      <c r="I105" s="13"/>
      <c r="J105" s="13"/>
      <c r="K105" s="13"/>
      <c r="L105" s="13"/>
    </row>
    <row r="106" spans="1:12">
      <c r="A106" s="12" t="s">
        <v>499</v>
      </c>
      <c r="B106" s="14">
        <v>0.64</v>
      </c>
      <c r="C106" s="14">
        <v>0.76700000000000002</v>
      </c>
      <c r="D106" s="14">
        <v>120</v>
      </c>
      <c r="E106" s="14">
        <f t="shared" si="0"/>
        <v>1.2E-2</v>
      </c>
      <c r="F106" s="14">
        <v>2888</v>
      </c>
      <c r="G106" s="14">
        <v>62</v>
      </c>
      <c r="H106" s="37">
        <f t="shared" si="1"/>
        <v>62.245715027700832</v>
      </c>
      <c r="I106" s="13"/>
      <c r="J106" s="13"/>
      <c r="K106" s="13"/>
      <c r="L106" s="13"/>
    </row>
    <row r="107" spans="1:12">
      <c r="A107" s="12" t="s">
        <v>500</v>
      </c>
      <c r="B107" s="14">
        <v>0.745</v>
      </c>
      <c r="C107" s="14">
        <v>0.76100000000000001</v>
      </c>
      <c r="D107" s="14">
        <v>109</v>
      </c>
      <c r="E107" s="14">
        <f t="shared" si="0"/>
        <v>1.09E-2</v>
      </c>
      <c r="F107" s="14">
        <v>2681</v>
      </c>
      <c r="G107" s="14">
        <v>63</v>
      </c>
      <c r="H107" s="37">
        <f t="shared" si="1"/>
        <v>62.918386543457544</v>
      </c>
      <c r="I107" s="13"/>
      <c r="J107" s="13"/>
      <c r="K107" s="13"/>
      <c r="L107" s="13"/>
    </row>
    <row r="108" spans="1:12">
      <c r="A108" s="12" t="s">
        <v>501</v>
      </c>
      <c r="B108" s="14">
        <v>0.40699999999999997</v>
      </c>
      <c r="C108" s="14">
        <v>0.74199999999999999</v>
      </c>
      <c r="D108" s="14">
        <v>194</v>
      </c>
      <c r="E108" s="14">
        <f t="shared" si="0"/>
        <v>1.9400000000000001E-2</v>
      </c>
      <c r="F108" s="14">
        <v>2732</v>
      </c>
      <c r="G108" s="14">
        <v>62</v>
      </c>
      <c r="H108" s="37">
        <f t="shared" si="1"/>
        <v>61.915527342464308</v>
      </c>
      <c r="I108" s="13"/>
      <c r="J108" s="13"/>
      <c r="K108" s="13"/>
      <c r="L108" s="13"/>
    </row>
    <row r="109" spans="1:12">
      <c r="A109" s="12" t="s">
        <v>502</v>
      </c>
      <c r="B109" s="14">
        <v>0.35</v>
      </c>
      <c r="C109" s="14">
        <v>0.60399999999999998</v>
      </c>
      <c r="D109" s="14">
        <v>202</v>
      </c>
      <c r="E109" s="14">
        <f t="shared" si="0"/>
        <v>2.0199999999999999E-2</v>
      </c>
      <c r="F109" s="14">
        <v>2681</v>
      </c>
      <c r="G109" s="14">
        <v>57</v>
      </c>
      <c r="H109" s="37">
        <f t="shared" si="1"/>
        <v>57.35789649727483</v>
      </c>
      <c r="I109" s="13"/>
      <c r="J109" s="13"/>
      <c r="K109" s="13"/>
      <c r="L109" s="13"/>
    </row>
    <row r="110" spans="1:12">
      <c r="A110" s="12" t="s">
        <v>503</v>
      </c>
      <c r="B110" s="14">
        <v>0.17499999999999999</v>
      </c>
      <c r="C110" s="14">
        <v>0.121</v>
      </c>
      <c r="D110" s="14">
        <v>72</v>
      </c>
      <c r="E110" s="14">
        <f t="shared" si="0"/>
        <v>7.1999999999999998E-3</v>
      </c>
      <c r="F110" s="14">
        <v>2713</v>
      </c>
      <c r="G110" s="14">
        <v>64</v>
      </c>
      <c r="H110" s="37">
        <f t="shared" si="1"/>
        <v>63.714391027328737</v>
      </c>
      <c r="I110" s="13"/>
      <c r="J110" s="13"/>
      <c r="K110" s="13"/>
      <c r="L110" s="13"/>
    </row>
    <row r="111" spans="1:12">
      <c r="A111" s="12" t="s">
        <v>504</v>
      </c>
      <c r="B111" s="14">
        <v>0.54800000000000004</v>
      </c>
      <c r="C111" s="14">
        <v>1.3140000000000001</v>
      </c>
      <c r="D111" s="14">
        <v>223</v>
      </c>
      <c r="E111" s="14">
        <f t="shared" si="0"/>
        <v>2.23E-2</v>
      </c>
      <c r="F111" s="14">
        <v>2815</v>
      </c>
      <c r="G111" s="14">
        <v>69</v>
      </c>
      <c r="H111" s="37">
        <f t="shared" si="1"/>
        <v>68.754962511220072</v>
      </c>
      <c r="I111" s="13"/>
      <c r="J111" s="13"/>
      <c r="K111" s="13"/>
      <c r="L111" s="13"/>
    </row>
    <row r="112" spans="1:12">
      <c r="A112" s="12" t="s">
        <v>505</v>
      </c>
      <c r="B112" s="14">
        <v>0.25900000000000001</v>
      </c>
      <c r="C112" s="14">
        <v>0.57099999999999995</v>
      </c>
      <c r="D112" s="14">
        <v>201</v>
      </c>
      <c r="E112" s="14">
        <f t="shared" si="0"/>
        <v>2.01E-2</v>
      </c>
      <c r="F112" s="14">
        <v>2643</v>
      </c>
      <c r="G112" s="14">
        <v>75</v>
      </c>
      <c r="H112" s="37">
        <f t="shared" si="1"/>
        <v>74.699144616301169</v>
      </c>
      <c r="I112" s="13"/>
      <c r="J112" s="13"/>
      <c r="K112" s="13"/>
      <c r="L112" s="13"/>
    </row>
    <row r="113" spans="1:18">
      <c r="A113" s="12" t="s">
        <v>506</v>
      </c>
      <c r="B113" s="14">
        <v>0.58799999999999997</v>
      </c>
      <c r="C113" s="14">
        <v>0.97</v>
      </c>
      <c r="D113" s="14">
        <v>152</v>
      </c>
      <c r="E113" s="14">
        <f t="shared" si="0"/>
        <v>1.52E-2</v>
      </c>
      <c r="F113" s="14">
        <v>2965</v>
      </c>
      <c r="G113" s="14">
        <v>66</v>
      </c>
      <c r="H113" s="37">
        <f t="shared" si="1"/>
        <v>65.88683223355909</v>
      </c>
      <c r="I113" s="13"/>
      <c r="J113" s="13"/>
      <c r="K113" s="13"/>
      <c r="L113" s="13"/>
    </row>
    <row r="114" spans="1:18">
      <c r="A114" s="12" t="s">
        <v>507</v>
      </c>
      <c r="B114" s="14">
        <v>0.69199999999999995</v>
      </c>
      <c r="C114" s="14">
        <v>1.548</v>
      </c>
      <c r="D114" s="14">
        <v>205</v>
      </c>
      <c r="E114" s="14">
        <f t="shared" si="0"/>
        <v>2.0500000000000001E-2</v>
      </c>
      <c r="F114" s="14">
        <v>2884</v>
      </c>
      <c r="G114" s="14">
        <v>68</v>
      </c>
      <c r="H114" s="37">
        <f t="shared" si="1"/>
        <v>68.106450989068762</v>
      </c>
      <c r="I114" s="13"/>
      <c r="J114" s="13"/>
      <c r="K114" s="13"/>
      <c r="L114" s="13"/>
    </row>
    <row r="115" spans="1:18">
      <c r="A115" s="12" t="s">
        <v>508</v>
      </c>
      <c r="B115" s="14">
        <v>0.54700000000000004</v>
      </c>
      <c r="C115" s="14">
        <v>1.17</v>
      </c>
      <c r="D115" s="14">
        <v>183</v>
      </c>
      <c r="E115" s="14">
        <f t="shared" si="0"/>
        <v>1.83E-2</v>
      </c>
      <c r="F115" s="14">
        <v>2896</v>
      </c>
      <c r="G115" s="14">
        <v>73</v>
      </c>
      <c r="H115" s="37">
        <f t="shared" si="1"/>
        <v>72.647620378555771</v>
      </c>
      <c r="I115" s="13"/>
      <c r="J115" s="13"/>
      <c r="K115" s="13"/>
      <c r="L115" s="13"/>
    </row>
    <row r="116" spans="1:18">
      <c r="A116" s="12"/>
      <c r="B116" s="14"/>
      <c r="C116" s="14"/>
      <c r="D116" s="14"/>
      <c r="E116" s="14"/>
      <c r="F116" s="14"/>
      <c r="G116" s="14"/>
      <c r="H116" s="13"/>
      <c r="I116" s="13"/>
      <c r="J116" s="13"/>
      <c r="K116" s="13"/>
      <c r="L116" s="13"/>
    </row>
    <row r="117" spans="1:18">
      <c r="A117" s="12" t="s">
        <v>448</v>
      </c>
      <c r="B117" s="13"/>
      <c r="C117" s="14" t="s">
        <v>513</v>
      </c>
      <c r="D117" s="14" t="s">
        <v>451</v>
      </c>
      <c r="E117" s="14"/>
      <c r="F117" s="14" t="s">
        <v>452</v>
      </c>
      <c r="G117" s="13"/>
      <c r="H117" s="13" t="s">
        <v>529</v>
      </c>
      <c r="I117" s="13"/>
      <c r="K117" s="14" t="s">
        <v>515</v>
      </c>
      <c r="L117" s="13"/>
      <c r="M117" s="5" t="s">
        <v>525</v>
      </c>
      <c r="N117" s="5" t="s">
        <v>526</v>
      </c>
    </row>
    <row r="118" spans="1:18">
      <c r="A118" s="13"/>
      <c r="B118" s="13"/>
      <c r="C118" s="14" t="s">
        <v>455</v>
      </c>
      <c r="D118" s="14" t="s">
        <v>509</v>
      </c>
      <c r="E118" s="14"/>
      <c r="F118" s="14" t="s">
        <v>457</v>
      </c>
      <c r="G118" s="13"/>
      <c r="H118" s="13">
        <v>40</v>
      </c>
      <c r="I118" s="13"/>
      <c r="J118" s="13"/>
      <c r="K118" s="14" t="s">
        <v>455</v>
      </c>
      <c r="M118" s="5">
        <v>1368.1515752933401</v>
      </c>
      <c r="N118" s="5">
        <v>0</v>
      </c>
      <c r="P118">
        <f>SUM(P120:P140)</f>
        <v>2387027.8525272966</v>
      </c>
    </row>
    <row r="119" spans="1:18" s="16" customFormat="1" ht="51">
      <c r="A119" s="17"/>
      <c r="B119" s="17"/>
      <c r="C119" s="18" t="s">
        <v>459</v>
      </c>
      <c r="D119" s="17"/>
      <c r="E119" s="17"/>
      <c r="F119" s="17"/>
      <c r="G119" s="17"/>
      <c r="H119" s="17" t="s">
        <v>530</v>
      </c>
      <c r="I119" s="17" t="s">
        <v>524</v>
      </c>
      <c r="J119" s="17"/>
      <c r="K119" s="18" t="s">
        <v>459</v>
      </c>
      <c r="L119" s="17"/>
      <c r="M119" s="16" t="s">
        <v>528</v>
      </c>
      <c r="N119" s="16" t="s">
        <v>527</v>
      </c>
    </row>
    <row r="120" spans="1:18">
      <c r="A120" s="12" t="s">
        <v>510</v>
      </c>
      <c r="B120" s="14">
        <v>1.1519999999999999</v>
      </c>
      <c r="C120" s="14">
        <v>6.3E-2</v>
      </c>
      <c r="D120" s="14">
        <v>74</v>
      </c>
      <c r="E120" s="14">
        <f>D120/10000</f>
        <v>7.4000000000000003E-3</v>
      </c>
      <c r="F120" s="14">
        <v>2784</v>
      </c>
      <c r="G120" s="13"/>
      <c r="H120" s="37">
        <f t="shared" ref="H120:H140" si="2">C120*100*18.02/(F120*E120*$H$118)</f>
        <v>0.13776357176141657</v>
      </c>
      <c r="I120" s="37">
        <f>B120-H120</f>
        <v>1.0142364282385834</v>
      </c>
      <c r="J120" s="13"/>
      <c r="K120" s="11">
        <f>VLOOKUP(A120,$A$62:$C$115,3,FALSE)</f>
        <v>0.746</v>
      </c>
      <c r="L120" s="13"/>
      <c r="M120">
        <f>(K120*100*18.02)/(F120*E120)-(H120*M$118)</f>
        <v>-123.22962262245618</v>
      </c>
      <c r="N120">
        <f>I120*N$118</f>
        <v>0</v>
      </c>
      <c r="P120">
        <f>(N120-M120)^2</f>
        <v>15185.539891672963</v>
      </c>
      <c r="R120" t="e">
        <f>100*18.02*((M120/M$118)+N120/N$118)/(F120*E120)</f>
        <v>#DIV/0!</v>
      </c>
    </row>
    <row r="121" spans="1:18">
      <c r="A121" s="12" t="s">
        <v>494</v>
      </c>
      <c r="B121" s="14">
        <v>1.738</v>
      </c>
      <c r="C121" s="14">
        <v>0.50800000000000001</v>
      </c>
      <c r="D121" s="14">
        <v>103</v>
      </c>
      <c r="E121" s="14">
        <f t="shared" ref="E121:E140" si="3">D121/10000</f>
        <v>1.03E-2</v>
      </c>
      <c r="F121" s="14">
        <v>2574</v>
      </c>
      <c r="G121" s="13"/>
      <c r="H121" s="37">
        <f t="shared" si="2"/>
        <v>0.86320260106667868</v>
      </c>
      <c r="I121" s="37">
        <f t="shared" ref="I121:I140" si="4">B121-H121</f>
        <v>0.87479739893332131</v>
      </c>
      <c r="J121" s="13"/>
      <c r="K121" s="11">
        <f>VLOOKUP(A121,$A$62:$C$115,3,FALSE)</f>
        <v>1.516</v>
      </c>
      <c r="L121" s="13"/>
      <c r="M121">
        <f t="shared" ref="M121:M140" si="5">K121*100*18.02/(F121*E121)-H121*M$118</f>
        <v>-1077.9514359886468</v>
      </c>
      <c r="N121">
        <f t="shared" ref="N121:N139" si="6">I121*N$118</f>
        <v>0</v>
      </c>
      <c r="P121">
        <f t="shared" ref="P121:P139" si="7">(N121-M121)^2</f>
        <v>1161979.2983499859</v>
      </c>
      <c r="R121" t="e">
        <f t="shared" ref="R121:R140" si="8">100*18.02*((M121/M$118)+N121/N$118)/(F121*E121)</f>
        <v>#DIV/0!</v>
      </c>
    </row>
    <row r="122" spans="1:18">
      <c r="A122" s="12" t="s">
        <v>490</v>
      </c>
      <c r="B122" s="14">
        <v>0.8</v>
      </c>
      <c r="C122" s="14">
        <v>7.5999999999999998E-2</v>
      </c>
      <c r="D122" s="14">
        <v>180</v>
      </c>
      <c r="E122" s="14">
        <f t="shared" si="3"/>
        <v>1.7999999999999999E-2</v>
      </c>
      <c r="F122" s="14">
        <v>2789</v>
      </c>
      <c r="G122" s="13"/>
      <c r="H122" s="37">
        <f t="shared" si="2"/>
        <v>6.8200470100792804E-2</v>
      </c>
      <c r="I122" s="37">
        <f t="shared" si="4"/>
        <v>0.73179952989920727</v>
      </c>
      <c r="J122" s="13"/>
      <c r="K122" s="11">
        <f t="shared" ref="K122:K140" si="9">VLOOKUP(A122,$A$62:$C$115,3,FALSE)</f>
        <v>1.371</v>
      </c>
      <c r="L122" s="13"/>
      <c r="M122">
        <f t="shared" si="5"/>
        <v>-44.096557178784479</v>
      </c>
      <c r="N122">
        <f t="shared" si="6"/>
        <v>0</v>
      </c>
      <c r="P122">
        <f t="shared" si="7"/>
        <v>1944.506355021809</v>
      </c>
      <c r="R122" t="e">
        <f t="shared" si="8"/>
        <v>#DIV/0!</v>
      </c>
    </row>
    <row r="123" spans="1:18">
      <c r="A123" s="12" t="s">
        <v>507</v>
      </c>
      <c r="B123" s="14">
        <v>0.69199999999999995</v>
      </c>
      <c r="C123" s="14">
        <v>0.12</v>
      </c>
      <c r="D123" s="14">
        <v>205</v>
      </c>
      <c r="E123" s="14">
        <f t="shared" si="3"/>
        <v>2.0500000000000001E-2</v>
      </c>
      <c r="F123" s="14">
        <v>2884</v>
      </c>
      <c r="G123" s="13"/>
      <c r="H123" s="37">
        <f t="shared" si="2"/>
        <v>9.1438043367951014E-2</v>
      </c>
      <c r="I123" s="37">
        <f t="shared" si="4"/>
        <v>0.60056195663204892</v>
      </c>
      <c r="J123" s="13"/>
      <c r="K123" s="11">
        <f t="shared" si="9"/>
        <v>1.548</v>
      </c>
      <c r="L123" s="13"/>
      <c r="M123">
        <f t="shared" si="5"/>
        <v>-77.919072697740205</v>
      </c>
      <c r="N123">
        <f t="shared" si="6"/>
        <v>0</v>
      </c>
      <c r="P123">
        <f t="shared" si="7"/>
        <v>6071.3818900757233</v>
      </c>
      <c r="R123" t="e">
        <f t="shared" si="8"/>
        <v>#DIV/0!</v>
      </c>
    </row>
    <row r="124" spans="1:18">
      <c r="A124" s="12" t="s">
        <v>508</v>
      </c>
      <c r="B124" s="14">
        <v>0.54700000000000004</v>
      </c>
      <c r="C124" s="14">
        <v>5.6000000000000001E-2</v>
      </c>
      <c r="D124" s="14">
        <v>183</v>
      </c>
      <c r="E124" s="14">
        <f t="shared" si="3"/>
        <v>1.83E-2</v>
      </c>
      <c r="F124" s="14">
        <v>2896</v>
      </c>
      <c r="G124" s="13"/>
      <c r="H124" s="37">
        <f t="shared" si="2"/>
        <v>4.7602874135796884E-2</v>
      </c>
      <c r="I124" s="37">
        <f t="shared" si="4"/>
        <v>0.49939712586420315</v>
      </c>
      <c r="J124" s="13"/>
      <c r="K124" s="11">
        <f t="shared" si="9"/>
        <v>1.17</v>
      </c>
      <c r="L124" s="13"/>
      <c r="M124">
        <f t="shared" si="5"/>
        <v>-25.345545281036571</v>
      </c>
      <c r="N124">
        <f t="shared" si="6"/>
        <v>0</v>
      </c>
      <c r="P124">
        <f t="shared" si="7"/>
        <v>642.39666559307523</v>
      </c>
      <c r="R124" t="e">
        <f t="shared" si="8"/>
        <v>#DIV/0!</v>
      </c>
    </row>
    <row r="125" spans="1:18">
      <c r="A125" s="12" t="s">
        <v>506</v>
      </c>
      <c r="B125" s="14">
        <v>0.58799999999999997</v>
      </c>
      <c r="C125" s="14">
        <v>3.7999999999999999E-2</v>
      </c>
      <c r="D125" s="14">
        <v>152</v>
      </c>
      <c r="E125" s="14">
        <f t="shared" si="3"/>
        <v>1.52E-2</v>
      </c>
      <c r="F125" s="14">
        <v>2965</v>
      </c>
      <c r="G125" s="13"/>
      <c r="H125" s="37">
        <f t="shared" si="2"/>
        <v>3.798482293423272E-2</v>
      </c>
      <c r="I125" s="37">
        <f t="shared" si="4"/>
        <v>0.5500151770657673</v>
      </c>
      <c r="J125" s="13"/>
      <c r="K125" s="11">
        <f t="shared" si="9"/>
        <v>0.97</v>
      </c>
      <c r="L125" s="13"/>
      <c r="M125">
        <f t="shared" si="5"/>
        <v>-13.184491917650419</v>
      </c>
      <c r="N125">
        <f t="shared" si="6"/>
        <v>0</v>
      </c>
      <c r="P125">
        <f t="shared" si="7"/>
        <v>173.83082712658924</v>
      </c>
      <c r="R125" t="e">
        <f t="shared" si="8"/>
        <v>#DIV/0!</v>
      </c>
    </row>
    <row r="126" spans="1:18">
      <c r="A126" s="12" t="s">
        <v>516</v>
      </c>
      <c r="B126" s="14">
        <v>0.94</v>
      </c>
      <c r="C126" s="14">
        <v>0.122</v>
      </c>
      <c r="D126" s="14">
        <v>65</v>
      </c>
      <c r="E126" s="14">
        <f t="shared" si="3"/>
        <v>6.4999999999999997E-3</v>
      </c>
      <c r="F126" s="14">
        <v>2597</v>
      </c>
      <c r="G126" s="13"/>
      <c r="H126" s="37">
        <f t="shared" si="2"/>
        <v>0.3255886970172685</v>
      </c>
      <c r="I126" s="37">
        <f t="shared" si="4"/>
        <v>0.61441130298273139</v>
      </c>
      <c r="J126" s="13"/>
      <c r="K126" s="11">
        <f t="shared" si="9"/>
        <v>0.64400000000000002</v>
      </c>
      <c r="L126" s="13"/>
      <c r="M126">
        <f t="shared" si="5"/>
        <v>-376.70743597462922</v>
      </c>
      <c r="N126">
        <f t="shared" si="6"/>
        <v>0</v>
      </c>
      <c r="P126">
        <f t="shared" si="7"/>
        <v>141908.49231857937</v>
      </c>
      <c r="R126" t="e">
        <f t="shared" si="8"/>
        <v>#DIV/0!</v>
      </c>
    </row>
    <row r="127" spans="1:18">
      <c r="A127" s="12" t="s">
        <v>481</v>
      </c>
      <c r="B127" s="14">
        <v>1.27</v>
      </c>
      <c r="C127" s="14">
        <v>0.29599999999999999</v>
      </c>
      <c r="D127" s="14">
        <v>125</v>
      </c>
      <c r="E127" s="14">
        <f t="shared" si="3"/>
        <v>1.2500000000000001E-2</v>
      </c>
      <c r="F127" s="14">
        <v>2621</v>
      </c>
      <c r="G127" s="13"/>
      <c r="H127" s="37">
        <f t="shared" si="2"/>
        <v>0.40701411674933224</v>
      </c>
      <c r="I127" s="37">
        <f t="shared" si="4"/>
        <v>0.86298588325066783</v>
      </c>
      <c r="J127" s="13"/>
      <c r="K127" s="11">
        <f t="shared" si="9"/>
        <v>1.5649999999999999</v>
      </c>
      <c r="L127" s="13"/>
      <c r="M127">
        <f t="shared" si="5"/>
        <v>-470.77901949550943</v>
      </c>
      <c r="N127">
        <f t="shared" si="6"/>
        <v>0</v>
      </c>
      <c r="P127">
        <f t="shared" si="7"/>
        <v>221632.88519715326</v>
      </c>
      <c r="R127" t="e">
        <f t="shared" si="8"/>
        <v>#DIV/0!</v>
      </c>
    </row>
    <row r="128" spans="1:18">
      <c r="A128" s="12" t="s">
        <v>483</v>
      </c>
      <c r="B128" s="14">
        <v>0.77</v>
      </c>
      <c r="C128" s="14">
        <v>0.04</v>
      </c>
      <c r="D128" s="14">
        <v>35</v>
      </c>
      <c r="E128" s="14">
        <f t="shared" si="3"/>
        <v>3.5000000000000001E-3</v>
      </c>
      <c r="F128" s="14">
        <v>2585</v>
      </c>
      <c r="G128" s="13"/>
      <c r="H128" s="37">
        <f t="shared" si="2"/>
        <v>0.19917104172423322</v>
      </c>
      <c r="I128" s="37">
        <f t="shared" si="4"/>
        <v>0.57082895827576685</v>
      </c>
      <c r="J128" s="13"/>
      <c r="K128" s="11">
        <f t="shared" si="9"/>
        <v>0.27900000000000003</v>
      </c>
      <c r="L128" s="13"/>
      <c r="M128">
        <f t="shared" si="5"/>
        <v>-216.92745384676419</v>
      </c>
      <c r="N128">
        <f t="shared" si="6"/>
        <v>0</v>
      </c>
      <c r="P128">
        <f t="shared" si="7"/>
        <v>47057.520232440009</v>
      </c>
      <c r="R128" t="e">
        <f t="shared" si="8"/>
        <v>#DIV/0!</v>
      </c>
    </row>
    <row r="129" spans="1:18">
      <c r="A129" s="12" t="s">
        <v>479</v>
      </c>
      <c r="B129" s="14">
        <v>1.17</v>
      </c>
      <c r="C129" s="14">
        <v>6.9000000000000006E-2</v>
      </c>
      <c r="D129" s="14">
        <v>110</v>
      </c>
      <c r="E129" s="14">
        <f t="shared" si="3"/>
        <v>1.0999999999999999E-2</v>
      </c>
      <c r="F129" s="14">
        <v>2561</v>
      </c>
      <c r="G129" s="13"/>
      <c r="H129" s="37">
        <f t="shared" si="2"/>
        <v>0.11034219587519081</v>
      </c>
      <c r="I129" s="37">
        <f t="shared" si="4"/>
        <v>1.059657804124809</v>
      </c>
      <c r="J129" s="13"/>
      <c r="K129" s="11">
        <f t="shared" si="9"/>
        <v>0.32</v>
      </c>
      <c r="L129" s="13"/>
      <c r="M129">
        <f t="shared" si="5"/>
        <v>-130.49557219199119</v>
      </c>
      <c r="N129">
        <f t="shared" si="6"/>
        <v>0</v>
      </c>
      <c r="P129">
        <f t="shared" si="7"/>
        <v>17029.094361715182</v>
      </c>
      <c r="R129" t="e">
        <f t="shared" si="8"/>
        <v>#DIV/0!</v>
      </c>
    </row>
    <row r="130" spans="1:18">
      <c r="A130" s="12" t="s">
        <v>492</v>
      </c>
      <c r="B130" s="14">
        <v>0.71699999999999997</v>
      </c>
      <c r="C130" s="14">
        <v>1.9E-2</v>
      </c>
      <c r="D130" s="14">
        <v>1.08</v>
      </c>
      <c r="E130" s="14">
        <f t="shared" si="3"/>
        <v>1.0800000000000001E-4</v>
      </c>
      <c r="F130" s="14">
        <v>2803</v>
      </c>
      <c r="G130" s="13"/>
      <c r="H130" s="37">
        <f t="shared" si="2"/>
        <v>2.8274930299546779</v>
      </c>
      <c r="I130" s="37">
        <f t="shared" si="4"/>
        <v>-2.1104930299546778</v>
      </c>
      <c r="J130" s="13"/>
      <c r="K130" s="11">
        <f t="shared" si="9"/>
        <v>0.75</v>
      </c>
      <c r="L130" s="13"/>
      <c r="M130">
        <f t="shared" si="5"/>
        <v>596.02363581237523</v>
      </c>
      <c r="N130">
        <f t="shared" si="6"/>
        <v>0</v>
      </c>
      <c r="P130">
        <f t="shared" si="7"/>
        <v>355244.17444700288</v>
      </c>
      <c r="R130" t="e">
        <f t="shared" si="8"/>
        <v>#DIV/0!</v>
      </c>
    </row>
    <row r="131" spans="1:18">
      <c r="A131" s="12" t="s">
        <v>491</v>
      </c>
      <c r="B131" s="14">
        <v>0.73299999999999998</v>
      </c>
      <c r="C131" s="14">
        <v>0.105</v>
      </c>
      <c r="D131" s="14">
        <v>296</v>
      </c>
      <c r="E131" s="14">
        <f t="shared" si="3"/>
        <v>2.9600000000000001E-2</v>
      </c>
      <c r="F131" s="14">
        <v>2795</v>
      </c>
      <c r="G131" s="13"/>
      <c r="H131" s="37">
        <f t="shared" si="2"/>
        <v>5.7175578977904568E-2</v>
      </c>
      <c r="I131" s="37">
        <f t="shared" si="4"/>
        <v>0.67582442102209539</v>
      </c>
      <c r="J131" s="13"/>
      <c r="K131" s="11">
        <f t="shared" si="9"/>
        <v>2</v>
      </c>
      <c r="L131" s="13"/>
      <c r="M131">
        <f t="shared" si="5"/>
        <v>-34.662512559001634</v>
      </c>
      <c r="N131">
        <f t="shared" si="6"/>
        <v>0</v>
      </c>
      <c r="P131">
        <f t="shared" si="7"/>
        <v>1201.489776902946</v>
      </c>
      <c r="R131" t="e">
        <f t="shared" si="8"/>
        <v>#DIV/0!</v>
      </c>
    </row>
    <row r="132" spans="1:18">
      <c r="A132" s="12" t="s">
        <v>517</v>
      </c>
      <c r="B132" s="14">
        <v>0.8</v>
      </c>
      <c r="C132" s="14">
        <v>6.4000000000000001E-2</v>
      </c>
      <c r="D132" s="14">
        <v>174</v>
      </c>
      <c r="E132" s="14">
        <f t="shared" si="3"/>
        <v>1.7399999999999999E-2</v>
      </c>
      <c r="F132" s="14">
        <v>2893</v>
      </c>
      <c r="G132" s="13"/>
      <c r="H132" s="37">
        <f t="shared" si="2"/>
        <v>5.7276581204731204E-2</v>
      </c>
      <c r="I132" s="37">
        <f t="shared" si="4"/>
        <v>0.74272341879526882</v>
      </c>
      <c r="J132" s="13"/>
      <c r="K132" s="11">
        <f t="shared" si="9"/>
        <v>1.343</v>
      </c>
      <c r="L132" s="13"/>
      <c r="M132">
        <f t="shared" si="5"/>
        <v>-30.286514453948655</v>
      </c>
      <c r="N132">
        <f t="shared" si="6"/>
        <v>0</v>
      </c>
      <c r="P132">
        <f t="shared" si="7"/>
        <v>917.27295776924075</v>
      </c>
      <c r="R132" t="e">
        <f t="shared" si="8"/>
        <v>#DIV/0!</v>
      </c>
    </row>
    <row r="133" spans="1:18">
      <c r="A133" s="12" t="s">
        <v>497</v>
      </c>
      <c r="B133" s="14">
        <v>0.83</v>
      </c>
      <c r="C133" s="14">
        <v>4.3999999999999997E-2</v>
      </c>
      <c r="D133" s="14">
        <v>115</v>
      </c>
      <c r="E133" s="14">
        <f t="shared" si="3"/>
        <v>1.15E-2</v>
      </c>
      <c r="F133" s="14">
        <v>2869</v>
      </c>
      <c r="G133" s="13"/>
      <c r="H133" s="37">
        <f t="shared" si="2"/>
        <v>6.0078500310667249E-2</v>
      </c>
      <c r="I133" s="37">
        <f t="shared" si="4"/>
        <v>0.76992149968933266</v>
      </c>
      <c r="J133" s="13"/>
      <c r="K133" s="11">
        <f t="shared" si="9"/>
        <v>0.97699999999999998</v>
      </c>
      <c r="L133" s="13"/>
      <c r="M133">
        <f t="shared" si="5"/>
        <v>-28.835863201735442</v>
      </c>
      <c r="N133">
        <f t="shared" si="6"/>
        <v>0</v>
      </c>
      <c r="P133">
        <f t="shared" si="7"/>
        <v>831.50700658920016</v>
      </c>
      <c r="R133" t="e">
        <f t="shared" si="8"/>
        <v>#DIV/0!</v>
      </c>
    </row>
    <row r="134" spans="1:18">
      <c r="A134" s="12" t="s">
        <v>518</v>
      </c>
      <c r="B134" s="14">
        <v>0.84</v>
      </c>
      <c r="C134" s="14">
        <v>2.5999999999999999E-2</v>
      </c>
      <c r="D134" s="14">
        <v>60</v>
      </c>
      <c r="E134" s="14">
        <f t="shared" si="3"/>
        <v>6.0000000000000001E-3</v>
      </c>
      <c r="F134" s="14">
        <v>2831</v>
      </c>
      <c r="G134" s="13"/>
      <c r="H134" s="37">
        <f t="shared" si="2"/>
        <v>6.8956787943011896E-2</v>
      </c>
      <c r="I134" s="37">
        <f t="shared" si="4"/>
        <v>0.77104321205698811</v>
      </c>
      <c r="J134" s="13"/>
      <c r="K134" s="11">
        <f t="shared" si="9"/>
        <v>0.51500000000000001</v>
      </c>
      <c r="L134" s="13"/>
      <c r="M134">
        <f t="shared" si="5"/>
        <v>-39.70834452732187</v>
      </c>
      <c r="N134">
        <f t="shared" si="6"/>
        <v>0</v>
      </c>
      <c r="P134">
        <f t="shared" si="7"/>
        <v>1576.7526251004927</v>
      </c>
      <c r="R134" t="e">
        <f t="shared" si="8"/>
        <v>#DIV/0!</v>
      </c>
    </row>
    <row r="135" spans="1:18">
      <c r="A135" s="12" t="s">
        <v>499</v>
      </c>
      <c r="B135" s="14">
        <v>0.64</v>
      </c>
      <c r="C135" s="14">
        <v>4.3999999999999997E-2</v>
      </c>
      <c r="D135" s="14">
        <v>120</v>
      </c>
      <c r="E135" s="14">
        <f t="shared" si="3"/>
        <v>1.2E-2</v>
      </c>
      <c r="F135" s="14">
        <v>2888</v>
      </c>
      <c r="G135" s="13"/>
      <c r="H135" s="37">
        <f t="shared" si="2"/>
        <v>5.7196445060018454E-2</v>
      </c>
      <c r="I135" s="37">
        <f t="shared" si="4"/>
        <v>0.58280355493998159</v>
      </c>
      <c r="J135" s="13"/>
      <c r="K135" s="11">
        <f t="shared" si="9"/>
        <v>0.76700000000000002</v>
      </c>
      <c r="L135" s="13"/>
      <c r="M135">
        <f t="shared" si="5"/>
        <v>-38.371885172739439</v>
      </c>
      <c r="N135">
        <f t="shared" si="6"/>
        <v>0</v>
      </c>
      <c r="P135">
        <f t="shared" si="7"/>
        <v>1472.4015717099007</v>
      </c>
      <c r="R135" t="e">
        <f t="shared" si="8"/>
        <v>#DIV/0!</v>
      </c>
    </row>
    <row r="136" spans="1:18">
      <c r="A136" s="12" t="s">
        <v>519</v>
      </c>
      <c r="B136" s="14">
        <v>0.89800000000000002</v>
      </c>
      <c r="C136" s="14">
        <v>2.8000000000000001E-2</v>
      </c>
      <c r="D136" s="14">
        <v>62</v>
      </c>
      <c r="E136" s="14">
        <f t="shared" si="3"/>
        <v>6.1999999999999998E-3</v>
      </c>
      <c r="F136" s="14">
        <v>2556</v>
      </c>
      <c r="G136" s="13"/>
      <c r="H136" s="37">
        <f t="shared" si="2"/>
        <v>7.959765763037005E-2</v>
      </c>
      <c r="I136" s="37">
        <f t="shared" si="4"/>
        <v>0.81840234236962994</v>
      </c>
      <c r="J136" s="13"/>
      <c r="K136" s="11">
        <f t="shared" si="9"/>
        <v>0.56799999999999995</v>
      </c>
      <c r="L136" s="13"/>
      <c r="M136">
        <f t="shared" si="5"/>
        <v>-44.31384705657905</v>
      </c>
      <c r="N136">
        <f t="shared" si="6"/>
        <v>0</v>
      </c>
      <c r="P136">
        <f t="shared" si="7"/>
        <v>1963.7170409538796</v>
      </c>
      <c r="R136" t="e">
        <f t="shared" si="8"/>
        <v>#DIV/0!</v>
      </c>
    </row>
    <row r="137" spans="1:18">
      <c r="A137" s="12" t="s">
        <v>495</v>
      </c>
      <c r="B137" s="14">
        <v>0.89800000000000002</v>
      </c>
      <c r="C137" s="14">
        <v>0.121</v>
      </c>
      <c r="D137" s="14">
        <v>56</v>
      </c>
      <c r="E137" s="14">
        <f t="shared" si="3"/>
        <v>5.5999999999999999E-3</v>
      </c>
      <c r="F137" s="14">
        <v>2480</v>
      </c>
      <c r="G137" s="13"/>
      <c r="H137" s="37">
        <f t="shared" si="2"/>
        <v>0.39250072004608294</v>
      </c>
      <c r="I137" s="37">
        <f t="shared" si="4"/>
        <v>0.50549927995391708</v>
      </c>
      <c r="J137" s="13"/>
      <c r="K137" s="11">
        <f t="shared" si="9"/>
        <v>0.38500000000000001</v>
      </c>
      <c r="L137" s="13"/>
      <c r="M137">
        <f t="shared" si="5"/>
        <v>-487.04584133804445</v>
      </c>
      <c r="N137">
        <f t="shared" si="6"/>
        <v>0</v>
      </c>
      <c r="P137">
        <f t="shared" si="7"/>
        <v>237213.65156468356</v>
      </c>
      <c r="R137" t="e">
        <f t="shared" si="8"/>
        <v>#DIV/0!</v>
      </c>
    </row>
    <row r="138" spans="1:18">
      <c r="A138" s="12" t="s">
        <v>511</v>
      </c>
      <c r="B138" s="14">
        <v>0.83699999999999997</v>
      </c>
      <c r="C138" s="14">
        <v>0.311</v>
      </c>
      <c r="D138" s="14">
        <v>252</v>
      </c>
      <c r="E138" s="14">
        <f t="shared" si="3"/>
        <v>2.52E-2</v>
      </c>
      <c r="F138" s="14">
        <v>2535</v>
      </c>
      <c r="G138" s="13"/>
      <c r="H138" s="37">
        <f t="shared" si="2"/>
        <v>0.21931921354998282</v>
      </c>
      <c r="I138" s="37">
        <f t="shared" si="4"/>
        <v>0.61768078645001712</v>
      </c>
      <c r="J138" s="13"/>
      <c r="K138" s="11">
        <f t="shared" si="9"/>
        <v>1.5469999999999999</v>
      </c>
      <c r="L138" s="13"/>
      <c r="M138">
        <f t="shared" si="5"/>
        <v>-256.42375087232887</v>
      </c>
      <c r="N138">
        <f t="shared" si="6"/>
        <v>0</v>
      </c>
      <c r="P138">
        <f t="shared" si="7"/>
        <v>65753.140011434181</v>
      </c>
      <c r="R138" t="e">
        <f t="shared" si="8"/>
        <v>#DIV/0!</v>
      </c>
    </row>
    <row r="139" spans="1:18">
      <c r="A139" s="12" t="s">
        <v>512</v>
      </c>
      <c r="B139" s="14">
        <v>1.034</v>
      </c>
      <c r="C139" s="14">
        <v>0.39400000000000002</v>
      </c>
      <c r="D139" s="14">
        <v>250</v>
      </c>
      <c r="E139" s="14">
        <f t="shared" si="3"/>
        <v>2.5000000000000001E-2</v>
      </c>
      <c r="F139" s="14">
        <v>2539</v>
      </c>
      <c r="G139" s="13"/>
      <c r="H139" s="37">
        <f t="shared" si="2"/>
        <v>0.27963292634895626</v>
      </c>
      <c r="I139" s="37">
        <f t="shared" si="4"/>
        <v>0.75436707365104372</v>
      </c>
      <c r="J139" s="13"/>
      <c r="K139" s="11">
        <f t="shared" si="9"/>
        <v>2.0099999999999998</v>
      </c>
      <c r="L139" s="13"/>
      <c r="M139">
        <f t="shared" si="5"/>
        <v>-325.51807823527679</v>
      </c>
      <c r="N139">
        <f t="shared" si="6"/>
        <v>0</v>
      </c>
      <c r="P139">
        <f t="shared" si="7"/>
        <v>105962.01925798778</v>
      </c>
      <c r="R139" t="e">
        <f t="shared" si="8"/>
        <v>#DIV/0!</v>
      </c>
    </row>
    <row r="140" spans="1:18">
      <c r="A140" s="12" t="s">
        <v>523</v>
      </c>
      <c r="B140" s="14">
        <v>1.0209999999999999</v>
      </c>
      <c r="C140" s="14">
        <v>6.3E-2</v>
      </c>
      <c r="D140" s="14">
        <v>214</v>
      </c>
      <c r="E140" s="14">
        <f t="shared" si="3"/>
        <v>2.1399999999999999E-2</v>
      </c>
      <c r="F140" s="14">
        <v>2718</v>
      </c>
      <c r="G140" s="13"/>
      <c r="H140" s="37">
        <f t="shared" si="2"/>
        <v>4.8794640094076865E-2</v>
      </c>
      <c r="I140" s="37">
        <f t="shared" si="4"/>
        <v>0.97220535990592305</v>
      </c>
      <c r="J140" s="13"/>
      <c r="K140" s="11">
        <f t="shared" si="9"/>
        <v>1.006</v>
      </c>
      <c r="L140" s="13"/>
      <c r="M140">
        <f t="shared" si="5"/>
        <v>-35.591855498112146</v>
      </c>
      <c r="N140">
        <f>I140*N$118</f>
        <v>0</v>
      </c>
      <c r="P140">
        <f>(N140-M140)^2</f>
        <v>1266.7801777984957</v>
      </c>
      <c r="R140" t="e">
        <f t="shared" si="8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Allison et al. 2019</vt:lpstr>
      <vt:lpstr>Shishkina 2010</vt:lpstr>
      <vt:lpstr>Combined Solve</vt:lpstr>
      <vt:lpstr>Pandya 1992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Towbin</dc:creator>
  <cp:lastModifiedBy>William Towbin</cp:lastModifiedBy>
  <dcterms:created xsi:type="dcterms:W3CDTF">2020-09-18T16:56:22Z</dcterms:created>
  <dcterms:modified xsi:type="dcterms:W3CDTF">2020-12-03T02:49:49Z</dcterms:modified>
</cp:coreProperties>
</file>