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7"/>
  <workbookPr/>
  <mc:AlternateContent xmlns:mc="http://schemas.openxmlformats.org/markup-compatibility/2006">
    <mc:Choice Requires="x15">
      <x15ac:absPath xmlns:x15ac="http://schemas.microsoft.com/office/spreadsheetml/2010/11/ac" url="C:\Users\Administrator\Desktop\定位\4. 标定流程说明\0704三代车标定\21-07-04DR3\2. 直线标定实验\"/>
    </mc:Choice>
  </mc:AlternateContent>
  <xr:revisionPtr revIDLastSave="0" documentId="13_ncr:1_{256AC409-CC33-413E-BB6A-338395A67E63}" xr6:coauthVersionLast="36" xr6:coauthVersionMax="36" xr10:uidLastSave="{00000000-0000-0000-0000-000000000000}"/>
  <bookViews>
    <workbookView xWindow="0" yWindow="0" windowWidth="22368" windowHeight="9420" tabRatio="295" xr2:uid="{00000000-000D-0000-FFFF-FFFF00000000}"/>
  </bookViews>
  <sheets>
    <sheet name="实验表格" sheetId="1" r:id="rId1"/>
    <sheet name="Sheet1" sheetId="4" r:id="rId2"/>
    <sheet name="验证表格" sheetId="2" r:id="rId3"/>
    <sheet name="取整分析" sheetId="3" r:id="rId4"/>
  </sheets>
  <calcPr calcId="191029"/>
</workbook>
</file>

<file path=xl/calcChain.xml><?xml version="1.0" encoding="utf-8"?>
<calcChain xmlns="http://schemas.openxmlformats.org/spreadsheetml/2006/main">
  <c r="B25" i="1" l="1"/>
  <c r="C21" i="1"/>
  <c r="K17" i="3" l="1"/>
  <c r="J17" i="3"/>
  <c r="I17" i="3"/>
  <c r="H17" i="3"/>
  <c r="E17" i="3"/>
  <c r="D17" i="3"/>
  <c r="C17" i="3"/>
  <c r="B17" i="3"/>
  <c r="C14" i="3"/>
  <c r="C15" i="3" s="1"/>
  <c r="C16" i="3" s="1"/>
  <c r="K13" i="3"/>
  <c r="J13" i="3"/>
  <c r="I13" i="3"/>
  <c r="H13" i="3"/>
  <c r="E13" i="3"/>
  <c r="D13" i="3"/>
  <c r="C13" i="3"/>
  <c r="B13" i="3"/>
  <c r="K12" i="3"/>
  <c r="K14" i="3" s="1"/>
  <c r="K15" i="3" s="1"/>
  <c r="K16" i="3" s="1"/>
  <c r="J12" i="3"/>
  <c r="J14" i="3" s="1"/>
  <c r="J15" i="3" s="1"/>
  <c r="J16" i="3" s="1"/>
  <c r="I12" i="3"/>
  <c r="I14" i="3" s="1"/>
  <c r="I15" i="3" s="1"/>
  <c r="I16" i="3" s="1"/>
  <c r="H12" i="3"/>
  <c r="H14" i="3" s="1"/>
  <c r="H15" i="3" s="1"/>
  <c r="E12" i="3"/>
  <c r="E14" i="3" s="1"/>
  <c r="E15" i="3" s="1"/>
  <c r="E16" i="3" s="1"/>
  <c r="D12" i="3"/>
  <c r="D14" i="3" s="1"/>
  <c r="D15" i="3" s="1"/>
  <c r="D16" i="3" s="1"/>
  <c r="C12" i="3"/>
  <c r="B12" i="3"/>
  <c r="B14" i="3" s="1"/>
  <c r="B15" i="3" s="1"/>
  <c r="G5" i="2"/>
  <c r="D5" i="2"/>
  <c r="G4" i="2"/>
  <c r="D4" i="2"/>
  <c r="G3" i="2"/>
  <c r="D3" i="2"/>
  <c r="G2" i="2"/>
  <c r="D2" i="2"/>
  <c r="E17" i="1"/>
  <c r="D17" i="1"/>
  <c r="C17" i="1"/>
  <c r="B17" i="1"/>
  <c r="L15" i="1"/>
  <c r="P21" i="1" s="1"/>
  <c r="P26" i="1" s="1"/>
  <c r="K15" i="1"/>
  <c r="O21" i="1" s="1"/>
  <c r="O26" i="1" s="1"/>
  <c r="J15" i="1"/>
  <c r="N21" i="1" s="1"/>
  <c r="N26" i="1" s="1"/>
  <c r="I15" i="1"/>
  <c r="L14" i="1"/>
  <c r="Q14" i="1" s="1"/>
  <c r="K14" i="1"/>
  <c r="K19" i="1" s="1"/>
  <c r="K24" i="1" s="1"/>
  <c r="J14" i="1"/>
  <c r="I14" i="1"/>
  <c r="I21" i="1" s="1"/>
  <c r="I26" i="1" s="1"/>
  <c r="E13" i="1"/>
  <c r="D13" i="1"/>
  <c r="C13" i="1"/>
  <c r="B13" i="1"/>
  <c r="E12" i="1"/>
  <c r="D12" i="1"/>
  <c r="C12" i="1"/>
  <c r="B12" i="1"/>
  <c r="B14" i="1" s="1"/>
  <c r="B15" i="1" s="1"/>
  <c r="C14" i="1" l="1"/>
  <c r="C15" i="1" s="1"/>
  <c r="C16" i="1" s="1"/>
  <c r="Q15" i="1"/>
  <c r="P22" i="1"/>
  <c r="P27" i="1" s="1"/>
  <c r="L19" i="1"/>
  <c r="L24" i="1" s="1"/>
  <c r="O20" i="1"/>
  <c r="O25" i="1" s="1"/>
  <c r="K21" i="1"/>
  <c r="K26" i="1" s="1"/>
  <c r="L21" i="1"/>
  <c r="L26" i="1" s="1"/>
  <c r="P20" i="1"/>
  <c r="P25" i="1" s="1"/>
  <c r="P14" i="1"/>
  <c r="P15" i="1"/>
  <c r="O22" i="1"/>
  <c r="O27" i="1" s="1"/>
  <c r="D14" i="1"/>
  <c r="D18" i="1" s="1"/>
  <c r="E14" i="1"/>
  <c r="E18" i="1" s="1"/>
  <c r="B16" i="1"/>
  <c r="D15" i="1"/>
  <c r="D16" i="1" s="1"/>
  <c r="C19" i="3"/>
  <c r="C21" i="3" s="1"/>
  <c r="D18" i="3"/>
  <c r="D20" i="3" s="1"/>
  <c r="D22" i="3" s="1"/>
  <c r="E37" i="3"/>
  <c r="B37" i="3"/>
  <c r="B16" i="3"/>
  <c r="K37" i="3"/>
  <c r="H37" i="3"/>
  <c r="H16" i="3"/>
  <c r="C20" i="3"/>
  <c r="C22" i="3" s="1"/>
  <c r="O14" i="1"/>
  <c r="O15" i="1"/>
  <c r="J19" i="1"/>
  <c r="J24" i="1" s="1"/>
  <c r="N20" i="1"/>
  <c r="N25" i="1" s="1"/>
  <c r="J21" i="1"/>
  <c r="J26" i="1" s="1"/>
  <c r="N22" i="1"/>
  <c r="N27" i="1" s="1"/>
  <c r="B18" i="3"/>
  <c r="B20" i="3" s="1"/>
  <c r="B22" i="3" s="1"/>
  <c r="B19" i="3"/>
  <c r="B21" i="3" s="1"/>
  <c r="M19" i="1"/>
  <c r="M24" i="1" s="1"/>
  <c r="I20" i="1"/>
  <c r="I25" i="1" s="1"/>
  <c r="M21" i="1"/>
  <c r="M26" i="1" s="1"/>
  <c r="I22" i="1"/>
  <c r="I27" i="1" s="1"/>
  <c r="E18" i="3"/>
  <c r="E20" i="3" s="1"/>
  <c r="E22" i="3" s="1"/>
  <c r="C18" i="3"/>
  <c r="D19" i="3"/>
  <c r="D21" i="3" s="1"/>
  <c r="N19" i="1"/>
  <c r="N24" i="1" s="1"/>
  <c r="J20" i="1"/>
  <c r="J25" i="1" s="1"/>
  <c r="J22" i="1"/>
  <c r="J27" i="1" s="1"/>
  <c r="H18" i="3"/>
  <c r="H19" i="3" s="1"/>
  <c r="H21" i="3" s="1"/>
  <c r="O19" i="1"/>
  <c r="O24" i="1" s="1"/>
  <c r="K20" i="1"/>
  <c r="K25" i="1" s="1"/>
  <c r="K22" i="1"/>
  <c r="K27" i="1" s="1"/>
  <c r="I18" i="3"/>
  <c r="I20" i="3" s="1"/>
  <c r="I22" i="3" s="1"/>
  <c r="P19" i="1"/>
  <c r="P24" i="1" s="1"/>
  <c r="L20" i="1"/>
  <c r="L25" i="1" s="1"/>
  <c r="L22" i="1"/>
  <c r="L27" i="1" s="1"/>
  <c r="J18" i="3"/>
  <c r="J20" i="3" s="1"/>
  <c r="J22" i="3" s="1"/>
  <c r="N14" i="1"/>
  <c r="N15" i="1"/>
  <c r="B18" i="1"/>
  <c r="B20" i="1" s="1"/>
  <c r="B22" i="1" s="1"/>
  <c r="I19" i="1"/>
  <c r="I24" i="1" s="1"/>
  <c r="M20" i="1"/>
  <c r="M25" i="1" s="1"/>
  <c r="M22" i="1"/>
  <c r="M27" i="1" s="1"/>
  <c r="K18" i="3"/>
  <c r="K19" i="3" s="1"/>
  <c r="K21" i="3" s="1"/>
  <c r="E15" i="1" l="1"/>
  <c r="E16" i="1" s="1"/>
  <c r="B37" i="1"/>
  <c r="D20" i="1"/>
  <c r="D22" i="1" s="1"/>
  <c r="D24" i="1" s="1"/>
  <c r="D27" i="1" s="1"/>
  <c r="D19" i="1"/>
  <c r="D21" i="1" s="1"/>
  <c r="D23" i="1" s="1"/>
  <c r="C18" i="1"/>
  <c r="C19" i="1" s="1"/>
  <c r="C23" i="1" s="1"/>
  <c r="C25" i="1" s="1"/>
  <c r="P29" i="1"/>
  <c r="P30" i="1" s="1"/>
  <c r="P31" i="1" s="1"/>
  <c r="P32" i="1" s="1"/>
  <c r="P33" i="1" s="1"/>
  <c r="L29" i="1"/>
  <c r="L30" i="1" s="1"/>
  <c r="L31" i="1" s="1"/>
  <c r="L32" i="1" s="1"/>
  <c r="L33" i="1" s="1"/>
  <c r="N29" i="1"/>
  <c r="N30" i="1" s="1"/>
  <c r="N31" i="1" s="1"/>
  <c r="N32" i="1" s="1"/>
  <c r="K29" i="1"/>
  <c r="K30" i="1" s="1"/>
  <c r="K31" i="1" s="1"/>
  <c r="K32" i="1" s="1"/>
  <c r="K33" i="1" s="1"/>
  <c r="O29" i="1"/>
  <c r="O30" i="1" s="1"/>
  <c r="O31" i="1" s="1"/>
  <c r="O32" i="1" s="1"/>
  <c r="O33" i="1" s="1"/>
  <c r="E20" i="1"/>
  <c r="E22" i="1" s="1"/>
  <c r="E24" i="1" s="1"/>
  <c r="E19" i="1"/>
  <c r="E21" i="1" s="1"/>
  <c r="J24" i="3"/>
  <c r="H23" i="3"/>
  <c r="K25" i="3"/>
  <c r="K23" i="3"/>
  <c r="B24" i="1"/>
  <c r="B27" i="1" s="1"/>
  <c r="E36" i="3"/>
  <c r="B27" i="3"/>
  <c r="E34" i="3" s="1"/>
  <c r="B24" i="3"/>
  <c r="I27" i="3"/>
  <c r="I24" i="3"/>
  <c r="E27" i="3"/>
  <c r="E24" i="3"/>
  <c r="D27" i="3"/>
  <c r="D24" i="3"/>
  <c r="D23" i="3"/>
  <c r="D25" i="3" s="1"/>
  <c r="I19" i="3"/>
  <c r="I21" i="3" s="1"/>
  <c r="E19" i="3"/>
  <c r="E21" i="3" s="1"/>
  <c r="B19" i="1"/>
  <c r="B21" i="1" s="1"/>
  <c r="B36" i="3"/>
  <c r="B25" i="3"/>
  <c r="B23" i="3"/>
  <c r="J29" i="1"/>
  <c r="J30" i="1" s="1"/>
  <c r="J31" i="1" s="1"/>
  <c r="J32" i="1" s="1"/>
  <c r="H20" i="3"/>
  <c r="H22" i="3" s="1"/>
  <c r="K20" i="3"/>
  <c r="K22" i="3" s="1"/>
  <c r="C27" i="3"/>
  <c r="C24" i="3"/>
  <c r="J19" i="3"/>
  <c r="J21" i="3" s="1"/>
  <c r="C23" i="3"/>
  <c r="E37" i="1"/>
  <c r="I29" i="1"/>
  <c r="I30" i="1" s="1"/>
  <c r="I31" i="1" s="1"/>
  <c r="I32" i="1" s="1"/>
  <c r="M29" i="1"/>
  <c r="M30" i="1" s="1"/>
  <c r="M31" i="1" s="1"/>
  <c r="M32" i="1" s="1"/>
  <c r="C20" i="1" l="1"/>
  <c r="C22" i="1" s="1"/>
  <c r="L34" i="1"/>
  <c r="P34" i="1"/>
  <c r="K34" i="1"/>
  <c r="N34" i="1"/>
  <c r="N33" i="1"/>
  <c r="O34" i="1"/>
  <c r="E23" i="1"/>
  <c r="E25" i="1" s="1"/>
  <c r="E26" i="1" s="1"/>
  <c r="J33" i="1"/>
  <c r="J34" i="1"/>
  <c r="I23" i="3"/>
  <c r="M34" i="1"/>
  <c r="M33" i="1"/>
  <c r="B42" i="3"/>
  <c r="B41" i="3"/>
  <c r="B40" i="3"/>
  <c r="I28" i="3"/>
  <c r="H25" i="3"/>
  <c r="I33" i="1"/>
  <c r="I34" i="1"/>
  <c r="D26" i="3"/>
  <c r="B28" i="1"/>
  <c r="D25" i="1"/>
  <c r="D26" i="1" s="1"/>
  <c r="D28" i="3"/>
  <c r="D28" i="1"/>
  <c r="C26" i="1"/>
  <c r="K24" i="3"/>
  <c r="C25" i="3"/>
  <c r="B34" i="3" s="1"/>
  <c r="H24" i="3"/>
  <c r="K36" i="3"/>
  <c r="E28" i="3"/>
  <c r="B28" i="3"/>
  <c r="E35" i="3" s="1"/>
  <c r="K26" i="3"/>
  <c r="E27" i="1"/>
  <c r="E28" i="1" s="1"/>
  <c r="B36" i="1"/>
  <c r="B23" i="1"/>
  <c r="J23" i="3"/>
  <c r="J25" i="3" s="1"/>
  <c r="C28" i="3"/>
  <c r="B26" i="3"/>
  <c r="E23" i="3"/>
  <c r="E25" i="3" s="1"/>
  <c r="H36" i="3"/>
  <c r="J27" i="3"/>
  <c r="J28" i="3" s="1"/>
  <c r="B34" i="1" l="1"/>
  <c r="C24" i="1"/>
  <c r="C27" i="1" s="1"/>
  <c r="E34" i="1" s="1"/>
  <c r="E36" i="1"/>
  <c r="C26" i="3"/>
  <c r="B42" i="1"/>
  <c r="B40" i="1"/>
  <c r="B38" i="1"/>
  <c r="B41" i="1"/>
  <c r="H27" i="3"/>
  <c r="K34" i="3" s="1"/>
  <c r="H26" i="3"/>
  <c r="C40" i="3"/>
  <c r="D40" i="3" s="1"/>
  <c r="E40" i="3" s="1"/>
  <c r="B44" i="3"/>
  <c r="C44" i="3" s="1"/>
  <c r="D44" i="3" s="1"/>
  <c r="E44" i="3" s="1"/>
  <c r="B43" i="3"/>
  <c r="C43" i="3" s="1"/>
  <c r="D43" i="3" s="1"/>
  <c r="E43" i="3" s="1"/>
  <c r="I26" i="3"/>
  <c r="C41" i="3"/>
  <c r="B45" i="3"/>
  <c r="B48" i="3" s="1"/>
  <c r="B51" i="3" s="1"/>
  <c r="I25" i="3"/>
  <c r="H34" i="3" s="1"/>
  <c r="E35" i="1"/>
  <c r="C42" i="3"/>
  <c r="B46" i="3"/>
  <c r="B49" i="3" s="1"/>
  <c r="B52" i="3" s="1"/>
  <c r="K27" i="3"/>
  <c r="K28" i="3" s="1"/>
  <c r="E26" i="3"/>
  <c r="B35" i="3" s="1"/>
  <c r="J26" i="3"/>
  <c r="H42" i="3"/>
  <c r="H41" i="3"/>
  <c r="H40" i="3"/>
  <c r="B26" i="1"/>
  <c r="B35" i="1" s="1"/>
  <c r="C28" i="1" l="1"/>
  <c r="C41" i="1"/>
  <c r="C40" i="1"/>
  <c r="D40" i="1" s="1"/>
  <c r="E40" i="1" s="1"/>
  <c r="B44" i="1"/>
  <c r="C44" i="1" s="1"/>
  <c r="D44" i="1" s="1"/>
  <c r="E44" i="1" s="1"/>
  <c r="B43" i="1"/>
  <c r="C43" i="1" s="1"/>
  <c r="D43" i="1" s="1"/>
  <c r="E43" i="1" s="1"/>
  <c r="I40" i="3"/>
  <c r="J40" i="3" s="1"/>
  <c r="K40" i="3" s="1"/>
  <c r="H44" i="3"/>
  <c r="I44" i="3" s="1"/>
  <c r="J44" i="3" s="1"/>
  <c r="K44" i="3" s="1"/>
  <c r="H43" i="3"/>
  <c r="I43" i="3" s="1"/>
  <c r="J43" i="3" s="1"/>
  <c r="K43" i="3" s="1"/>
  <c r="D42" i="3"/>
  <c r="C46" i="3"/>
  <c r="C49" i="3" s="1"/>
  <c r="C52" i="3" s="1"/>
  <c r="C42" i="1"/>
  <c r="D41" i="3"/>
  <c r="C45" i="3"/>
  <c r="C48" i="3" s="1"/>
  <c r="C51" i="3" s="1"/>
  <c r="I41" i="3"/>
  <c r="H45" i="3"/>
  <c r="H48" i="3" s="1"/>
  <c r="H51" i="3" s="1"/>
  <c r="I42" i="3"/>
  <c r="H35" i="3"/>
  <c r="H28" i="3"/>
  <c r="K35" i="3" s="1"/>
  <c r="B46" i="1" l="1"/>
  <c r="B49" i="1" s="1"/>
  <c r="J41" i="3"/>
  <c r="I45" i="3"/>
  <c r="I48" i="3" s="1"/>
  <c r="I51" i="3" s="1"/>
  <c r="D45" i="3"/>
  <c r="D48" i="3" s="1"/>
  <c r="D51" i="3" s="1"/>
  <c r="E41" i="3"/>
  <c r="E45" i="3" s="1"/>
  <c r="E48" i="3" s="1"/>
  <c r="E51" i="3" s="1"/>
  <c r="C45" i="1"/>
  <c r="C48" i="1" s="1"/>
  <c r="D41" i="1"/>
  <c r="D42" i="1"/>
  <c r="C46" i="1"/>
  <c r="C49" i="1" s="1"/>
  <c r="H46" i="3"/>
  <c r="H49" i="3" s="1"/>
  <c r="H52" i="3" s="1"/>
  <c r="J42" i="3"/>
  <c r="I46" i="3"/>
  <c r="I49" i="3" s="1"/>
  <c r="I52" i="3" s="1"/>
  <c r="D46" i="3"/>
  <c r="D49" i="3" s="1"/>
  <c r="D52" i="3" s="1"/>
  <c r="E42" i="3"/>
  <c r="E46" i="3" s="1"/>
  <c r="E49" i="3" s="1"/>
  <c r="E52" i="3" s="1"/>
  <c r="B45" i="1"/>
  <c r="B48" i="1" s="1"/>
  <c r="E42" i="1" l="1"/>
  <c r="E46" i="1" s="1"/>
  <c r="E49" i="1" s="1"/>
  <c r="D46" i="1"/>
  <c r="D49" i="1" s="1"/>
  <c r="K41" i="3"/>
  <c r="K45" i="3" s="1"/>
  <c r="K48" i="3" s="1"/>
  <c r="K51" i="3" s="1"/>
  <c r="J45" i="3"/>
  <c r="J48" i="3" s="1"/>
  <c r="J51" i="3" s="1"/>
  <c r="D45" i="1"/>
  <c r="D48" i="1" s="1"/>
  <c r="E41" i="1"/>
  <c r="E45" i="1" s="1"/>
  <c r="E48" i="1" s="1"/>
  <c r="K42" i="3"/>
  <c r="K46" i="3" s="1"/>
  <c r="K49" i="3" s="1"/>
  <c r="K52" i="3" s="1"/>
  <c r="J46" i="3"/>
  <c r="J49" i="3" s="1"/>
  <c r="J52" i="3" s="1"/>
</calcChain>
</file>

<file path=xl/sharedStrings.xml><?xml version="1.0" encoding="utf-8"?>
<sst xmlns="http://schemas.openxmlformats.org/spreadsheetml/2006/main" count="206" uniqueCount="81">
  <si>
    <t>初值</t>
  </si>
  <si>
    <t>y负x负</t>
  </si>
  <si>
    <t>y正x正</t>
  </si>
  <si>
    <t>y负x正</t>
  </si>
  <si>
    <t>y正x负</t>
  </si>
  <si>
    <t>实验初始数据</t>
  </si>
  <si>
    <t>y-</t>
  </si>
  <si>
    <t>y+</t>
  </si>
  <si>
    <t>x-</t>
  </si>
  <si>
    <t>x+</t>
  </si>
  <si>
    <t>走y轴，△x = 0</t>
  </si>
  <si>
    <t>第一次</t>
  </si>
  <si>
    <t>Encoder1</t>
  </si>
  <si>
    <t>Encoder2</t>
  </si>
  <si>
    <t xml:space="preserve">△d = </t>
  </si>
  <si>
    <t xml:space="preserve"> 第二次</t>
  </si>
  <si>
    <t>走x轴，△y = 0</t>
  </si>
  <si>
    <t>第三次</t>
  </si>
  <si>
    <t>中间参数</t>
  </si>
  <si>
    <t xml:space="preserve"> 第四次</t>
  </si>
  <si>
    <t>码盘的分子</t>
  </si>
  <si>
    <t>码盘的分母</t>
  </si>
  <si>
    <t>tan_mp_a_w</t>
  </si>
  <si>
    <t>平均值</t>
  </si>
  <si>
    <t>取整</t>
  </si>
  <si>
    <t>mp_a_w</t>
  </si>
  <si>
    <t>mp_a_w_deg</t>
  </si>
  <si>
    <t>中间参数k</t>
  </si>
  <si>
    <t>误差分析</t>
  </si>
  <si>
    <t>sqrt(delta)</t>
  </si>
  <si>
    <t>tanβ的解一</t>
  </si>
  <si>
    <t>Δ（残差）</t>
  </si>
  <si>
    <t>tanβ的解二</t>
  </si>
  <si>
    <t>β的解一</t>
  </si>
  <si>
    <t>β的解二</t>
  </si>
  <si>
    <t>m-β解1</t>
  </si>
  <si>
    <t>m-β解2</t>
  </si>
  <si>
    <t>差的平方</t>
  </si>
  <si>
    <t>CM1-解1</t>
  </si>
  <si>
    <t>CM2-解1</t>
  </si>
  <si>
    <t>CM1-解2</t>
  </si>
  <si>
    <t>CM2-解2</t>
  </si>
  <si>
    <t>方差</t>
  </si>
  <si>
    <t>标准差</t>
  </si>
  <si>
    <t>平均值的标准偏差</t>
  </si>
  <si>
    <t>结果</t>
  </si>
  <si>
    <t>3σ</t>
  </si>
  <si>
    <t>解一</t>
  </si>
  <si>
    <t>解二</t>
  </si>
  <si>
    <t>上偏差</t>
  </si>
  <si>
    <t xml:space="preserve"> CM1-解2</t>
  </si>
  <si>
    <t>下偏差</t>
  </si>
  <si>
    <t xml:space="preserve"> CM2-解2</t>
  </si>
  <si>
    <t>β-解1</t>
  </si>
  <si>
    <t>β-解2</t>
  </si>
  <si>
    <t>mp</t>
  </si>
  <si>
    <t xml:space="preserve"> </t>
  </si>
  <si>
    <t>y负</t>
  </si>
  <si>
    <t xml:space="preserve"> y正</t>
  </si>
  <si>
    <t xml:space="preserve"> x负</t>
  </si>
  <si>
    <t>x正</t>
  </si>
  <si>
    <t>β+mp</t>
  </si>
  <si>
    <t>cosβ</t>
  </si>
  <si>
    <t>sinβ</t>
  </si>
  <si>
    <t>cos(β+mp)</t>
  </si>
  <si>
    <t>sin(β+mp)</t>
  </si>
  <si>
    <t xml:space="preserve">△x = </t>
  </si>
  <si>
    <t xml:space="preserve">△y = </t>
  </si>
  <si>
    <t>△x 误差</t>
  </si>
  <si>
    <t>△y 误差</t>
  </si>
  <si>
    <t>方向/距离</t>
  </si>
  <si>
    <t>小车x距离</t>
  </si>
  <si>
    <t>目标x距离</t>
  </si>
  <si>
    <t>x相对误差</t>
  </si>
  <si>
    <t>小车y距离</t>
  </si>
  <si>
    <t>目标y距离</t>
  </si>
  <si>
    <t>y相对误差</t>
  </si>
  <si>
    <t xml:space="preserve"> x+</t>
  </si>
  <si>
    <t>相对误差</t>
  </si>
  <si>
    <t>角度</t>
    <phoneticPr fontId="5" type="noConversion"/>
  </si>
  <si>
    <t>252-36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</si>
</sst>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20651875362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145481734672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1" xfId="2" applyAlignment="1">
      <alignment horizontal="center"/>
    </xf>
    <xf numFmtId="0" fontId="1" fillId="2" borderId="1" xfId="2" applyFill="1" applyAlignment="1">
      <alignment horizontal="center"/>
    </xf>
    <xf numFmtId="0" fontId="1" fillId="3" borderId="1" xfId="2" applyFill="1" applyAlignment="1">
      <alignment horizontal="center"/>
    </xf>
    <xf numFmtId="0" fontId="1" fillId="4" borderId="1" xfId="2" applyFill="1" applyAlignment="1">
      <alignment horizontal="center"/>
    </xf>
    <xf numFmtId="0" fontId="0" fillId="0" borderId="0" xfId="0" applyAlignment="1">
      <alignment horizontal="center"/>
    </xf>
    <xf numFmtId="0" fontId="2" fillId="0" borderId="2" xfId="3" applyAlignment="1">
      <alignment horizontal="center"/>
    </xf>
    <xf numFmtId="0" fontId="2" fillId="0" borderId="0" xfId="1" applyAlignment="1">
      <alignment horizontal="center"/>
    </xf>
    <xf numFmtId="0" fontId="2" fillId="5" borderId="2" xfId="3" applyFill="1" applyAlignment="1">
      <alignment horizontal="center"/>
    </xf>
    <xf numFmtId="0" fontId="4" fillId="3" borderId="0" xfId="5" applyAlignment="1">
      <alignment horizontal="center"/>
    </xf>
    <xf numFmtId="0" fontId="3" fillId="0" borderId="3" xfId="4" applyAlignment="1">
      <alignment horizontal="center"/>
    </xf>
    <xf numFmtId="0" fontId="2" fillId="0" borderId="3" xfId="1" applyBorder="1" applyAlignment="1">
      <alignment horizontal="center"/>
    </xf>
    <xf numFmtId="0" fontId="2" fillId="0" borderId="2" xfId="3" applyFont="1" applyAlignment="1">
      <alignment horizontal="center"/>
    </xf>
    <xf numFmtId="0" fontId="6" fillId="0" borderId="0" xfId="0" applyFont="1"/>
  </cellXfs>
  <cellStyles count="6">
    <cellStyle name="40% - 着色 1" xfId="5" builtinId="31"/>
    <cellStyle name="标题 2" xfId="2" builtinId="17"/>
    <cellStyle name="标题 3" xfId="3" builtinId="18"/>
    <cellStyle name="标题 4" xfId="1" builtinId="19"/>
    <cellStyle name="常规" xfId="0" builtinId="0"/>
    <cellStyle name="汇总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U49"/>
  <sheetViews>
    <sheetView tabSelected="1" zoomScale="82" zoomScaleNormal="82" workbookViewId="0">
      <selection activeCell="P11" sqref="P11"/>
    </sheetView>
  </sheetViews>
  <sheetFormatPr defaultColWidth="9" defaultRowHeight="13.8" x14ac:dyDescent="0.25"/>
  <cols>
    <col min="1" max="1" width="15.21875" customWidth="1"/>
    <col min="2" max="2" width="16.88671875" customWidth="1"/>
    <col min="3" max="3" width="15" customWidth="1"/>
    <col min="4" max="4" width="13.77734375" customWidth="1"/>
    <col min="5" max="5" width="13.33203125" customWidth="1"/>
    <col min="6" max="6" width="15" customWidth="1"/>
    <col min="7" max="7" width="11.33203125" customWidth="1"/>
    <col min="8" max="8" width="19.5546875" customWidth="1"/>
    <col min="9" max="9" width="14.33203125" customWidth="1"/>
    <col min="10" max="10" width="16.109375" customWidth="1"/>
    <col min="11" max="11" width="15.109375" customWidth="1"/>
    <col min="12" max="12" width="15.6640625" customWidth="1"/>
    <col min="16" max="16" width="12.88671875"/>
    <col min="18" max="18" width="9.44140625"/>
    <col min="20" max="20" width="9.44140625"/>
  </cols>
  <sheetData>
    <row r="1" spans="1:21" ht="16.8" x14ac:dyDescent="0.3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5"/>
      <c r="G1" s="5"/>
      <c r="H1" s="3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5"/>
      <c r="N1" s="5"/>
    </row>
    <row r="2" spans="1:21" ht="15" thickTop="1" thickBot="1" x14ac:dyDescent="0.3">
      <c r="A2" s="5" t="s">
        <v>10</v>
      </c>
      <c r="B2" s="5"/>
      <c r="C2" s="5"/>
      <c r="D2" s="5"/>
      <c r="E2" s="5"/>
      <c r="F2" s="5"/>
      <c r="G2" s="5"/>
      <c r="H2" s="11" t="s">
        <v>11</v>
      </c>
      <c r="I2" s="12">
        <v>38076</v>
      </c>
      <c r="J2" s="12">
        <v>-38144</v>
      </c>
      <c r="K2" s="11">
        <v>37909</v>
      </c>
      <c r="L2" s="11">
        <v>-37762</v>
      </c>
      <c r="M2" s="5"/>
      <c r="N2" s="12"/>
      <c r="O2" s="12"/>
      <c r="P2" s="12"/>
      <c r="Q2" s="11"/>
    </row>
    <row r="3" spans="1:21" ht="15" thickTop="1" thickBot="1" x14ac:dyDescent="0.3">
      <c r="A3" s="6" t="s">
        <v>12</v>
      </c>
      <c r="B3" s="6">
        <v>38069</v>
      </c>
      <c r="C3" s="6">
        <v>-38142</v>
      </c>
      <c r="D3" s="6">
        <v>38069</v>
      </c>
      <c r="E3" s="6">
        <v>-38142</v>
      </c>
      <c r="F3" s="5"/>
      <c r="G3" s="5"/>
      <c r="H3" s="7"/>
      <c r="I3" s="12">
        <v>38205</v>
      </c>
      <c r="J3" s="12">
        <v>-38339</v>
      </c>
      <c r="K3" s="11">
        <v>-38021</v>
      </c>
      <c r="L3" s="11">
        <v>38114</v>
      </c>
      <c r="M3" s="5"/>
      <c r="N3" s="12"/>
      <c r="O3" s="12"/>
      <c r="P3" s="12"/>
      <c r="Q3" s="11"/>
      <c r="R3" s="12"/>
    </row>
    <row r="4" spans="1:21" ht="14.4" thickBot="1" x14ac:dyDescent="0.3">
      <c r="A4" s="6" t="s">
        <v>13</v>
      </c>
      <c r="B4" s="6">
        <v>38206</v>
      </c>
      <c r="C4" s="6">
        <v>-38342</v>
      </c>
      <c r="D4" s="6">
        <v>38206</v>
      </c>
      <c r="E4" s="6">
        <v>-38342</v>
      </c>
      <c r="F4" s="5"/>
      <c r="G4" s="5"/>
      <c r="H4" s="7"/>
      <c r="I4" s="12"/>
      <c r="J4" s="12"/>
      <c r="K4" s="11"/>
      <c r="L4" s="12"/>
      <c r="M4" s="5"/>
      <c r="N4" s="12"/>
      <c r="O4" s="12"/>
      <c r="P4" s="12"/>
      <c r="Q4" s="11"/>
      <c r="R4" s="12"/>
    </row>
    <row r="5" spans="1:21" ht="14.4" thickBot="1" x14ac:dyDescent="0.3">
      <c r="A5" s="6" t="s">
        <v>14</v>
      </c>
      <c r="B5" s="6">
        <v>-216</v>
      </c>
      <c r="C5" s="6">
        <v>216</v>
      </c>
      <c r="D5" s="6">
        <v>-216</v>
      </c>
      <c r="E5" s="6">
        <v>216</v>
      </c>
      <c r="F5" s="5"/>
      <c r="G5" s="5"/>
      <c r="H5" s="11" t="s">
        <v>15</v>
      </c>
      <c r="I5" s="12">
        <v>38066</v>
      </c>
      <c r="J5" s="12">
        <v>-38145</v>
      </c>
      <c r="K5" s="11">
        <v>37900</v>
      </c>
      <c r="L5" s="11">
        <v>-37770</v>
      </c>
      <c r="M5" s="5"/>
      <c r="N5" s="12"/>
      <c r="O5" s="12"/>
      <c r="P5" s="12"/>
      <c r="Q5" s="11"/>
      <c r="R5" s="12"/>
      <c r="S5" s="5"/>
    </row>
    <row r="6" spans="1:21" ht="14.4" thickBot="1" x14ac:dyDescent="0.3">
      <c r="A6" s="5" t="s">
        <v>16</v>
      </c>
      <c r="B6" s="5"/>
      <c r="C6" s="5"/>
      <c r="D6" s="5"/>
      <c r="E6" s="5"/>
      <c r="F6" s="5"/>
      <c r="G6" s="5"/>
      <c r="H6" s="7"/>
      <c r="I6" s="12">
        <v>38204</v>
      </c>
      <c r="J6" s="12">
        <v>-38340</v>
      </c>
      <c r="K6" s="11">
        <v>-38010</v>
      </c>
      <c r="L6" s="11">
        <v>38105</v>
      </c>
      <c r="M6" s="5"/>
      <c r="N6" s="12"/>
      <c r="O6" s="12"/>
      <c r="P6" s="12"/>
      <c r="Q6" s="11"/>
      <c r="R6" s="12"/>
      <c r="S6" s="5"/>
    </row>
    <row r="7" spans="1:21" ht="14.4" thickBot="1" x14ac:dyDescent="0.3">
      <c r="A7" s="6" t="s">
        <v>12</v>
      </c>
      <c r="B7" s="6">
        <v>37905</v>
      </c>
      <c r="C7" s="6">
        <v>-37770</v>
      </c>
      <c r="D7" s="6">
        <v>-37770</v>
      </c>
      <c r="E7" s="6">
        <v>37905</v>
      </c>
      <c r="F7" s="5"/>
      <c r="G7" s="5"/>
      <c r="H7" s="7"/>
      <c r="I7" s="12"/>
      <c r="J7" s="12"/>
      <c r="K7" s="11"/>
      <c r="L7" s="12"/>
      <c r="M7" s="5"/>
      <c r="N7" s="12"/>
      <c r="O7" s="12"/>
      <c r="P7" s="12"/>
      <c r="Q7" s="11"/>
      <c r="R7" s="12"/>
    </row>
    <row r="8" spans="1:21" ht="14.4" thickBot="1" x14ac:dyDescent="0.3">
      <c r="A8" s="5" t="s">
        <v>13</v>
      </c>
      <c r="B8" s="6">
        <v>-38013</v>
      </c>
      <c r="C8" s="6">
        <v>38107</v>
      </c>
      <c r="D8" s="6">
        <v>38107</v>
      </c>
      <c r="E8" s="6">
        <v>-38013</v>
      </c>
      <c r="F8" s="5"/>
      <c r="G8" s="5"/>
      <c r="H8" s="11" t="s">
        <v>17</v>
      </c>
      <c r="I8" s="12">
        <v>38066</v>
      </c>
      <c r="J8" s="12">
        <v>-38144</v>
      </c>
      <c r="K8" s="12">
        <v>37909</v>
      </c>
      <c r="L8" s="12">
        <v>-37771</v>
      </c>
      <c r="M8" s="5"/>
      <c r="N8" s="12"/>
      <c r="O8" s="5"/>
      <c r="P8" s="12"/>
      <c r="Q8" s="11"/>
      <c r="R8" s="12"/>
    </row>
    <row r="9" spans="1:21" ht="14.4" thickBot="1" x14ac:dyDescent="0.3">
      <c r="A9" s="5"/>
      <c r="B9" s="6"/>
      <c r="C9" s="6"/>
      <c r="D9" s="6"/>
      <c r="E9" s="6"/>
      <c r="F9" s="5"/>
      <c r="G9" s="5"/>
      <c r="H9" s="7"/>
      <c r="I9" s="12">
        <v>38211</v>
      </c>
      <c r="J9" s="12">
        <v>-38346</v>
      </c>
      <c r="K9" s="12">
        <v>-38014</v>
      </c>
      <c r="L9" s="12">
        <v>38102</v>
      </c>
      <c r="M9" s="5"/>
      <c r="N9" s="12"/>
      <c r="O9" s="5"/>
      <c r="P9" s="12"/>
      <c r="Q9" s="11"/>
      <c r="R9" s="5"/>
    </row>
    <row r="10" spans="1:21" ht="14.4" thickBot="1" x14ac:dyDescent="0.3">
      <c r="A10" s="5"/>
      <c r="B10" s="5"/>
      <c r="C10" s="5"/>
      <c r="D10" s="5"/>
      <c r="E10" s="5"/>
      <c r="F10" s="5"/>
      <c r="G10" s="5"/>
      <c r="H10" s="7"/>
      <c r="I10" s="12"/>
      <c r="J10" s="12"/>
      <c r="K10" s="11"/>
      <c r="L10" s="12"/>
      <c r="M10" s="5"/>
      <c r="N10" s="12"/>
      <c r="O10" s="12"/>
      <c r="P10" s="12"/>
      <c r="Q10" s="11"/>
      <c r="R10" s="5"/>
    </row>
    <row r="11" spans="1:21" ht="16.8" x14ac:dyDescent="0.3">
      <c r="A11" s="3" t="s">
        <v>18</v>
      </c>
      <c r="B11" s="5"/>
      <c r="C11" s="5"/>
      <c r="D11" s="5"/>
      <c r="E11" s="5"/>
      <c r="F11" s="5"/>
      <c r="G11" s="5"/>
      <c r="H11" s="11" t="s">
        <v>19</v>
      </c>
      <c r="I11" s="12">
        <v>38067</v>
      </c>
      <c r="J11" s="12">
        <v>-38136</v>
      </c>
      <c r="K11" s="12">
        <v>37900</v>
      </c>
      <c r="L11" s="12">
        <v>-37776</v>
      </c>
      <c r="M11" s="5"/>
      <c r="N11" s="12"/>
      <c r="O11" s="12"/>
      <c r="P11" s="12"/>
      <c r="Q11" s="11"/>
    </row>
    <row r="12" spans="1:21" x14ac:dyDescent="0.25">
      <c r="A12" s="7" t="s">
        <v>20</v>
      </c>
      <c r="B12" s="6">
        <f>B3*B4+B7*B8</f>
        <v>13581449</v>
      </c>
      <c r="C12" s="6">
        <f>C3*C4+C7*C8</f>
        <v>23139174</v>
      </c>
      <c r="D12" s="6">
        <f>D3*D4+D7*D8</f>
        <v>15162824</v>
      </c>
      <c r="E12" s="6">
        <f>E3*E4+E7*E8</f>
        <v>21557799</v>
      </c>
      <c r="F12" s="5"/>
      <c r="G12" s="5"/>
      <c r="H12" s="7"/>
      <c r="I12" s="12">
        <v>38202</v>
      </c>
      <c r="J12" s="12">
        <v>-38341</v>
      </c>
      <c r="K12" s="12">
        <v>-38007</v>
      </c>
      <c r="L12" s="12">
        <v>38108</v>
      </c>
      <c r="M12" s="5"/>
      <c r="N12" s="12"/>
      <c r="O12" s="12"/>
      <c r="P12" s="12"/>
      <c r="Q12" s="11"/>
    </row>
    <row r="13" spans="1:21" x14ac:dyDescent="0.25">
      <c r="A13" s="7" t="s">
        <v>21</v>
      </c>
      <c r="B13" s="6">
        <f>B4*B7-B3*B8</f>
        <v>2895315327</v>
      </c>
      <c r="C13" s="6">
        <f>C4*C7-C3*C8</f>
        <v>2901654534</v>
      </c>
      <c r="D13" s="6">
        <f>D4*D7-D3*D8</f>
        <v>-2893736003</v>
      </c>
      <c r="E13" s="6">
        <f>E4*E7-E3*E8</f>
        <v>-2903245356</v>
      </c>
      <c r="F13" s="5"/>
      <c r="G13" s="5"/>
      <c r="H13" s="7"/>
      <c r="I13" s="12"/>
      <c r="J13" s="12"/>
      <c r="K13" s="11"/>
      <c r="L13" s="12"/>
      <c r="M13" s="5"/>
      <c r="N13" s="12"/>
      <c r="O13" s="12"/>
      <c r="P13" s="12"/>
      <c r="Q13" s="11"/>
    </row>
    <row r="14" spans="1:21" x14ac:dyDescent="0.25">
      <c r="A14" s="7" t="s">
        <v>22</v>
      </c>
      <c r="B14" s="6">
        <f>B12/B13</f>
        <v>4.6908358731594553E-3</v>
      </c>
      <c r="C14" s="6">
        <f>C12/C13</f>
        <v>7.9744758477854009E-3</v>
      </c>
      <c r="D14" s="6">
        <f>-D12/D13</f>
        <v>5.2398781313431377E-3</v>
      </c>
      <c r="E14" s="6">
        <f>-E12/E13</f>
        <v>7.4254140992415663E-3</v>
      </c>
      <c r="F14" s="5"/>
      <c r="G14" s="5"/>
      <c r="H14" s="11" t="s">
        <v>23</v>
      </c>
      <c r="I14" s="12">
        <f t="shared" ref="I14:L14" si="0">(I2+I5+I8+I11)/4</f>
        <v>38068.75</v>
      </c>
      <c r="J14" s="12">
        <f t="shared" si="0"/>
        <v>-38142.25</v>
      </c>
      <c r="K14" s="12">
        <f t="shared" si="0"/>
        <v>37904.5</v>
      </c>
      <c r="L14" s="12">
        <f t="shared" si="0"/>
        <v>-37769.75</v>
      </c>
      <c r="M14" s="5" t="s">
        <v>24</v>
      </c>
      <c r="N14" s="5">
        <f>ROUND(I14,0)</f>
        <v>38069</v>
      </c>
      <c r="O14" s="5">
        <f t="shared" ref="O14:Q14" si="1">ROUND(J14,0)</f>
        <v>-38142</v>
      </c>
      <c r="P14" s="5">
        <f t="shared" si="1"/>
        <v>37905</v>
      </c>
      <c r="Q14" s="5">
        <f t="shared" si="1"/>
        <v>-37770</v>
      </c>
      <c r="R14" s="12"/>
      <c r="S14" s="12"/>
      <c r="T14" s="12"/>
      <c r="U14" s="12"/>
    </row>
    <row r="15" spans="1:21" x14ac:dyDescent="0.25">
      <c r="A15" s="7" t="s">
        <v>25</v>
      </c>
      <c r="B15" s="6">
        <f>ATAN(B14)</f>
        <v>4.6908014679881236E-3</v>
      </c>
      <c r="C15" s="6">
        <f>ATAN(C14)</f>
        <v>7.974306815907585E-3</v>
      </c>
      <c r="D15" s="6">
        <f>ATAN(D14)</f>
        <v>5.2398301762046143E-3</v>
      </c>
      <c r="E15" s="6">
        <f>ATAN(E14)</f>
        <v>7.4252776326284367E-3</v>
      </c>
      <c r="F15" s="5"/>
      <c r="G15" s="5"/>
      <c r="H15" s="5"/>
      <c r="I15" s="12">
        <f t="shared" ref="I15:L15" si="2">(I3+I6+I9+I12)/4</f>
        <v>38205.5</v>
      </c>
      <c r="J15" s="12">
        <f t="shared" si="2"/>
        <v>-38341.5</v>
      </c>
      <c r="K15" s="12">
        <f t="shared" si="2"/>
        <v>-38013</v>
      </c>
      <c r="L15" s="12">
        <f t="shared" si="2"/>
        <v>38107.25</v>
      </c>
      <c r="M15" s="5"/>
      <c r="N15" s="5">
        <f>ROUND(I15,0)</f>
        <v>38206</v>
      </c>
      <c r="O15" s="5">
        <f t="shared" ref="O15" si="3">ROUND(J15,0)</f>
        <v>-38342</v>
      </c>
      <c r="P15" s="5">
        <f t="shared" ref="P15" si="4">ROUND(K15,0)</f>
        <v>-38013</v>
      </c>
      <c r="Q15" s="5">
        <f t="shared" ref="Q15" si="5">ROUND(L15,0)</f>
        <v>38107</v>
      </c>
      <c r="R15" s="12"/>
      <c r="S15" s="12"/>
      <c r="T15" s="12"/>
      <c r="U15" s="12"/>
    </row>
    <row r="16" spans="1:21" x14ac:dyDescent="0.25">
      <c r="A16" s="7" t="s">
        <v>26</v>
      </c>
      <c r="B16" s="6">
        <f>B15/3.1415926*180</f>
        <v>0.26876313123409518</v>
      </c>
      <c r="C16" s="6">
        <f>C15/3.1415926*180</f>
        <v>0.45689413288768421</v>
      </c>
      <c r="D16" s="6">
        <f>D15/3.1415926*180</f>
        <v>0.30022015958301868</v>
      </c>
      <c r="E16" s="6">
        <f>E15/3.1415926*180</f>
        <v>0.42543707731967495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 ht="16.8" x14ac:dyDescent="0.3">
      <c r="A17" s="7" t="s">
        <v>27</v>
      </c>
      <c r="B17" s="6">
        <f>-(B3*B8)/(B7*B4)</f>
        <v>0.99925318728594392</v>
      </c>
      <c r="C17" s="6">
        <f>-(C3*C8)/(C7*C4)</f>
        <v>1.003659671957027</v>
      </c>
      <c r="D17" s="6">
        <f>-(D3*D8)/(D7*D4)</f>
        <v>1.0053046067407305</v>
      </c>
      <c r="E17" s="6">
        <f>-(E3*E8)/(E7*E4)</f>
        <v>0.9976181541681487</v>
      </c>
      <c r="F17" s="5"/>
      <c r="G17" s="5"/>
      <c r="H17" s="3" t="s">
        <v>28</v>
      </c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18" x14ac:dyDescent="0.25">
      <c r="A18" s="7" t="s">
        <v>29</v>
      </c>
      <c r="B18" s="6">
        <f>SQRT((B17+1)*(B17+1)*B14*B14+4*B17)</f>
        <v>1.9992750434068622</v>
      </c>
      <c r="C18" s="6">
        <f>SQRT((C17+1)*(C17+1)*C14*C14+4*C17)</f>
        <v>2.0037200374920934</v>
      </c>
      <c r="D18" s="6">
        <f>SQRT((D17+1)*(D17+1)*D14*D14+4*D17)</f>
        <v>2.0053251196768112</v>
      </c>
      <c r="E18" s="6">
        <f>SQRT((E17+1)*(E17+1)*E14*E14+4*E17)</f>
        <v>1.9976718045701076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1:18" x14ac:dyDescent="0.25">
      <c r="A19" s="7" t="s">
        <v>30</v>
      </c>
      <c r="B19" s="6">
        <f>(-(1+B17)*B14+B18)/2</f>
        <v>0.99494843741820649</v>
      </c>
      <c r="C19" s="6">
        <f>(-(1+C17)*C14+C18)/2</f>
        <v>0.99387095091544519</v>
      </c>
      <c r="D19" s="6">
        <f t="shared" ref="D19:E19" si="6">(-(1+D17)*D14+D18)/2</f>
        <v>0.99740878396063437</v>
      </c>
      <c r="E19" s="6">
        <f t="shared" si="6"/>
        <v>0.9914193312816233</v>
      </c>
      <c r="F19" s="5"/>
      <c r="G19" s="5"/>
      <c r="H19" s="6" t="s">
        <v>31</v>
      </c>
      <c r="I19" s="5">
        <f>I2-I14</f>
        <v>7.25</v>
      </c>
      <c r="J19" s="5">
        <f>J2-J14</f>
        <v>-1.75</v>
      </c>
      <c r="K19" s="5">
        <f>K2-K14</f>
        <v>4.5</v>
      </c>
      <c r="L19" s="5">
        <f>L2-L14</f>
        <v>7.75</v>
      </c>
      <c r="M19" s="5">
        <f>I3-I15</f>
        <v>-0.5</v>
      </c>
      <c r="N19" s="5">
        <f>J3-J15</f>
        <v>2.5</v>
      </c>
      <c r="O19" s="5">
        <f>K3-K15</f>
        <v>-8</v>
      </c>
      <c r="P19" s="5">
        <f>L3-L15</f>
        <v>6.75</v>
      </c>
      <c r="Q19" s="5"/>
    </row>
    <row r="20" spans="1:18" x14ac:dyDescent="0.25">
      <c r="A20" s="7" t="s">
        <v>32</v>
      </c>
      <c r="B20" s="6">
        <f>(-(1+B17)*B14-B18)/2</f>
        <v>-1.0043266059886558</v>
      </c>
      <c r="C20" s="6">
        <f>(-(1+C17)*C14-C18)/2</f>
        <v>-1.0098490865766481</v>
      </c>
      <c r="D20" s="6">
        <f>(-(1+D17)*D14-D18)/2</f>
        <v>-1.0079163357161767</v>
      </c>
      <c r="E20" s="6">
        <f>(-(1+E17)*E14-E18)/2</f>
        <v>-1.0062524732884843</v>
      </c>
      <c r="F20" s="5"/>
      <c r="G20" s="5"/>
      <c r="H20" s="5"/>
      <c r="I20" s="5">
        <f>I5-I14</f>
        <v>-2.75</v>
      </c>
      <c r="J20" s="5">
        <f>J5-J14</f>
        <v>-2.75</v>
      </c>
      <c r="K20" s="5">
        <f>K5-K14</f>
        <v>-4.5</v>
      </c>
      <c r="L20" s="5">
        <f>L5-L14</f>
        <v>-0.25</v>
      </c>
      <c r="M20" s="5">
        <f>I6-I15</f>
        <v>-1.5</v>
      </c>
      <c r="N20" s="5">
        <f>J6-J15</f>
        <v>1.5</v>
      </c>
      <c r="O20" s="5">
        <f>K6-K15</f>
        <v>3</v>
      </c>
      <c r="P20" s="5">
        <f>L6-L15</f>
        <v>-2.25</v>
      </c>
      <c r="Q20" s="5"/>
    </row>
    <row r="21" spans="1:18" x14ac:dyDescent="0.25">
      <c r="A21" s="7" t="s">
        <v>33</v>
      </c>
      <c r="B21" s="6">
        <f>ATAN(B19)-PI()</f>
        <v>-2.3587266617965561</v>
      </c>
      <c r="C21" s="6">
        <f>ATAN(C19)-PI()</f>
        <v>-2.3592684252316767</v>
      </c>
      <c r="D21" s="6">
        <f>ATAN(D19)-PI()</f>
        <v>-2.3574917782620375</v>
      </c>
      <c r="E21" s="6">
        <f>ATAN(E19)-PI()</f>
        <v>-2.3605032841673097</v>
      </c>
      <c r="F21" s="5"/>
      <c r="G21" s="5"/>
      <c r="H21" s="5"/>
      <c r="I21" s="5">
        <f>I8-I14</f>
        <v>-2.75</v>
      </c>
      <c r="J21" s="5">
        <f>J8-J14</f>
        <v>-1.75</v>
      </c>
      <c r="K21" s="5">
        <f>K8-K14</f>
        <v>4.5</v>
      </c>
      <c r="L21" s="5">
        <f>L8-L14</f>
        <v>-1.25</v>
      </c>
      <c r="M21" s="5">
        <f>I9-I15</f>
        <v>5.5</v>
      </c>
      <c r="N21" s="5">
        <f>J9-J15</f>
        <v>-4.5</v>
      </c>
      <c r="O21" s="5">
        <f>K9-K15</f>
        <v>-1</v>
      </c>
      <c r="P21" s="5">
        <f>L9-L15</f>
        <v>-5.25</v>
      </c>
      <c r="Q21" s="5"/>
    </row>
    <row r="22" spans="1:18" x14ac:dyDescent="0.25">
      <c r="A22" s="7" t="s">
        <v>34</v>
      </c>
      <c r="B22" s="6">
        <f>ATAN(B20)+PI()</f>
        <v>2.354035860328568</v>
      </c>
      <c r="C22" s="6">
        <f>ATAN(C20)+PI()</f>
        <v>2.351294118415769</v>
      </c>
      <c r="D22" s="6">
        <f>ATAN(D20)+PI()</f>
        <v>2.3522519480858328</v>
      </c>
      <c r="E22" s="6">
        <f>ATAN(E20)+PI()</f>
        <v>2.3530780065346812</v>
      </c>
      <c r="F22" s="5"/>
      <c r="G22" s="5"/>
      <c r="H22" s="5"/>
      <c r="I22" s="5">
        <f>I11-I14</f>
        <v>-1.75</v>
      </c>
      <c r="J22" s="5">
        <f>J11-J14</f>
        <v>6.25</v>
      </c>
      <c r="K22" s="5">
        <f>K11-K14</f>
        <v>-4.5</v>
      </c>
      <c r="L22" s="5">
        <f>L11-L14</f>
        <v>-6.25</v>
      </c>
      <c r="M22" s="5">
        <f>I12-I15</f>
        <v>-3.5</v>
      </c>
      <c r="N22" s="5">
        <f>J12-J15</f>
        <v>0.5</v>
      </c>
      <c r="O22" s="5">
        <f>K12-K15</f>
        <v>6</v>
      </c>
      <c r="P22" s="5">
        <f>L12-L15</f>
        <v>0.75</v>
      </c>
      <c r="Q22" s="5"/>
    </row>
    <row r="23" spans="1:18" x14ac:dyDescent="0.25">
      <c r="A23" s="7" t="s">
        <v>35</v>
      </c>
      <c r="B23" s="6">
        <f>(B3*COS(B21)+B7*SIN(B21))/(B4*SIN(B21+B15)-B8*COS(B21+B15))</f>
        <v>0.996784705108957</v>
      </c>
      <c r="C23" s="6">
        <f>(C3*COS(C21)+C7*SIN(C21))/(C4*SIN(C21+C15)-C8*COS(C21+C15))</f>
        <v>0.992982940493638</v>
      </c>
      <c r="D23" s="6">
        <f>(D3*COS(D21)+D7*SIN(D21))/(D4*SIN(D21+D15)-D8*COS(D21+D15))</f>
        <v>0.99379562582341674</v>
      </c>
      <c r="E23" s="6">
        <f>(E3*COS(E21)+E7*SIN(E21))/(E4*SIN(E21+E15)-E8*COS(E21+E15))</f>
        <v>0.99596180169172421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1:18" x14ac:dyDescent="0.25">
      <c r="A24" s="7" t="s">
        <v>36</v>
      </c>
      <c r="B24" s="6">
        <f>(B3*COS(B22)+B7*SIN(+B22))/(B4*SIN(B15+B22)-B8*COS(B15+B22))</f>
        <v>-2</v>
      </c>
      <c r="C24" s="6">
        <f>(C3*COS(C22)+C7*SIN(+C22))/(C4*SIN(C15+C22)-C8*COS(C15+C22))</f>
        <v>0</v>
      </c>
      <c r="D24" s="6">
        <f>(D3*COS(D22)+D7*SIN(+D22))/(D4*SIN(D15+D22)-D8*COS(D15+D22))</f>
        <v>-0.99376807651869414</v>
      </c>
      <c r="E24" s="6">
        <f>(E3*COS(E22)+E7*SIN(+E22))/(E4*SIN(E15+E22)-E8*COS(E15+E22))</f>
        <v>-0.99597943714835635</v>
      </c>
      <c r="F24" s="5"/>
      <c r="G24" s="5"/>
      <c r="H24" s="7" t="s">
        <v>37</v>
      </c>
      <c r="I24" s="5">
        <f>I19*I19</f>
        <v>52.5625</v>
      </c>
      <c r="J24" s="5">
        <f t="shared" ref="J24:P24" si="7">J19*J19</f>
        <v>3.0625</v>
      </c>
      <c r="K24" s="5">
        <f t="shared" si="7"/>
        <v>20.25</v>
      </c>
      <c r="L24" s="5">
        <f t="shared" si="7"/>
        <v>60.0625</v>
      </c>
      <c r="M24" s="5">
        <f t="shared" si="7"/>
        <v>0.25</v>
      </c>
      <c r="N24" s="5">
        <f t="shared" si="7"/>
        <v>6.25</v>
      </c>
      <c r="O24" s="5">
        <f t="shared" si="7"/>
        <v>64</v>
      </c>
      <c r="P24" s="5">
        <f t="shared" si="7"/>
        <v>45.5625</v>
      </c>
      <c r="Q24" s="5"/>
    </row>
    <row r="25" spans="1:18" x14ac:dyDescent="0.25">
      <c r="A25" s="7" t="s">
        <v>38</v>
      </c>
      <c r="B25" s="8">
        <f>B5/(B3*SIN(B21)+B23*B4*COS(B15+B21))</f>
        <v>4.0207541859446881E-3</v>
      </c>
      <c r="C25" s="8">
        <f>C5/(C3*SIN(C21)+C23*C4*COS(C15+C21))</f>
        <v>4.0240828097299263E-3</v>
      </c>
      <c r="D25" s="6">
        <f>D5/(D3*SIN(D21)+D23*D4*COS(D15+D21))</f>
        <v>4.0279005379676592E-3</v>
      </c>
      <c r="E25" s="6">
        <f>E5/(E3*SIN(E21)+E23*E4*COS(E15+E21))</f>
        <v>4.0169509277269829E-3</v>
      </c>
      <c r="F25" s="5"/>
      <c r="G25" s="5"/>
      <c r="H25" s="5"/>
      <c r="I25" s="5">
        <f t="shared" ref="I25:P25" si="8">I20*I20</f>
        <v>7.5625</v>
      </c>
      <c r="J25" s="5">
        <f t="shared" si="8"/>
        <v>7.5625</v>
      </c>
      <c r="K25" s="5">
        <f t="shared" si="8"/>
        <v>20.25</v>
      </c>
      <c r="L25" s="5">
        <f t="shared" si="8"/>
        <v>6.25E-2</v>
      </c>
      <c r="M25" s="5">
        <f t="shared" si="8"/>
        <v>2.25</v>
      </c>
      <c r="N25" s="5">
        <f t="shared" si="8"/>
        <v>2.25</v>
      </c>
      <c r="O25" s="5">
        <f t="shared" si="8"/>
        <v>9</v>
      </c>
      <c r="P25" s="5">
        <f t="shared" si="8"/>
        <v>5.0625</v>
      </c>
      <c r="Q25" s="5"/>
    </row>
    <row r="26" spans="1:18" x14ac:dyDescent="0.25">
      <c r="A26" s="7" t="s">
        <v>39</v>
      </c>
      <c r="B26" s="6">
        <f>B23*B25</f>
        <v>4.0078262755524801E-3</v>
      </c>
      <c r="C26" s="6">
        <f t="shared" ref="C26:E26" si="9">C23*C25</f>
        <v>3.9958455811955227E-3</v>
      </c>
      <c r="D26" s="8">
        <f t="shared" si="9"/>
        <v>4.0029099358840472E-3</v>
      </c>
      <c r="E26" s="8">
        <f t="shared" si="9"/>
        <v>4.0007296832862086E-3</v>
      </c>
      <c r="F26" s="5"/>
      <c r="G26" s="5"/>
      <c r="H26" s="5"/>
      <c r="I26" s="5">
        <f t="shared" ref="I26:P26" si="10">I21*I21</f>
        <v>7.5625</v>
      </c>
      <c r="J26" s="5">
        <f t="shared" si="10"/>
        <v>3.0625</v>
      </c>
      <c r="K26" s="5">
        <f t="shared" si="10"/>
        <v>20.25</v>
      </c>
      <c r="L26" s="5">
        <f t="shared" si="10"/>
        <v>1.5625</v>
      </c>
      <c r="M26" s="5">
        <f t="shared" si="10"/>
        <v>30.25</v>
      </c>
      <c r="N26" s="5">
        <f t="shared" si="10"/>
        <v>20.25</v>
      </c>
      <c r="O26" s="5">
        <f t="shared" si="10"/>
        <v>1</v>
      </c>
      <c r="P26" s="5">
        <f t="shared" si="10"/>
        <v>27.5625</v>
      </c>
      <c r="Q26" s="5"/>
    </row>
    <row r="27" spans="1:18" x14ac:dyDescent="0.25">
      <c r="A27" s="7" t="s">
        <v>40</v>
      </c>
      <c r="B27" s="6">
        <f>B5/(B3*SIN(B22)+B24*B4*COS(B15+B22))</f>
        <v>-2.6619021902721759E-3</v>
      </c>
      <c r="C27" s="6">
        <f>C5/(C3*SIN(C22)+C24*C4*COS(C15+C22))</f>
        <v>-7.9698010057605295E-3</v>
      </c>
      <c r="D27" s="8">
        <f>D5/(D3*SIN(D22)+D24*D4*COS(D15+D22))</f>
        <v>-4.0069055905521435E-3</v>
      </c>
      <c r="E27" s="8">
        <f>E5/(E3*SIN(E22)+E24*E4*COS(E15+E22))</f>
        <v>-3.9871988215290123E-3</v>
      </c>
      <c r="F27" s="5"/>
      <c r="G27" s="5"/>
      <c r="H27" s="5"/>
      <c r="I27" s="5">
        <f t="shared" ref="I27:P27" si="11">I22*I22</f>
        <v>3.0625</v>
      </c>
      <c r="J27" s="5">
        <f t="shared" si="11"/>
        <v>39.0625</v>
      </c>
      <c r="K27" s="5">
        <f t="shared" si="11"/>
        <v>20.25</v>
      </c>
      <c r="L27" s="5">
        <f t="shared" si="11"/>
        <v>39.0625</v>
      </c>
      <c r="M27" s="5">
        <f t="shared" si="11"/>
        <v>12.25</v>
      </c>
      <c r="N27" s="5">
        <f t="shared" si="11"/>
        <v>0.25</v>
      </c>
      <c r="O27" s="5">
        <f t="shared" si="11"/>
        <v>36</v>
      </c>
      <c r="P27" s="5">
        <f t="shared" si="11"/>
        <v>0.5625</v>
      </c>
      <c r="Q27" s="5"/>
    </row>
    <row r="28" spans="1:18" x14ac:dyDescent="0.25">
      <c r="A28" s="7" t="s">
        <v>41</v>
      </c>
      <c r="B28" s="8">
        <f>B24*B27</f>
        <v>5.3238043805443518E-3</v>
      </c>
      <c r="C28" s="8">
        <f>C24*C27</f>
        <v>0</v>
      </c>
      <c r="D28" s="6">
        <f>D24*D27</f>
        <v>3.9819348615150055E-3</v>
      </c>
      <c r="E28" s="6">
        <f>E24*E27</f>
        <v>3.9711680380650552E-3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 spans="1:18" x14ac:dyDescent="0.25">
      <c r="A29" s="5"/>
      <c r="B29" s="5"/>
      <c r="C29" s="5"/>
      <c r="D29" s="5"/>
      <c r="E29" s="5"/>
      <c r="F29" s="5"/>
      <c r="G29" s="5"/>
      <c r="H29" s="7" t="s">
        <v>42</v>
      </c>
      <c r="I29" s="5">
        <f t="shared" ref="I29:P29" si="12">(I24+I25+I26+I27)/3</f>
        <v>23.583333333333332</v>
      </c>
      <c r="J29" s="5">
        <f t="shared" si="12"/>
        <v>17.583333333333332</v>
      </c>
      <c r="K29" s="5">
        <f t="shared" si="12"/>
        <v>27</v>
      </c>
      <c r="L29" s="5">
        <f t="shared" si="12"/>
        <v>33.583333333333336</v>
      </c>
      <c r="M29" s="5">
        <f t="shared" si="12"/>
        <v>15</v>
      </c>
      <c r="N29" s="5">
        <f t="shared" si="12"/>
        <v>9.6666666666666661</v>
      </c>
      <c r="O29" s="5">
        <f t="shared" si="12"/>
        <v>36.666666666666664</v>
      </c>
      <c r="P29" s="5">
        <f t="shared" si="12"/>
        <v>26.25</v>
      </c>
      <c r="Q29" s="5"/>
    </row>
    <row r="30" spans="1:18" x14ac:dyDescent="0.25">
      <c r="A30" s="5"/>
      <c r="B30" s="5"/>
      <c r="C30" s="5"/>
      <c r="D30" s="5"/>
      <c r="E30" s="5"/>
      <c r="F30" s="5"/>
      <c r="G30" s="5"/>
      <c r="H30" s="7" t="s">
        <v>43</v>
      </c>
      <c r="I30" s="5">
        <f>SQRT(I29)</f>
        <v>4.8562674281111553</v>
      </c>
      <c r="J30" s="5">
        <f t="shared" ref="J30:P30" si="13">SQRT(J29)</f>
        <v>4.1932485418030412</v>
      </c>
      <c r="K30" s="5">
        <f t="shared" si="13"/>
        <v>5.196152422706632</v>
      </c>
      <c r="L30" s="5">
        <f t="shared" si="13"/>
        <v>5.7951128835712371</v>
      </c>
      <c r="M30" s="5">
        <f t="shared" si="13"/>
        <v>3.872983346207417</v>
      </c>
      <c r="N30" s="5">
        <f t="shared" si="13"/>
        <v>3.1091263510296048</v>
      </c>
      <c r="O30" s="5">
        <f t="shared" si="13"/>
        <v>6.0553007081949835</v>
      </c>
      <c r="P30" s="5">
        <f t="shared" si="13"/>
        <v>5.123475382979799</v>
      </c>
      <c r="Q30" s="5"/>
    </row>
    <row r="31" spans="1:18" x14ac:dyDescent="0.25">
      <c r="A31" s="5"/>
      <c r="B31" s="5"/>
      <c r="C31" s="5"/>
      <c r="D31" s="5"/>
      <c r="E31" s="5"/>
      <c r="F31" s="5"/>
      <c r="G31" s="5"/>
      <c r="H31" s="7" t="s">
        <v>44</v>
      </c>
      <c r="I31" s="5">
        <f>I30/2</f>
        <v>2.4281337140555777</v>
      </c>
      <c r="J31" s="5">
        <f t="shared" ref="J31:P31" si="14">J30/2</f>
        <v>2.0966242709015206</v>
      </c>
      <c r="K31" s="5">
        <f t="shared" si="14"/>
        <v>2.598076211353316</v>
      </c>
      <c r="L31" s="5">
        <f t="shared" si="14"/>
        <v>2.8975564417856186</v>
      </c>
      <c r="M31" s="5">
        <f t="shared" si="14"/>
        <v>1.9364916731037085</v>
      </c>
      <c r="N31" s="5">
        <f t="shared" si="14"/>
        <v>1.5545631755148024</v>
      </c>
      <c r="O31" s="5">
        <f t="shared" si="14"/>
        <v>3.0276503540974917</v>
      </c>
      <c r="P31" s="5">
        <f t="shared" si="14"/>
        <v>2.5617376914898995</v>
      </c>
      <c r="Q31" s="5"/>
    </row>
    <row r="32" spans="1:18" x14ac:dyDescent="0.25">
      <c r="A32" s="9" t="s">
        <v>45</v>
      </c>
      <c r="B32" s="5"/>
      <c r="C32" s="5"/>
      <c r="D32" s="5"/>
      <c r="E32" s="5"/>
      <c r="F32" s="5"/>
      <c r="G32" s="5"/>
      <c r="H32" s="7" t="s">
        <v>46</v>
      </c>
      <c r="I32" s="5">
        <f>3*I31</f>
        <v>7.2844011421667325</v>
      </c>
      <c r="J32" s="5">
        <f t="shared" ref="J32:P32" si="15">3*J31</f>
        <v>6.2898728127045622</v>
      </c>
      <c r="K32" s="5">
        <f t="shared" si="15"/>
        <v>7.794228634059948</v>
      </c>
      <c r="L32" s="5">
        <f t="shared" si="15"/>
        <v>8.6926693253568565</v>
      </c>
      <c r="M32" s="5">
        <f t="shared" si="15"/>
        <v>5.809475019311126</v>
      </c>
      <c r="N32" s="5">
        <f t="shared" si="15"/>
        <v>4.6636895265444069</v>
      </c>
      <c r="O32" s="5">
        <f t="shared" si="15"/>
        <v>9.0829510622924747</v>
      </c>
      <c r="P32" s="5">
        <f t="shared" si="15"/>
        <v>7.6852130744696989</v>
      </c>
      <c r="Q32" s="5"/>
    </row>
    <row r="33" spans="1:18" x14ac:dyDescent="0.25">
      <c r="A33" s="5" t="s">
        <v>47</v>
      </c>
      <c r="B33" s="5"/>
      <c r="C33" s="5"/>
      <c r="D33" s="5" t="s">
        <v>48</v>
      </c>
      <c r="E33" s="5"/>
      <c r="F33" s="5"/>
      <c r="G33" s="5"/>
      <c r="H33" s="7" t="s">
        <v>49</v>
      </c>
      <c r="I33" s="5">
        <f>I14+I32</f>
        <v>38076.034401142169</v>
      </c>
      <c r="J33" s="5">
        <f>J14+J32</f>
        <v>-38135.960127187296</v>
      </c>
      <c r="K33" s="5">
        <f>K14+K32</f>
        <v>37912.294228634062</v>
      </c>
      <c r="L33" s="5">
        <f>L14+L32</f>
        <v>-37761.057330674645</v>
      </c>
      <c r="M33" s="5">
        <f>I15+M32</f>
        <v>38211.309475019312</v>
      </c>
      <c r="N33" s="5">
        <f>J15+N32</f>
        <v>-38336.836310473453</v>
      </c>
      <c r="O33" s="5">
        <f>K15+O32</f>
        <v>-38003.917048937707</v>
      </c>
      <c r="P33" s="5">
        <f>L15+P32</f>
        <v>38114.935213074466</v>
      </c>
      <c r="Q33" s="5"/>
    </row>
    <row r="34" spans="1:18" x14ac:dyDescent="0.25">
      <c r="A34" s="10" t="s">
        <v>38</v>
      </c>
      <c r="B34" s="5">
        <f>AVERAGE(B25:E25)</f>
        <v>4.0224221153423141E-3</v>
      </c>
      <c r="C34" s="5"/>
      <c r="D34" s="10" t="s">
        <v>50</v>
      </c>
      <c r="E34" s="5">
        <f>AVERAGE(B27:E27)</f>
        <v>-4.6564519020284648E-3</v>
      </c>
      <c r="F34" s="5"/>
      <c r="G34" s="5"/>
      <c r="H34" s="7" t="s">
        <v>51</v>
      </c>
      <c r="I34" s="5">
        <f>I14-I32</f>
        <v>38061.465598857831</v>
      </c>
      <c r="J34" s="5">
        <f>J14-J32</f>
        <v>-38148.539872812704</v>
      </c>
      <c r="K34" s="5">
        <f>K14-K32</f>
        <v>37896.705771365938</v>
      </c>
      <c r="L34" s="5">
        <f>L14-L32</f>
        <v>-37778.442669325355</v>
      </c>
      <c r="M34" s="5">
        <f>I15-M32</f>
        <v>38199.690524980688</v>
      </c>
      <c r="N34" s="5">
        <f>J15-N32</f>
        <v>-38346.163689526547</v>
      </c>
      <c r="O34" s="5">
        <f>K15-O32</f>
        <v>-38022.082951062293</v>
      </c>
      <c r="P34" s="5">
        <f>L15-P32</f>
        <v>38099.564786925534</v>
      </c>
      <c r="Q34" s="5"/>
    </row>
    <row r="35" spans="1:18" x14ac:dyDescent="0.25">
      <c r="A35" s="10" t="s">
        <v>39</v>
      </c>
      <c r="B35" s="5">
        <f>AVERAGE(B26:E26)</f>
        <v>4.0018278689795649E-3</v>
      </c>
      <c r="C35" s="5"/>
      <c r="D35" s="10" t="s">
        <v>52</v>
      </c>
      <c r="E35" s="5">
        <f>AVERAGE(B28,E28)</f>
        <v>4.6474862093047031E-3</v>
      </c>
      <c r="F35" s="5"/>
      <c r="G35" s="5"/>
      <c r="H35" s="7"/>
      <c r="I35" s="5"/>
      <c r="J35" s="5"/>
      <c r="K35" s="5"/>
      <c r="L35" s="5"/>
      <c r="M35" s="5"/>
      <c r="N35" s="5"/>
      <c r="O35" s="5"/>
      <c r="P35" s="5"/>
      <c r="Q35" s="5"/>
    </row>
    <row r="36" spans="1:18" x14ac:dyDescent="0.25">
      <c r="A36" s="10" t="s">
        <v>53</v>
      </c>
      <c r="B36" s="5">
        <f>AVERAGE(AVERAGE(B21:E21))</f>
        <v>-2.3589975373643952</v>
      </c>
      <c r="C36" s="5"/>
      <c r="D36" s="10" t="s">
        <v>54</v>
      </c>
      <c r="E36" s="5">
        <f>AVERAGE(B22:E22)</f>
        <v>2.3526649833412128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</row>
    <row r="37" spans="1:18" x14ac:dyDescent="0.25">
      <c r="A37" s="10" t="s">
        <v>55</v>
      </c>
      <c r="B37" s="5">
        <f>AVERAGE(AVERAGE(B15:E15))</f>
        <v>6.3325540231821895E-3</v>
      </c>
      <c r="C37" s="5"/>
      <c r="D37" s="10" t="s">
        <v>55</v>
      </c>
      <c r="E37" s="5">
        <f>AVERAGE(AVERAGE(B15:E15))</f>
        <v>6.3325540231821895E-3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</row>
    <row r="38" spans="1:18" x14ac:dyDescent="0.25">
      <c r="B38">
        <f>B36-2*PI()</f>
        <v>-8.6421828445439814</v>
      </c>
      <c r="C38" t="s">
        <v>56</v>
      </c>
      <c r="D38" t="s">
        <v>56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</row>
    <row r="39" spans="1:18" x14ac:dyDescent="0.25">
      <c r="B39" t="s">
        <v>57</v>
      </c>
      <c r="C39" t="s">
        <v>58</v>
      </c>
      <c r="D39" t="s">
        <v>59</v>
      </c>
      <c r="E39" t="s">
        <v>60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</row>
    <row r="40" spans="1:18" x14ac:dyDescent="0.25">
      <c r="A40" t="s">
        <v>61</v>
      </c>
      <c r="B40">
        <f>B36+B37</f>
        <v>-2.3526649833412132</v>
      </c>
      <c r="C40">
        <f>B40</f>
        <v>-2.3526649833412132</v>
      </c>
      <c r="D40">
        <f t="shared" ref="D40:E40" si="16">C40</f>
        <v>-2.3526649833412132</v>
      </c>
      <c r="E40">
        <f t="shared" si="16"/>
        <v>-2.3526649833412132</v>
      </c>
    </row>
    <row r="41" spans="1:18" x14ac:dyDescent="0.25">
      <c r="A41" t="s">
        <v>62</v>
      </c>
      <c r="B41">
        <f>COS(B36)</f>
        <v>-0.7090860543612284</v>
      </c>
      <c r="C41">
        <f t="shared" ref="C41:E44" si="17">B41</f>
        <v>-0.7090860543612284</v>
      </c>
      <c r="D41">
        <f t="shared" si="17"/>
        <v>-0.7090860543612284</v>
      </c>
      <c r="E41">
        <f t="shared" si="17"/>
        <v>-0.7090860543612284</v>
      </c>
    </row>
    <row r="42" spans="1:18" x14ac:dyDescent="0.25">
      <c r="A42" t="s">
        <v>63</v>
      </c>
      <c r="B42">
        <f>SIN((B36))</f>
        <v>-0.70512195222558838</v>
      </c>
      <c r="C42">
        <f t="shared" si="17"/>
        <v>-0.70512195222558838</v>
      </c>
      <c r="D42">
        <f t="shared" si="17"/>
        <v>-0.70512195222558838</v>
      </c>
      <c r="E42">
        <f t="shared" si="17"/>
        <v>-0.70512195222558838</v>
      </c>
    </row>
    <row r="43" spans="1:18" x14ac:dyDescent="0.25">
      <c r="A43" t="s">
        <v>64</v>
      </c>
      <c r="B43">
        <f>COS(B40)</f>
        <v>-0.70460664378159121</v>
      </c>
      <c r="C43">
        <f t="shared" si="17"/>
        <v>-0.70460664378159121</v>
      </c>
      <c r="D43">
        <f t="shared" si="17"/>
        <v>-0.70460664378159121</v>
      </c>
      <c r="E43">
        <f t="shared" si="17"/>
        <v>-0.70460664378159121</v>
      </c>
    </row>
    <row r="44" spans="1:18" x14ac:dyDescent="0.25">
      <c r="A44" t="s">
        <v>65</v>
      </c>
      <c r="B44">
        <f>SIN(B40)</f>
        <v>-0.70959810987547156</v>
      </c>
      <c r="C44">
        <f t="shared" si="17"/>
        <v>-0.70959810987547156</v>
      </c>
      <c r="D44">
        <f t="shared" si="17"/>
        <v>-0.70959810987547156</v>
      </c>
      <c r="E44">
        <f t="shared" si="17"/>
        <v>-0.70959810987547156</v>
      </c>
    </row>
    <row r="45" spans="1:18" x14ac:dyDescent="0.25">
      <c r="A45" t="s">
        <v>66</v>
      </c>
      <c r="B45">
        <f>B41*B25*B3-B44*D26*B4</f>
        <v>-1.4518057907622506E-2</v>
      </c>
      <c r="C45">
        <f>C41*C25*C3-C44*E26*C4</f>
        <v>-1.4311850949724203E-2</v>
      </c>
      <c r="D45">
        <f>D41*B25*B7-D44*E26*B8</f>
        <v>-215.9849508850765</v>
      </c>
      <c r="E45">
        <f>E41*C25*C7-E44*D26*C8</f>
        <v>216.01501850948154</v>
      </c>
    </row>
    <row r="46" spans="1:18" x14ac:dyDescent="0.25">
      <c r="A46" t="s">
        <v>67</v>
      </c>
      <c r="B46">
        <f>B42*B25*B3+B43*D26*B4</f>
        <v>-215.68940276873738</v>
      </c>
      <c r="C46">
        <f>C42*C25*C3+C43*E26*C4</f>
        <v>216.31057231867251</v>
      </c>
      <c r="D46">
        <f>D42*B25*B7+D43*E26*B8</f>
        <v>-0.30890757221513354</v>
      </c>
      <c r="E46">
        <f>E42*C25*C7+E43*D26*C8</f>
        <v>-0.30870565684334395</v>
      </c>
    </row>
    <row r="47" spans="1:18" x14ac:dyDescent="0.25">
      <c r="E47" t="s">
        <v>56</v>
      </c>
    </row>
    <row r="48" spans="1:18" x14ac:dyDescent="0.25">
      <c r="A48" t="s">
        <v>68</v>
      </c>
      <c r="B48">
        <f>ABS(B45)</f>
        <v>1.4518057907622506E-2</v>
      </c>
      <c r="C48">
        <f>ABS(C45)</f>
        <v>1.4311850949724203E-2</v>
      </c>
      <c r="D48">
        <f>ABS(ABS(D45)-ABS(B5))</f>
        <v>1.5049114923499474E-2</v>
      </c>
      <c r="E48">
        <f>ABS(ABS(E45)-ABS(B5))</f>
        <v>1.5018509481535602E-2</v>
      </c>
    </row>
    <row r="49" spans="1:5" x14ac:dyDescent="0.25">
      <c r="A49" t="s">
        <v>69</v>
      </c>
      <c r="B49">
        <f>ABS(ABS(B46)-ABS(B5))</f>
        <v>0.31059723126261929</v>
      </c>
      <c r="C49">
        <f>ABS(ABS(C46)-ABS(B5))</f>
        <v>0.31057231867251289</v>
      </c>
      <c r="D49">
        <f>ABS(D46)</f>
        <v>0.30890757221513354</v>
      </c>
      <c r="E49">
        <f>ABS(E46)</f>
        <v>0.30870565684334395</v>
      </c>
    </row>
  </sheetData>
  <phoneticPr fontId="5" type="noConversion"/>
  <pageMargins left="0.7" right="0.7" top="0.75" bottom="0.75" header="0.3" footer="0.3"/>
  <pageSetup paperSize="9" orientation="portrait" r:id="rId1"/>
  <ignoredErrors>
    <ignoredError sqref="M33:M34 M2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59105-1EB5-458B-8117-2ACBC7CE5620}">
  <dimension ref="A1:B11"/>
  <sheetViews>
    <sheetView workbookViewId="0">
      <selection activeCell="B12" sqref="B12"/>
    </sheetView>
  </sheetViews>
  <sheetFormatPr defaultRowHeight="13.8" x14ac:dyDescent="0.25"/>
  <sheetData>
    <row r="1" spans="1:2" x14ac:dyDescent="0.25">
      <c r="A1" s="13" t="s">
        <v>79</v>
      </c>
    </row>
    <row r="2" spans="1:2" x14ac:dyDescent="0.25">
      <c r="A2" s="13">
        <v>72</v>
      </c>
      <c r="B2">
        <v>-2.7369527099999999E-2</v>
      </c>
    </row>
    <row r="3" spans="1:2" x14ac:dyDescent="0.25">
      <c r="B3">
        <v>-3.5522036299999997E-2</v>
      </c>
    </row>
    <row r="4" spans="1:2" x14ac:dyDescent="0.25">
      <c r="B4">
        <v>-0.111716308</v>
      </c>
    </row>
    <row r="5" spans="1:2" x14ac:dyDescent="0.25">
      <c r="B5">
        <v>-0.14179249099999999</v>
      </c>
    </row>
    <row r="6" spans="1:2" x14ac:dyDescent="0.25">
      <c r="B6">
        <v>-5.9558101000000002E-2</v>
      </c>
    </row>
    <row r="7" spans="1:2" x14ac:dyDescent="0.25">
      <c r="A7">
        <v>252</v>
      </c>
      <c r="B7">
        <v>-3.5412743699999999E-2</v>
      </c>
    </row>
    <row r="8" spans="1:2" x14ac:dyDescent="0.25">
      <c r="A8">
        <v>288</v>
      </c>
      <c r="B8">
        <v>-7.4390195300000003E-2</v>
      </c>
    </row>
    <row r="11" spans="1:2" x14ac:dyDescent="0.25">
      <c r="A11" s="13" t="s">
        <v>80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"/>
  <sheetViews>
    <sheetView workbookViewId="0">
      <selection activeCell="H10" sqref="H10"/>
    </sheetView>
  </sheetViews>
  <sheetFormatPr defaultColWidth="8.6640625" defaultRowHeight="13.8" x14ac:dyDescent="0.25"/>
  <cols>
    <col min="1" max="1" width="9.44140625" customWidth="1"/>
    <col min="2" max="7" width="9.5546875" customWidth="1"/>
  </cols>
  <sheetData>
    <row r="1" spans="1:7" x14ac:dyDescent="0.25">
      <c r="A1" t="s">
        <v>70</v>
      </c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</row>
    <row r="2" spans="1:7" x14ac:dyDescent="0.25">
      <c r="A2" t="s">
        <v>77</v>
      </c>
      <c r="D2" t="e">
        <f>ABS(C2-B2)/B2</f>
        <v>#DIV/0!</v>
      </c>
      <c r="G2" t="e">
        <f>ABS(F2-E2)/E2</f>
        <v>#DIV/0!</v>
      </c>
    </row>
    <row r="3" spans="1:7" x14ac:dyDescent="0.25">
      <c r="A3" t="s">
        <v>8</v>
      </c>
      <c r="D3" t="e">
        <f>ABS(C3-B3)/B3</f>
        <v>#DIV/0!</v>
      </c>
      <c r="G3" t="e">
        <f>ABS(F3-E3)/E3</f>
        <v>#DIV/0!</v>
      </c>
    </row>
    <row r="4" spans="1:7" x14ac:dyDescent="0.25">
      <c r="A4" t="s">
        <v>7</v>
      </c>
      <c r="D4" t="e">
        <f>ABS(C4-B4)/B4</f>
        <v>#DIV/0!</v>
      </c>
      <c r="G4" t="e">
        <f>ABS(F4-E4)/E4</f>
        <v>#DIV/0!</v>
      </c>
    </row>
    <row r="5" spans="1:7" x14ac:dyDescent="0.25">
      <c r="A5" t="s">
        <v>6</v>
      </c>
      <c r="D5" t="e">
        <f>ABS(C5-B5)/B5</f>
        <v>#DIV/0!</v>
      </c>
      <c r="G5" t="e">
        <f>ABS(F5-E5)/E5</f>
        <v>#DIV/0!</v>
      </c>
    </row>
  </sheetData>
  <phoneticPr fontId="5" type="noConversion"/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2"/>
  <sheetViews>
    <sheetView workbookViewId="0">
      <selection activeCell="B17" sqref="B17"/>
    </sheetView>
  </sheetViews>
  <sheetFormatPr defaultColWidth="8.6640625" defaultRowHeight="13.8" x14ac:dyDescent="0.25"/>
  <cols>
    <col min="2" max="5" width="13.77734375" customWidth="1"/>
    <col min="7" max="7" width="14.109375" customWidth="1"/>
    <col min="8" max="11" width="13.77734375" customWidth="1"/>
  </cols>
  <sheetData>
    <row r="1" spans="1:11" ht="16.8" x14ac:dyDescent="0.3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G1" s="1" t="s">
        <v>0</v>
      </c>
      <c r="H1" s="2" t="s">
        <v>1</v>
      </c>
      <c r="I1" s="3" t="s">
        <v>2</v>
      </c>
      <c r="J1" s="2" t="s">
        <v>3</v>
      </c>
      <c r="K1" s="4" t="s">
        <v>4</v>
      </c>
    </row>
    <row r="2" spans="1:11" x14ac:dyDescent="0.25">
      <c r="A2" s="5" t="s">
        <v>10</v>
      </c>
      <c r="B2" s="5"/>
      <c r="C2" s="5"/>
      <c r="D2" s="5"/>
      <c r="E2" s="5"/>
      <c r="G2" s="5" t="s">
        <v>10</v>
      </c>
      <c r="H2" s="5"/>
      <c r="I2" s="5"/>
      <c r="J2" s="5"/>
      <c r="K2" s="5"/>
    </row>
    <row r="3" spans="1:11" x14ac:dyDescent="0.25">
      <c r="A3" s="6" t="s">
        <v>12</v>
      </c>
      <c r="B3" s="6">
        <v>31504</v>
      </c>
      <c r="C3" s="6">
        <v>-31505</v>
      </c>
      <c r="D3" s="6">
        <v>31504</v>
      </c>
      <c r="E3" s="6">
        <v>-31505</v>
      </c>
      <c r="G3" s="6" t="s">
        <v>12</v>
      </c>
      <c r="H3" s="6">
        <v>31504.25</v>
      </c>
      <c r="I3" s="6">
        <v>-31505</v>
      </c>
      <c r="J3" s="6">
        <v>31504.25</v>
      </c>
      <c r="K3" s="6">
        <v>-31505</v>
      </c>
    </row>
    <row r="4" spans="1:11" x14ac:dyDescent="0.25">
      <c r="A4" s="6" t="s">
        <v>13</v>
      </c>
      <c r="B4" s="6">
        <v>32030</v>
      </c>
      <c r="C4" s="6">
        <v>-32052</v>
      </c>
      <c r="D4" s="6">
        <v>32030</v>
      </c>
      <c r="E4" s="6">
        <v>-32052</v>
      </c>
      <c r="G4" s="6" t="s">
        <v>13</v>
      </c>
      <c r="H4" s="6">
        <v>32030</v>
      </c>
      <c r="I4" s="6">
        <v>-32052.5</v>
      </c>
      <c r="J4" s="6">
        <v>32030</v>
      </c>
      <c r="K4" s="6">
        <v>-32052.5</v>
      </c>
    </row>
    <row r="5" spans="1:11" x14ac:dyDescent="0.25">
      <c r="A5" s="6" t="s">
        <v>14</v>
      </c>
      <c r="B5" s="6">
        <v>-180</v>
      </c>
      <c r="C5" s="6">
        <v>180</v>
      </c>
      <c r="D5" s="6">
        <v>-180</v>
      </c>
      <c r="E5" s="6">
        <v>180</v>
      </c>
      <c r="G5" s="6" t="s">
        <v>14</v>
      </c>
      <c r="H5" s="6">
        <v>-180</v>
      </c>
      <c r="I5" s="6">
        <v>180</v>
      </c>
      <c r="J5" s="6">
        <v>-180</v>
      </c>
      <c r="K5" s="6">
        <v>180</v>
      </c>
    </row>
    <row r="6" spans="1:11" x14ac:dyDescent="0.25">
      <c r="A6" s="5" t="s">
        <v>16</v>
      </c>
      <c r="B6" s="5"/>
      <c r="C6" s="5"/>
      <c r="D6" s="5"/>
      <c r="E6" s="5"/>
      <c r="G6" s="5" t="s">
        <v>16</v>
      </c>
      <c r="H6" s="5"/>
      <c r="I6" s="5"/>
      <c r="J6" s="5"/>
      <c r="K6" s="5"/>
    </row>
    <row r="7" spans="1:11" x14ac:dyDescent="0.25">
      <c r="A7" s="6" t="s">
        <v>12</v>
      </c>
      <c r="B7" s="6">
        <v>32010</v>
      </c>
      <c r="C7" s="6">
        <v>-31936</v>
      </c>
      <c r="D7" s="6">
        <v>-31936</v>
      </c>
      <c r="E7" s="6">
        <v>32010</v>
      </c>
      <c r="G7" s="6" t="s">
        <v>12</v>
      </c>
      <c r="H7" s="6">
        <v>32010.75</v>
      </c>
      <c r="I7" s="6">
        <v>-31936.75</v>
      </c>
      <c r="J7" s="6">
        <v>-31936.75</v>
      </c>
      <c r="K7" s="6">
        <v>32010.75</v>
      </c>
    </row>
    <row r="8" spans="1:11" x14ac:dyDescent="0.25">
      <c r="A8" s="5" t="s">
        <v>13</v>
      </c>
      <c r="B8" s="6">
        <v>-31408</v>
      </c>
      <c r="C8" s="6">
        <v>31435</v>
      </c>
      <c r="D8" s="6">
        <v>31435</v>
      </c>
      <c r="E8" s="6">
        <v>-31408</v>
      </c>
      <c r="G8" s="5" t="s">
        <v>13</v>
      </c>
      <c r="H8" s="6">
        <v>-31408.5</v>
      </c>
      <c r="I8" s="6">
        <v>31435.5</v>
      </c>
      <c r="J8" s="6">
        <v>31435.5</v>
      </c>
      <c r="K8" s="6">
        <v>-31408.5</v>
      </c>
    </row>
    <row r="9" spans="1:11" x14ac:dyDescent="0.25">
      <c r="A9" s="5"/>
      <c r="B9" s="6"/>
      <c r="C9" s="6"/>
      <c r="D9" s="6"/>
      <c r="E9" s="6"/>
      <c r="G9" s="5"/>
      <c r="H9" s="6"/>
      <c r="I9" s="6"/>
      <c r="J9" s="6"/>
      <c r="K9" s="6"/>
    </row>
    <row r="10" spans="1:11" x14ac:dyDescent="0.25">
      <c r="A10" s="5"/>
      <c r="B10" s="5"/>
      <c r="C10" s="5"/>
      <c r="D10" s="5"/>
      <c r="E10" s="5"/>
      <c r="G10" s="5"/>
      <c r="H10" s="5"/>
      <c r="I10" s="5"/>
      <c r="J10" s="5"/>
      <c r="K10" s="5"/>
    </row>
    <row r="11" spans="1:11" ht="16.8" x14ac:dyDescent="0.3">
      <c r="A11" s="3" t="s">
        <v>18</v>
      </c>
      <c r="B11" s="5"/>
      <c r="C11" s="5"/>
      <c r="D11" s="5"/>
      <c r="E11" s="5"/>
      <c r="G11" s="3" t="s">
        <v>18</v>
      </c>
      <c r="H11" s="5"/>
      <c r="I11" s="5"/>
      <c r="J11" s="5"/>
      <c r="K11" s="5"/>
    </row>
    <row r="12" spans="1:11" x14ac:dyDescent="0.25">
      <c r="A12" s="7" t="s">
        <v>20</v>
      </c>
      <c r="B12" s="6">
        <f>B3*B4+B7*B8</f>
        <v>3703040</v>
      </c>
      <c r="C12" s="6">
        <f t="shared" ref="C12:K12" si="0">C3*C4+C7*C8</f>
        <v>5890100</v>
      </c>
      <c r="D12" s="6">
        <f t="shared" si="0"/>
        <v>5164960</v>
      </c>
      <c r="E12" s="6">
        <f t="shared" si="0"/>
        <v>4428180</v>
      </c>
      <c r="G12" s="7" t="s">
        <v>20</v>
      </c>
      <c r="H12" s="6">
        <f t="shared" si="0"/>
        <v>3671486.125</v>
      </c>
      <c r="I12" s="6">
        <f t="shared" si="0"/>
        <v>5866307.875</v>
      </c>
      <c r="J12" s="6">
        <f t="shared" si="0"/>
        <v>5133422.875</v>
      </c>
      <c r="K12" s="6">
        <f t="shared" si="0"/>
        <v>4404371.125</v>
      </c>
    </row>
    <row r="13" spans="1:11" x14ac:dyDescent="0.25">
      <c r="A13" s="7" t="s">
        <v>21</v>
      </c>
      <c r="B13" s="6">
        <f>B4*B7-B3*B8</f>
        <v>2014757932</v>
      </c>
      <c r="C13" s="6">
        <f t="shared" ref="C13:K13" si="1">C4*C7-C3*C8</f>
        <v>2013972347</v>
      </c>
      <c r="D13" s="6">
        <f t="shared" si="1"/>
        <v>-2013238320</v>
      </c>
      <c r="E13" s="6">
        <f t="shared" si="1"/>
        <v>-2015493560</v>
      </c>
      <c r="G13" s="7" t="s">
        <v>21</v>
      </c>
      <c r="H13" s="6">
        <f t="shared" si="1"/>
        <v>2014805558.625</v>
      </c>
      <c r="I13" s="6">
        <f t="shared" si="1"/>
        <v>2014028106.875</v>
      </c>
      <c r="J13" s="6">
        <f t="shared" si="1"/>
        <v>-2013285953.375</v>
      </c>
      <c r="K13" s="6">
        <f t="shared" si="1"/>
        <v>-2015549356.875</v>
      </c>
    </row>
    <row r="14" spans="1:11" x14ac:dyDescent="0.25">
      <c r="A14" s="7" t="s">
        <v>22</v>
      </c>
      <c r="B14" s="6">
        <f>B12/B13</f>
        <v>1.83795777209031E-3</v>
      </c>
      <c r="C14" s="6">
        <f>C12/C13</f>
        <v>2.9246181104590906E-3</v>
      </c>
      <c r="D14" s="6">
        <f>-D12/D13</f>
        <v>2.565498554587417E-3</v>
      </c>
      <c r="E14" s="6">
        <f>-E12/E13</f>
        <v>2.1970697837407132E-3</v>
      </c>
      <c r="G14" s="7" t="s">
        <v>22</v>
      </c>
      <c r="H14" s="6">
        <f>H12/H13</f>
        <v>1.8222533232961687E-3</v>
      </c>
      <c r="I14" s="6">
        <f>I12/I13</f>
        <v>2.9127239361630671E-3</v>
      </c>
      <c r="J14" s="6">
        <f>-J12/J13</f>
        <v>2.5497733525605315E-3</v>
      </c>
      <c r="K14" s="6">
        <f>-K12/K13</f>
        <v>2.1851963634513714E-3</v>
      </c>
    </row>
    <row r="15" spans="1:11" x14ac:dyDescent="0.25">
      <c r="A15" s="7" t="s">
        <v>25</v>
      </c>
      <c r="B15" s="6">
        <f>ATAN(B14)</f>
        <v>1.837955702499667E-3</v>
      </c>
      <c r="C15" s="6">
        <f t="shared" ref="C15:K15" si="2">ATAN(C14)</f>
        <v>2.924609772034386E-3</v>
      </c>
      <c r="D15" s="6">
        <f t="shared" si="2"/>
        <v>2.5654929260915289E-3</v>
      </c>
      <c r="E15" s="6">
        <f t="shared" si="2"/>
        <v>2.197066248580984E-3</v>
      </c>
      <c r="G15" s="7" t="s">
        <v>25</v>
      </c>
      <c r="H15" s="6">
        <f t="shared" si="2"/>
        <v>1.8222513063043677E-3</v>
      </c>
      <c r="I15" s="6">
        <f t="shared" si="2"/>
        <v>2.9127156990598349E-3</v>
      </c>
      <c r="J15" s="6">
        <f t="shared" si="2"/>
        <v>2.5497678269307297E-3</v>
      </c>
      <c r="K15" s="6">
        <f t="shared" si="2"/>
        <v>2.1851928852965607E-3</v>
      </c>
    </row>
    <row r="16" spans="1:11" x14ac:dyDescent="0.25">
      <c r="A16" s="7" t="s">
        <v>26</v>
      </c>
      <c r="B16" s="6">
        <f>B15/3.1415926*180</f>
        <v>0.10530710648157883</v>
      </c>
      <c r="C16" s="6">
        <f t="shared" ref="C16:K16" si="3">C15/3.1415926*180</f>
        <v>0.16756779951868661</v>
      </c>
      <c r="D16" s="6">
        <f t="shared" si="3"/>
        <v>0.14699191954312446</v>
      </c>
      <c r="E16" s="6">
        <f t="shared" si="3"/>
        <v>0.12588262550165707</v>
      </c>
      <c r="G16" s="7" t="s">
        <v>26</v>
      </c>
      <c r="H16" s="6">
        <f t="shared" si="3"/>
        <v>0.10440731084443799</v>
      </c>
      <c r="I16" s="6">
        <f t="shared" si="3"/>
        <v>0.16688631932439943</v>
      </c>
      <c r="J16" s="6">
        <f t="shared" si="3"/>
        <v>0.14609093771341686</v>
      </c>
      <c r="K16" s="6">
        <f t="shared" si="3"/>
        <v>0.12520233188522947</v>
      </c>
    </row>
    <row r="17" spans="1:11" x14ac:dyDescent="0.25">
      <c r="A17" s="7" t="s">
        <v>27</v>
      </c>
      <c r="B17" s="6">
        <f>-(B3*B8)/(B7*B4)</f>
        <v>0.96508011711529029</v>
      </c>
      <c r="C17" s="6">
        <f t="shared" ref="C17:K17" si="4">-(C3*C8)/(C7*C4)</f>
        <v>0.96751408231882463</v>
      </c>
      <c r="D17" s="6">
        <f t="shared" si="4"/>
        <v>0.96814789428998493</v>
      </c>
      <c r="E17" s="6">
        <f t="shared" si="4"/>
        <v>0.96444831350866778</v>
      </c>
      <c r="G17" s="7" t="s">
        <v>27</v>
      </c>
      <c r="H17" s="6">
        <f t="shared" si="4"/>
        <v>0.96508052722561311</v>
      </c>
      <c r="I17" s="6">
        <f t="shared" si="4"/>
        <v>0.96749165752653754</v>
      </c>
      <c r="J17" s="6">
        <f t="shared" si="4"/>
        <v>0.96814823990580567</v>
      </c>
      <c r="K17" s="6">
        <f t="shared" si="4"/>
        <v>0.96442602531915622</v>
      </c>
    </row>
    <row r="18" spans="1:11" x14ac:dyDescent="0.25">
      <c r="A18" s="7" t="s">
        <v>29</v>
      </c>
      <c r="B18" s="6">
        <f>SQRT((B17+1)*(B17+1)*B14*B14+4*B17)</f>
        <v>1.9647731454510537</v>
      </c>
      <c r="C18" s="6">
        <f t="shared" ref="C18:K18" si="5">SQRT((C17+1)*(C17+1)*C14*C14+4*C17)</f>
        <v>1.9672542897163352</v>
      </c>
      <c r="D18" s="6">
        <f t="shared" si="5"/>
        <v>1.967896611205552</v>
      </c>
      <c r="E18" s="6">
        <f t="shared" si="5"/>
        <v>1.9641313301686072</v>
      </c>
      <c r="G18" s="7" t="s">
        <v>29</v>
      </c>
      <c r="H18" s="6">
        <f t="shared" si="5"/>
        <v>1.9647735064288683</v>
      </c>
      <c r="I18" s="6">
        <f t="shared" si="5"/>
        <v>1.9672314230198857</v>
      </c>
      <c r="J18" s="6">
        <f t="shared" si="5"/>
        <v>1.9678968832941024</v>
      </c>
      <c r="K18" s="6">
        <f t="shared" si="5"/>
        <v>1.9641085836015708</v>
      </c>
    </row>
    <row r="19" spans="1:11" x14ac:dyDescent="0.25">
      <c r="A19" s="7" t="s">
        <v>30</v>
      </c>
      <c r="B19" s="6">
        <f>(-(1+B17)*B14+B18)/2</f>
        <v>0.98058070558851074</v>
      </c>
      <c r="C19" s="6">
        <f t="shared" ref="C19:K19" si="6">(-(1+C17)*C14+C18)/2</f>
        <v>0.98075003119930115</v>
      </c>
      <c r="D19" s="6">
        <f t="shared" si="6"/>
        <v>0.98142366531376846</v>
      </c>
      <c r="E19" s="6">
        <f t="shared" si="6"/>
        <v>0.97990765006863845</v>
      </c>
      <c r="G19" s="7" t="s">
        <v>30</v>
      </c>
      <c r="H19" s="6">
        <f t="shared" si="6"/>
        <v>0.98059631595379337</v>
      </c>
      <c r="I19" s="6">
        <f t="shared" si="6"/>
        <v>0.98075033148740354</v>
      </c>
      <c r="J19" s="6">
        <f t="shared" si="6"/>
        <v>0.98143927567905087</v>
      </c>
      <c r="K19" s="6">
        <f t="shared" si="6"/>
        <v>0.97990796349738707</v>
      </c>
    </row>
    <row r="20" spans="1:11" x14ac:dyDescent="0.25">
      <c r="A20" s="7" t="s">
        <v>32</v>
      </c>
      <c r="B20" s="6">
        <f>(-(1+B17)*B14-B18)/2</f>
        <v>-0.98419243986254301</v>
      </c>
      <c r="C20" s="6">
        <f t="shared" ref="C20:K20" si="7">(-(1+C17)*C14-C18)/2</f>
        <v>-0.98650425851703405</v>
      </c>
      <c r="D20" s="6">
        <f t="shared" si="7"/>
        <v>-0.98647294589178358</v>
      </c>
      <c r="E20" s="6">
        <f t="shared" si="7"/>
        <v>-0.98422368009996875</v>
      </c>
      <c r="G20" s="7" t="s">
        <v>32</v>
      </c>
      <c r="H20" s="6">
        <f t="shared" si="7"/>
        <v>-0.9841771904750749</v>
      </c>
      <c r="I20" s="6">
        <f t="shared" si="7"/>
        <v>-0.9864810915324822</v>
      </c>
      <c r="J20" s="6">
        <f t="shared" si="7"/>
        <v>-0.98645760761505152</v>
      </c>
      <c r="K20" s="6">
        <f t="shared" si="7"/>
        <v>-0.98420062010418374</v>
      </c>
    </row>
    <row r="21" spans="1:11" x14ac:dyDescent="0.25">
      <c r="A21" s="7" t="s">
        <v>33</v>
      </c>
      <c r="B21" s="6">
        <f>ATAN(B19)-PI()</f>
        <v>-2.3659990248426661</v>
      </c>
      <c r="C21" s="6">
        <f t="shared" ref="C21:K21" si="8">ATAN(C19)-PI()</f>
        <v>-2.3659127092913694</v>
      </c>
      <c r="D21" s="6">
        <f t="shared" si="8"/>
        <v>-2.3655694617256797</v>
      </c>
      <c r="E21" s="6">
        <f t="shared" si="8"/>
        <v>-2.3663422666505882</v>
      </c>
      <c r="G21" s="7" t="s">
        <v>33</v>
      </c>
      <c r="H21" s="6">
        <f t="shared" si="8"/>
        <v>-2.3659910666795687</v>
      </c>
      <c r="I21" s="6">
        <f t="shared" si="8"/>
        <v>-2.3659125562292593</v>
      </c>
      <c r="J21" s="6">
        <f t="shared" si="8"/>
        <v>-2.365561510266935</v>
      </c>
      <c r="K21" s="6">
        <f t="shared" si="8"/>
        <v>-2.3663421067558521</v>
      </c>
    </row>
    <row r="22" spans="1:11" x14ac:dyDescent="0.25">
      <c r="A22" s="7" t="s">
        <v>34</v>
      </c>
      <c r="B22" s="6">
        <f>ATAN(B20)</f>
        <v>-0.77743158444962701</v>
      </c>
      <c r="C22" s="6">
        <f t="shared" ref="C22:K22" si="9">ATAN(C20)</f>
        <v>-0.77860455407045803</v>
      </c>
      <c r="D22" s="6">
        <f t="shared" si="9"/>
        <v>-0.77858868479020493</v>
      </c>
      <c r="E22" s="6">
        <f t="shared" si="9"/>
        <v>-0.77744745318778608</v>
      </c>
      <c r="G22" s="7" t="s">
        <v>34</v>
      </c>
      <c r="H22" s="6">
        <f t="shared" si="9"/>
        <v>-0.77742383821652883</v>
      </c>
      <c r="I22" s="6">
        <f t="shared" si="9"/>
        <v>-0.7785928130595936</v>
      </c>
      <c r="J22" s="6">
        <f t="shared" si="9"/>
        <v>-0.77858091114978889</v>
      </c>
      <c r="K22" s="6">
        <f t="shared" si="9"/>
        <v>-0.77743573971923752</v>
      </c>
    </row>
    <row r="23" spans="1:11" x14ac:dyDescent="0.25">
      <c r="A23" s="7" t="s">
        <v>35</v>
      </c>
      <c r="B23" s="6">
        <f>(B3*COS(B21)+B7*SIN(B21))/(B4*SIN(B21+B15)-B8*COS(B21+B15))</f>
        <v>1.0011816689877489</v>
      </c>
      <c r="C23" s="6">
        <f t="shared" ref="C23:K23" si="10">(C3*COS(C21)+C7*SIN(C21))/(C4*SIN(C21+C15)-C8*COS(C21+C15))</f>
        <v>0.99925131410971613</v>
      </c>
      <c r="D23" s="6">
        <f t="shared" si="10"/>
        <v>0.99958532947525058</v>
      </c>
      <c r="E23" s="6">
        <f t="shared" si="10"/>
        <v>1.0008467883055412</v>
      </c>
      <c r="G23" s="7" t="s">
        <v>35</v>
      </c>
      <c r="H23" s="6">
        <f t="shared" si="10"/>
        <v>1.0011896809714047</v>
      </c>
      <c r="I23" s="6">
        <f t="shared" si="10"/>
        <v>0.99924746912534212</v>
      </c>
      <c r="J23" s="6">
        <f t="shared" si="10"/>
        <v>0.99959333814009366</v>
      </c>
      <c r="K23" s="6">
        <f t="shared" si="10"/>
        <v>1.0008429302030644</v>
      </c>
    </row>
    <row r="24" spans="1:11" x14ac:dyDescent="0.25">
      <c r="A24" s="7" t="s">
        <v>36</v>
      </c>
      <c r="B24" s="6" t="e">
        <f>(B3*COS(B22)+B7*SIN(+B22))/(B4*SIN(B15+B22)-B8*COS(B15+B22))</f>
        <v>#DIV/0!</v>
      </c>
      <c r="C24" s="6">
        <f t="shared" ref="C24:K24" si="11">(C3*COS(C22)+C7*SIN(+C22))/(C4*SIN(C15+C22)-C8*COS(C15+C22))</f>
        <v>-1</v>
      </c>
      <c r="D24" s="6">
        <f t="shared" si="11"/>
        <v>-0.99966834810266891</v>
      </c>
      <c r="E24" s="6">
        <f t="shared" si="11"/>
        <v>-1.000926394782123</v>
      </c>
      <c r="G24" s="7" t="s">
        <v>36</v>
      </c>
      <c r="H24" s="6" t="e">
        <f t="shared" si="11"/>
        <v>#DIV/0!</v>
      </c>
      <c r="I24" s="6" t="e">
        <f t="shared" si="11"/>
        <v>#DIV/0!</v>
      </c>
      <c r="J24" s="6">
        <f t="shared" si="11"/>
        <v>-0.99967584763876327</v>
      </c>
      <c r="K24" s="6">
        <f t="shared" si="11"/>
        <v>-1.0009221567045141</v>
      </c>
    </row>
    <row r="25" spans="1:11" x14ac:dyDescent="0.25">
      <c r="A25" s="7" t="s">
        <v>38</v>
      </c>
      <c r="B25" s="8">
        <f>B5/(B3*SIN(B21)+B23*B4*COS(B15+B21))</f>
        <v>4.0077903023739781E-3</v>
      </c>
      <c r="C25" s="8">
        <f t="shared" ref="C25:K25" si="12">C5/(C3*SIN(C21)+C23*C4*COS(C15+C21))</f>
        <v>4.0124470855933949E-3</v>
      </c>
      <c r="D25" s="6">
        <f t="shared" si="12"/>
        <v>4.0125059448820636E-3</v>
      </c>
      <c r="E25" s="6">
        <f t="shared" si="12"/>
        <v>4.0077306122743772E-3</v>
      </c>
      <c r="G25" s="7" t="s">
        <v>38</v>
      </c>
      <c r="H25" s="8">
        <f t="shared" si="12"/>
        <v>4.0077268398404338E-3</v>
      </c>
      <c r="I25" s="8">
        <f t="shared" si="12"/>
        <v>4.0123991913573534E-3</v>
      </c>
      <c r="J25" s="6">
        <f t="shared" si="12"/>
        <v>4.0124423231485155E-3</v>
      </c>
      <c r="K25" s="6">
        <f t="shared" si="12"/>
        <v>4.0076828108273361E-3</v>
      </c>
    </row>
    <row r="26" spans="1:11" x14ac:dyDescent="0.25">
      <c r="A26" s="7" t="s">
        <v>39</v>
      </c>
      <c r="B26" s="6">
        <f>B23*B25</f>
        <v>4.0125261838836936E-3</v>
      </c>
      <c r="C26" s="6">
        <f t="shared" ref="C26:K26" si="13">C23*C25</f>
        <v>4.0094430230749002E-3</v>
      </c>
      <c r="D26" s="8">
        <f t="shared" si="13"/>
        <v>4.0108420769363389E-3</v>
      </c>
      <c r="E26" s="8">
        <f t="shared" si="13"/>
        <v>4.0111243116886103E-3</v>
      </c>
      <c r="G26" s="7" t="s">
        <v>39</v>
      </c>
      <c r="H26" s="6">
        <f t="shared" si="13"/>
        <v>4.0124947562003802E-3</v>
      </c>
      <c r="I26" s="6">
        <f t="shared" si="13"/>
        <v>4.0093797370844043E-3</v>
      </c>
      <c r="J26" s="8">
        <f t="shared" si="13"/>
        <v>4.0108106158906172E-3</v>
      </c>
      <c r="K26" s="8">
        <f t="shared" si="13"/>
        <v>4.0110610077128839E-3</v>
      </c>
    </row>
    <row r="27" spans="1:11" x14ac:dyDescent="0.25">
      <c r="A27" s="7" t="s">
        <v>40</v>
      </c>
      <c r="B27" s="6" t="e">
        <f>B5/(B3*SIN(B22)+B24*B4*COS(B15+B22))</f>
        <v>#DIV/0!</v>
      </c>
      <c r="C27" s="6">
        <f t="shared" ref="C27:K27" si="14">C5/(C3*SIN(C22)+C24*C4*COS(C15+C22))</f>
        <v>3.9992080988586086E-3</v>
      </c>
      <c r="D27" s="6">
        <f t="shared" si="14"/>
        <v>4.0020575383601367E-3</v>
      </c>
      <c r="E27" s="6">
        <f t="shared" si="14"/>
        <v>3.9987745558328399E-3</v>
      </c>
      <c r="G27" s="7" t="s">
        <v>40</v>
      </c>
      <c r="H27" s="6" t="e">
        <f t="shared" si="14"/>
        <v>#DIV/0!</v>
      </c>
      <c r="I27" s="6" t="e">
        <f t="shared" si="14"/>
        <v>#DIV/0!</v>
      </c>
      <c r="J27" s="6">
        <f t="shared" si="14"/>
        <v>4.0020580434648552E-3</v>
      </c>
      <c r="K27" s="6">
        <f t="shared" si="14"/>
        <v>3.9987751042932992E-3</v>
      </c>
    </row>
    <row r="28" spans="1:11" x14ac:dyDescent="0.25">
      <c r="A28" s="7" t="s">
        <v>41</v>
      </c>
      <c r="B28" s="6" t="e">
        <f>B24*B27</f>
        <v>#DIV/0!</v>
      </c>
      <c r="C28" s="6">
        <f t="shared" ref="C28:K28" si="15">C24*C27</f>
        <v>-3.9992080988586086E-3</v>
      </c>
      <c r="D28" s="6">
        <f t="shared" si="15"/>
        <v>-4.0007302483843115E-3</v>
      </c>
      <c r="E28" s="6">
        <f t="shared" si="15"/>
        <v>-4.0024789997162493E-3</v>
      </c>
      <c r="G28" s="7" t="s">
        <v>41</v>
      </c>
      <c r="H28" s="6" t="e">
        <f t="shared" si="15"/>
        <v>#DIV/0!</v>
      </c>
      <c r="I28" s="6" t="e">
        <f t="shared" si="15"/>
        <v>#DIV/0!</v>
      </c>
      <c r="J28" s="6">
        <f t="shared" si="15"/>
        <v>-4.0007607669002593E-3</v>
      </c>
      <c r="K28" s="6">
        <f t="shared" si="15"/>
        <v>-4.0024626015655674E-3</v>
      </c>
    </row>
    <row r="29" spans="1:11" x14ac:dyDescent="0.25">
      <c r="A29" s="5"/>
      <c r="B29" s="5"/>
      <c r="C29" s="5"/>
      <c r="D29" s="5"/>
      <c r="E29" s="5"/>
      <c r="G29" s="5"/>
      <c r="H29" s="5"/>
      <c r="I29" s="5"/>
      <c r="J29" s="5"/>
      <c r="K29" s="5"/>
    </row>
    <row r="30" spans="1:11" x14ac:dyDescent="0.25">
      <c r="A30" s="5"/>
      <c r="B30" s="5">
        <v>4.0077268398404304E-3</v>
      </c>
      <c r="C30" s="5">
        <v>4.0123991913573499E-3</v>
      </c>
      <c r="D30" s="5">
        <v>4.0108106158906198E-3</v>
      </c>
      <c r="E30" s="5">
        <v>4.0110610077128796E-3</v>
      </c>
      <c r="G30" s="5"/>
      <c r="H30" s="5">
        <v>4.0077268398404304E-3</v>
      </c>
      <c r="I30" s="5">
        <v>4.0123991913573499E-3</v>
      </c>
      <c r="J30" s="5">
        <v>4.0108106158906198E-3</v>
      </c>
      <c r="K30" s="5">
        <v>4.0110610077128796E-3</v>
      </c>
    </row>
    <row r="31" spans="1:11" x14ac:dyDescent="0.25">
      <c r="A31" s="5"/>
      <c r="B31" s="5"/>
      <c r="C31" s="5"/>
      <c r="D31" s="5"/>
      <c r="E31" s="5"/>
      <c r="G31" s="5"/>
      <c r="H31" s="5"/>
      <c r="I31" s="5"/>
      <c r="J31" s="5"/>
      <c r="K31" s="5"/>
    </row>
    <row r="32" spans="1:11" x14ac:dyDescent="0.25">
      <c r="A32" s="9" t="s">
        <v>45</v>
      </c>
      <c r="B32" s="5"/>
      <c r="C32" s="5"/>
      <c r="D32" s="5"/>
      <c r="E32" s="5"/>
      <c r="G32" s="9" t="s">
        <v>45</v>
      </c>
      <c r="H32" s="5"/>
      <c r="I32" s="5"/>
      <c r="J32" s="5"/>
      <c r="K32" s="5"/>
    </row>
    <row r="33" spans="1:11" x14ac:dyDescent="0.25">
      <c r="A33" s="5" t="s">
        <v>47</v>
      </c>
      <c r="B33" s="5"/>
      <c r="C33" s="5"/>
      <c r="D33" s="5" t="s">
        <v>48</v>
      </c>
      <c r="E33" s="5"/>
      <c r="G33" s="5" t="s">
        <v>47</v>
      </c>
      <c r="H33" s="5"/>
      <c r="I33" s="5"/>
      <c r="J33" s="5" t="s">
        <v>48</v>
      </c>
      <c r="K33" s="5"/>
    </row>
    <row r="34" spans="1:11" x14ac:dyDescent="0.25">
      <c r="A34" s="10" t="s">
        <v>38</v>
      </c>
      <c r="B34" s="5">
        <f>AVERAGE(B25:E25)</f>
        <v>4.0101184862809539E-3</v>
      </c>
      <c r="C34" s="5">
        <v>4.0100627912934101E-3</v>
      </c>
      <c r="D34" s="10" t="s">
        <v>50</v>
      </c>
      <c r="E34" s="5" t="e">
        <f>AVERAGE(B27:E27)</f>
        <v>#DIV/0!</v>
      </c>
      <c r="G34" s="10" t="s">
        <v>38</v>
      </c>
      <c r="H34" s="5">
        <f>AVERAGE(H25:K25)</f>
        <v>4.0100627912934093E-3</v>
      </c>
      <c r="I34" s="5">
        <v>4.0100627912934101E-3</v>
      </c>
      <c r="J34" s="10" t="s">
        <v>50</v>
      </c>
      <c r="K34" s="5" t="e">
        <f>AVERAGE(H27:K27)</f>
        <v>#DIV/0!</v>
      </c>
    </row>
    <row r="35" spans="1:11" x14ac:dyDescent="0.25">
      <c r="A35" s="10" t="s">
        <v>39</v>
      </c>
      <c r="B35" s="5">
        <f>AVERAGE(B26:E26)</f>
        <v>4.0109838988958858E-3</v>
      </c>
      <c r="C35" s="5">
        <v>4.0109365292220703E-3</v>
      </c>
      <c r="D35" s="10" t="s">
        <v>52</v>
      </c>
      <c r="E35" s="5" t="e">
        <f>AVERAGE(B28,E28)</f>
        <v>#DIV/0!</v>
      </c>
      <c r="G35" s="10" t="s">
        <v>39</v>
      </c>
      <c r="H35" s="5">
        <f>AVERAGE(H26:K26)</f>
        <v>4.0109365292220721E-3</v>
      </c>
      <c r="I35" s="5">
        <v>4.0109365292220703E-3</v>
      </c>
      <c r="J35" s="10" t="s">
        <v>52</v>
      </c>
      <c r="K35" s="5" t="e">
        <f>AVERAGE(H28,K28)</f>
        <v>#DIV/0!</v>
      </c>
    </row>
    <row r="36" spans="1:11" x14ac:dyDescent="0.25">
      <c r="A36" s="10" t="s">
        <v>53</v>
      </c>
      <c r="B36" s="5">
        <f>AVERAGE(AVERAGE(B21:E21))</f>
        <v>-2.3659558656275759</v>
      </c>
      <c r="C36" s="5">
        <v>-2.3659518099828998</v>
      </c>
      <c r="D36" s="10" t="s">
        <v>54</v>
      </c>
      <c r="E36" s="5">
        <f>AVERAGE(B22:E22)</f>
        <v>-0.77801806912451899</v>
      </c>
      <c r="G36" s="10" t="s">
        <v>53</v>
      </c>
      <c r="H36" s="5">
        <f>AVERAGE(AVERAGE(H21:K21))</f>
        <v>-2.3659518099829038</v>
      </c>
      <c r="I36" s="5">
        <v>-2.3659518099828998</v>
      </c>
      <c r="J36" s="10" t="s">
        <v>54</v>
      </c>
      <c r="K36" s="5">
        <f>AVERAGE(H22:K22)</f>
        <v>-0.77800832553628718</v>
      </c>
    </row>
    <row r="37" spans="1:11" x14ac:dyDescent="0.25">
      <c r="A37" s="10" t="s">
        <v>55</v>
      </c>
      <c r="B37" s="5">
        <f>AVERAGE(AVERAGE(B15:E15))</f>
        <v>2.3812811623016416E-3</v>
      </c>
      <c r="C37" s="5">
        <v>2.3674819293978701E-3</v>
      </c>
      <c r="D37" s="10" t="s">
        <v>55</v>
      </c>
      <c r="E37" s="5">
        <f>AVERAGE(AVERAGE(B15:E15))</f>
        <v>2.3812811623016416E-3</v>
      </c>
      <c r="G37" s="10" t="s">
        <v>55</v>
      </c>
      <c r="H37" s="5">
        <f>AVERAGE(AVERAGE(H15:K15))</f>
        <v>2.3674819293978732E-3</v>
      </c>
      <c r="I37" s="5">
        <v>2.3674819293978701E-3</v>
      </c>
      <c r="J37" s="10" t="s">
        <v>55</v>
      </c>
      <c r="K37" s="5">
        <f>AVERAGE(AVERAGE(H15:K15))</f>
        <v>2.3674819293978732E-3</v>
      </c>
    </row>
    <row r="38" spans="1:11" x14ac:dyDescent="0.25">
      <c r="C38" t="s">
        <v>56</v>
      </c>
      <c r="D38" t="s">
        <v>56</v>
      </c>
      <c r="I38" t="s">
        <v>56</v>
      </c>
      <c r="J38" t="s">
        <v>56</v>
      </c>
    </row>
    <row r="39" spans="1:11" x14ac:dyDescent="0.25">
      <c r="B39" t="s">
        <v>57</v>
      </c>
      <c r="C39" t="s">
        <v>58</v>
      </c>
      <c r="D39" t="s">
        <v>59</v>
      </c>
      <c r="E39" t="s">
        <v>60</v>
      </c>
      <c r="H39" t="s">
        <v>57</v>
      </c>
      <c r="I39" t="s">
        <v>58</v>
      </c>
      <c r="J39" t="s">
        <v>59</v>
      </c>
      <c r="K39" t="s">
        <v>60</v>
      </c>
    </row>
    <row r="40" spans="1:11" x14ac:dyDescent="0.25">
      <c r="A40" t="s">
        <v>61</v>
      </c>
      <c r="B40">
        <f>B36+B37</f>
        <v>-2.3635745844652742</v>
      </c>
      <c r="C40">
        <f t="shared" ref="C40:C44" si="16">B40</f>
        <v>-2.3635745844652742</v>
      </c>
      <c r="D40">
        <f t="shared" ref="D40:D44" si="17">C40</f>
        <v>-2.3635745844652742</v>
      </c>
      <c r="E40">
        <f t="shared" ref="E40:E44" si="18">D40</f>
        <v>-2.3635745844652742</v>
      </c>
      <c r="G40" t="s">
        <v>61</v>
      </c>
      <c r="H40">
        <f>H36+H37</f>
        <v>-2.363584328053506</v>
      </c>
      <c r="I40">
        <f t="shared" ref="I40:K40" si="19">H40</f>
        <v>-2.363584328053506</v>
      </c>
      <c r="J40">
        <f t="shared" si="19"/>
        <v>-2.363584328053506</v>
      </c>
      <c r="K40">
        <f t="shared" si="19"/>
        <v>-2.363584328053506</v>
      </c>
    </row>
    <row r="41" spans="1:11" x14ac:dyDescent="0.25">
      <c r="A41" t="s">
        <v>62</v>
      </c>
      <c r="B41">
        <f>COS(B36)</f>
        <v>-0.71397531846382378</v>
      </c>
      <c r="C41">
        <f t="shared" si="16"/>
        <v>-0.71397531846382378</v>
      </c>
      <c r="D41">
        <f t="shared" si="17"/>
        <v>-0.71397531846382378</v>
      </c>
      <c r="E41">
        <f t="shared" si="18"/>
        <v>-0.71397531846382378</v>
      </c>
      <c r="G41" t="s">
        <v>62</v>
      </c>
      <c r="H41">
        <f>COS(H36)</f>
        <v>-0.71397247881370096</v>
      </c>
      <c r="I41">
        <f t="shared" ref="I41:K41" si="20">H41</f>
        <v>-0.71397247881370096</v>
      </c>
      <c r="J41">
        <f t="shared" si="20"/>
        <v>-0.71397247881370096</v>
      </c>
      <c r="K41">
        <f t="shared" si="20"/>
        <v>-0.71397247881370096</v>
      </c>
    </row>
    <row r="42" spans="1:11" x14ac:dyDescent="0.25">
      <c r="A42" t="s">
        <v>63</v>
      </c>
      <c r="B42">
        <f>SIN((B36))</f>
        <v>-0.70017086816325158</v>
      </c>
      <c r="C42">
        <f t="shared" si="16"/>
        <v>-0.70017086816325158</v>
      </c>
      <c r="D42">
        <f t="shared" si="17"/>
        <v>-0.70017086816325158</v>
      </c>
      <c r="E42">
        <f t="shared" si="18"/>
        <v>-0.70017086816325158</v>
      </c>
      <c r="G42" t="s">
        <v>63</v>
      </c>
      <c r="H42">
        <f>SIN((H36))</f>
        <v>-0.70017376378768958</v>
      </c>
      <c r="I42">
        <f t="shared" ref="I42:K42" si="21">H42</f>
        <v>-0.70017376378768958</v>
      </c>
      <c r="J42">
        <f t="shared" si="21"/>
        <v>-0.70017376378768958</v>
      </c>
      <c r="K42">
        <f t="shared" si="21"/>
        <v>-0.70017376378768958</v>
      </c>
    </row>
    <row r="43" spans="1:11" x14ac:dyDescent="0.25">
      <c r="A43" t="s">
        <v>64</v>
      </c>
      <c r="B43">
        <f>COS(B40)</f>
        <v>-0.71230599204325895</v>
      </c>
      <c r="C43">
        <f t="shared" si="16"/>
        <v>-0.71230599204325895</v>
      </c>
      <c r="D43">
        <f t="shared" si="17"/>
        <v>-0.71230599204325895</v>
      </c>
      <c r="E43">
        <f t="shared" si="18"/>
        <v>-0.71230599204325895</v>
      </c>
      <c r="G43" t="s">
        <v>64</v>
      </c>
      <c r="H43">
        <f>COS(H40)</f>
        <v>-0.71231283073253426</v>
      </c>
      <c r="I43">
        <f t="shared" ref="I43:K43" si="22">H43</f>
        <v>-0.71231283073253426</v>
      </c>
      <c r="J43">
        <f t="shared" si="22"/>
        <v>-0.71231283073253426</v>
      </c>
      <c r="K43">
        <f t="shared" si="22"/>
        <v>-0.71231283073253426</v>
      </c>
    </row>
    <row r="44" spans="1:11" x14ac:dyDescent="0.25">
      <c r="A44" t="s">
        <v>65</v>
      </c>
      <c r="B44">
        <f>SIN(B40)</f>
        <v>-0.70186905737414351</v>
      </c>
      <c r="C44">
        <f t="shared" si="16"/>
        <v>-0.70186905737414351</v>
      </c>
      <c r="D44">
        <f t="shared" si="17"/>
        <v>-0.70186905737414351</v>
      </c>
      <c r="E44">
        <f t="shared" si="18"/>
        <v>-0.70186905737414351</v>
      </c>
      <c r="G44" t="s">
        <v>65</v>
      </c>
      <c r="H44">
        <f>SIN(H40)</f>
        <v>-0.70186211692454525</v>
      </c>
      <c r="I44">
        <f t="shared" ref="I44:K44" si="23">H44</f>
        <v>-0.70186211692454525</v>
      </c>
      <c r="J44">
        <f t="shared" si="23"/>
        <v>-0.70186211692454525</v>
      </c>
      <c r="K44">
        <f t="shared" si="23"/>
        <v>-0.70186211692454525</v>
      </c>
    </row>
    <row r="45" spans="1:11" x14ac:dyDescent="0.25">
      <c r="A45" t="s">
        <v>66</v>
      </c>
      <c r="B45">
        <f>B41*B25*B3-B44*D26*B4</f>
        <v>1.9661294691019293E-2</v>
      </c>
      <c r="C45">
        <f>C41*C25*C3-C44*E26*C4</f>
        <v>1.9667753201304095E-2</v>
      </c>
      <c r="D45">
        <f>D41*B25*B7-D44*E26*B8</f>
        <v>-180.01788319022933</v>
      </c>
      <c r="E45">
        <f>E41*C25*C7-E44*D26*C8</f>
        <v>179.98210226988834</v>
      </c>
      <c r="G45" t="s">
        <v>66</v>
      </c>
      <c r="H45">
        <f>H41*H25*ROUND(H3,0)-H44*J26*ROUND(H4,0)</f>
        <v>1.9848409850411031E-2</v>
      </c>
      <c r="I45">
        <f>I41*I25*ROUND(I3,0)-I44*K26*ROUND(I4,0)</f>
        <v>1.7732643864462716E-2</v>
      </c>
      <c r="J45">
        <f>J41*H25*ROUND(H7,0)-J44*K26*ROUND(H8,0)</f>
        <v>-180.01947527681656</v>
      </c>
      <c r="K45">
        <f>K41*I25*ROUND(I7,0)-K44*J26*ROUND(I8,0)</f>
        <v>179.98475693086993</v>
      </c>
    </row>
    <row r="46" spans="1:11" x14ac:dyDescent="0.25">
      <c r="A46" t="s">
        <v>67</v>
      </c>
      <c r="B46">
        <f>B42*B25*B3+B43*D26*B4</f>
        <v>-179.91257946873708</v>
      </c>
      <c r="C46">
        <f>C42*C25*C3+C43*E26*C4</f>
        <v>180.08740552858103</v>
      </c>
      <c r="D46">
        <f>D42*B25*B7+D43*E26*B8</f>
        <v>-8.7177194589912688E-2</v>
      </c>
      <c r="E46">
        <f>E42*C25*C7+E43*D26*C8</f>
        <v>-8.7171665816939026E-2</v>
      </c>
      <c r="G46" t="s">
        <v>67</v>
      </c>
      <c r="H46">
        <f>H42*H25*ROUND(H3,0)+H43*J26*ROUND(H4,0)</f>
        <v>-179.91170595247809</v>
      </c>
      <c r="I46">
        <f>I42*I25*ROUND(I3,0)+I43*K26*ROUND(I4,0)</f>
        <v>180.08900611993556</v>
      </c>
      <c r="J46">
        <f>J42*H25*ROUND(H7,0)+J43*K26*ROUND(H8,0)</f>
        <v>-8.6629998696878374E-2</v>
      </c>
      <c r="K46">
        <f>K42*I25*ROUND(I7,0)+K43*J26*ROUND(I8,0)</f>
        <v>-8.807690821173253E-2</v>
      </c>
    </row>
    <row r="47" spans="1:11" x14ac:dyDescent="0.25">
      <c r="E47" t="s">
        <v>56</v>
      </c>
      <c r="K47" t="s">
        <v>56</v>
      </c>
    </row>
    <row r="48" spans="1:11" x14ac:dyDescent="0.25">
      <c r="A48" t="s">
        <v>68</v>
      </c>
      <c r="B48">
        <f>ABS(B45)</f>
        <v>1.9661294691019293E-2</v>
      </c>
      <c r="C48">
        <f>ABS(C45)</f>
        <v>1.9667753201304095E-2</v>
      </c>
      <c r="D48">
        <f>ABS(ABS(D45)-ABS(B5))</f>
        <v>1.7883190229326829E-2</v>
      </c>
      <c r="E48">
        <f>ABS(ABS(E45)-ABS(B5))</f>
        <v>1.7897730111656074E-2</v>
      </c>
      <c r="G48" t="s">
        <v>68</v>
      </c>
      <c r="H48">
        <f>ABS(H45)</f>
        <v>1.9848409850411031E-2</v>
      </c>
      <c r="I48">
        <f>ABS(I45)</f>
        <v>1.7732643864462716E-2</v>
      </c>
      <c r="J48">
        <f>ABS(ABS(J45)-ABS(H5))</f>
        <v>1.9475276816564246E-2</v>
      </c>
      <c r="K48">
        <f>ABS(ABS(K45)-ABS(H5))</f>
        <v>1.5243069130065123E-2</v>
      </c>
    </row>
    <row r="49" spans="1:11" x14ac:dyDescent="0.25">
      <c r="A49" t="s">
        <v>69</v>
      </c>
      <c r="B49">
        <f>ABS(ABS(B46)-ABS(B5))</f>
        <v>8.7420531262921486E-2</v>
      </c>
      <c r="C49">
        <f>ABS(ABS(C46)-ABS(B5))</f>
        <v>8.7405528581030012E-2</v>
      </c>
      <c r="D49">
        <f>ABS(D46)</f>
        <v>8.7177194589912688E-2</v>
      </c>
      <c r="E49">
        <f>ABS(E46)</f>
        <v>8.7171665816939026E-2</v>
      </c>
      <c r="G49" t="s">
        <v>69</v>
      </c>
      <c r="H49">
        <f>ABS(ABS(H46)-ABS(H5))</f>
        <v>8.8294047521912944E-2</v>
      </c>
      <c r="I49">
        <f>ABS(ABS(I46)-ABS(H5))</f>
        <v>8.9006119935561401E-2</v>
      </c>
      <c r="J49">
        <f>ABS(J46)</f>
        <v>8.6629998696878374E-2</v>
      </c>
      <c r="K49">
        <f>ABS(K46)</f>
        <v>8.807690821173253E-2</v>
      </c>
    </row>
    <row r="51" spans="1:11" x14ac:dyDescent="0.25">
      <c r="A51" t="s">
        <v>78</v>
      </c>
      <c r="B51">
        <f t="shared" ref="B51:E52" si="24">ABS(B48/B45)</f>
        <v>1</v>
      </c>
      <c r="C51">
        <f t="shared" si="24"/>
        <v>1</v>
      </c>
      <c r="D51">
        <f t="shared" si="24"/>
        <v>9.9341187177660683E-5</v>
      </c>
      <c r="E51">
        <f t="shared" si="24"/>
        <v>9.9441721626397674E-5</v>
      </c>
      <c r="G51" t="s">
        <v>78</v>
      </c>
      <c r="H51">
        <f t="shared" ref="H51:K52" si="25">ABS(H48/H45)</f>
        <v>1</v>
      </c>
      <c r="I51">
        <f t="shared" si="25"/>
        <v>1</v>
      </c>
      <c r="J51">
        <f t="shared" si="25"/>
        <v>1.0818427721010212E-4</v>
      </c>
      <c r="K51">
        <f t="shared" si="25"/>
        <v>8.469088932858803E-5</v>
      </c>
    </row>
    <row r="52" spans="1:11" x14ac:dyDescent="0.25">
      <c r="B52">
        <f t="shared" si="24"/>
        <v>4.8590560771828804E-4</v>
      </c>
      <c r="C52">
        <f t="shared" si="24"/>
        <v>4.8535059031187046E-4</v>
      </c>
      <c r="D52">
        <f t="shared" si="24"/>
        <v>1</v>
      </c>
      <c r="E52">
        <f t="shared" si="24"/>
        <v>1</v>
      </c>
      <c r="H52">
        <f t="shared" si="25"/>
        <v>4.9076321662602069E-4</v>
      </c>
      <c r="I52">
        <f t="shared" si="25"/>
        <v>4.9423405599942707E-4</v>
      </c>
      <c r="J52">
        <f t="shared" si="25"/>
        <v>1</v>
      </c>
      <c r="K52">
        <f t="shared" si="25"/>
        <v>1</v>
      </c>
    </row>
  </sheetData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实验表格</vt:lpstr>
      <vt:lpstr>Sheet1</vt:lpstr>
      <vt:lpstr>验证表格</vt:lpstr>
      <vt:lpstr>取整分析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2021-08-20T11:10:50Z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83BF9237E65A4ED79416E90C876F0C6A</vt:lpwstr>
  </property>
</Properties>
</file>