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295" activeTab="1"/>
  </bookViews>
  <sheets>
    <sheet name="直线度标定" sheetId="2" r:id="rId1"/>
    <sheet name="实验表格" sheetId="1" r:id="rId2"/>
  </sheets>
  <calcPr calcId="144525"/>
</workbook>
</file>

<file path=xl/sharedStrings.xml><?xml version="1.0" encoding="utf-8"?>
<sst xmlns="http://schemas.openxmlformats.org/spreadsheetml/2006/main" count="81" uniqueCount="73">
  <si>
    <t>段数</t>
  </si>
  <si>
    <t>记录角度值</t>
  </si>
  <si>
    <t>对应距离</t>
  </si>
  <si>
    <t>初值</t>
  </si>
  <si>
    <t>y负x负</t>
  </si>
  <si>
    <t>y正x正</t>
  </si>
  <si>
    <t>y负x正</t>
  </si>
  <si>
    <t>y正x负</t>
  </si>
  <si>
    <t>实验初始数据</t>
  </si>
  <si>
    <t>y-</t>
  </si>
  <si>
    <t>y+</t>
  </si>
  <si>
    <t>x-</t>
  </si>
  <si>
    <t>x+</t>
  </si>
  <si>
    <t>走y轴，△x = 0</t>
  </si>
  <si>
    <t>第一次</t>
  </si>
  <si>
    <t>Encoder1</t>
  </si>
  <si>
    <t xml:space="preserve"> </t>
  </si>
  <si>
    <t>Encoder2</t>
  </si>
  <si>
    <t xml:space="preserve">△d = </t>
  </si>
  <si>
    <t xml:space="preserve"> 第二次</t>
  </si>
  <si>
    <t>走x轴，△y = 0</t>
  </si>
  <si>
    <t>第三次</t>
  </si>
  <si>
    <t>中间参数</t>
  </si>
  <si>
    <t xml:space="preserve"> 第四次</t>
  </si>
  <si>
    <t>码盘的分子</t>
  </si>
  <si>
    <t>码盘的分母</t>
  </si>
  <si>
    <t>tan_mp_a_w</t>
  </si>
  <si>
    <t>平均值</t>
  </si>
  <si>
    <t>取整</t>
  </si>
  <si>
    <t>mp_a_w</t>
  </si>
  <si>
    <t>mp_a_w_deg</t>
  </si>
  <si>
    <t>中间参数k</t>
  </si>
  <si>
    <t>误差分析</t>
  </si>
  <si>
    <t>sqrt(delta)</t>
  </si>
  <si>
    <t>tanβ的解一</t>
  </si>
  <si>
    <t>Δ（残差）</t>
  </si>
  <si>
    <t>tanβ的解二</t>
  </si>
  <si>
    <t>β的解一</t>
  </si>
  <si>
    <t>β的解二</t>
  </si>
  <si>
    <t>m-β解1</t>
  </si>
  <si>
    <t>m-β解2</t>
  </si>
  <si>
    <t>差的平方</t>
  </si>
  <si>
    <t>CM1-解1</t>
  </si>
  <si>
    <t>CM2-解1</t>
  </si>
  <si>
    <t>CM1-解2</t>
  </si>
  <si>
    <t>CM2-解2</t>
  </si>
  <si>
    <t>方差</t>
  </si>
  <si>
    <t>标准差</t>
  </si>
  <si>
    <t>平均值的标准偏差</t>
  </si>
  <si>
    <t>结果</t>
  </si>
  <si>
    <t>3σ</t>
  </si>
  <si>
    <t>解一</t>
  </si>
  <si>
    <t>解二</t>
  </si>
  <si>
    <t>上偏差</t>
  </si>
  <si>
    <t xml:space="preserve"> CM1-解2</t>
  </si>
  <si>
    <t>下偏差</t>
  </si>
  <si>
    <t xml:space="preserve"> CM2-解2</t>
  </si>
  <si>
    <t>β-解1</t>
  </si>
  <si>
    <t>β-解2</t>
  </si>
  <si>
    <t>mp</t>
  </si>
  <si>
    <t>y负</t>
  </si>
  <si>
    <t xml:space="preserve"> y正</t>
  </si>
  <si>
    <t xml:space="preserve"> x负</t>
  </si>
  <si>
    <t>x正</t>
  </si>
  <si>
    <t>β+mp</t>
  </si>
  <si>
    <t>cosβ</t>
  </si>
  <si>
    <t>sinβ</t>
  </si>
  <si>
    <t>cos(β+mp)</t>
  </si>
  <si>
    <t>sin(β+mp)</t>
  </si>
  <si>
    <t xml:space="preserve">△x = </t>
  </si>
  <si>
    <t xml:space="preserve">△y = </t>
  </si>
  <si>
    <t>△x 误差</t>
  </si>
  <si>
    <t>△y 误差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</si>
</sst>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20" applyAlignment="1">
      <alignment horizontal="center"/>
    </xf>
    <xf numFmtId="0" fontId="1" fillId="2" borderId="1" xfId="20" applyFill="1" applyAlignment="1">
      <alignment horizontal="center"/>
    </xf>
    <xf numFmtId="0" fontId="1" fillId="3" borderId="1" xfId="20" applyFill="1" applyAlignment="1">
      <alignment horizontal="center"/>
    </xf>
    <xf numFmtId="0" fontId="1" fillId="4" borderId="1" xfId="20" applyFill="1" applyAlignment="1">
      <alignment horizontal="center"/>
    </xf>
    <xf numFmtId="0" fontId="0" fillId="0" borderId="0" xfId="0" applyAlignment="1">
      <alignment horizontal="center"/>
    </xf>
    <xf numFmtId="0" fontId="2" fillId="0" borderId="2" xfId="15" applyBorder="1" applyAlignment="1">
      <alignment horizontal="center"/>
    </xf>
    <xf numFmtId="0" fontId="2" fillId="0" borderId="3" xfId="22" applyAlignment="1">
      <alignment horizontal="center"/>
    </xf>
    <xf numFmtId="0" fontId="2" fillId="0" borderId="0" xfId="15" applyAlignment="1">
      <alignment horizontal="center"/>
    </xf>
    <xf numFmtId="0" fontId="2" fillId="5" borderId="3" xfId="22" applyFill="1" applyAlignment="1">
      <alignment horizontal="center"/>
    </xf>
    <xf numFmtId="0" fontId="0" fillId="3" borderId="0" xfId="36" applyAlignment="1">
      <alignment horizontal="center"/>
    </xf>
    <xf numFmtId="0" fontId="3" fillId="0" borderId="2" xfId="30" applyAlignment="1">
      <alignment horizontal="center"/>
    </xf>
    <xf numFmtId="0" fontId="2" fillId="0" borderId="3" xfId="22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14" sqref="F14"/>
    </sheetView>
  </sheetViews>
  <sheetFormatPr defaultColWidth="8.88888888888889" defaultRowHeight="13.8" outlineLevelCol="2"/>
  <cols>
    <col min="1" max="1" width="5.66666666666667" style="14" customWidth="1"/>
    <col min="2" max="2" width="11.8888888888889" style="15" customWidth="1"/>
    <col min="3" max="3" width="8.88888888888889" style="15"/>
  </cols>
  <sheetData>
    <row r="1" spans="1:3">
      <c r="A1" s="14" t="s">
        <v>0</v>
      </c>
      <c r="B1" s="15" t="s">
        <v>1</v>
      </c>
      <c r="C1" s="15" t="s">
        <v>2</v>
      </c>
    </row>
    <row r="2" spans="1:2">
      <c r="A2" s="14">
        <v>1</v>
      </c>
      <c r="B2" s="15">
        <v>0.03</v>
      </c>
    </row>
    <row r="3" spans="1:2">
      <c r="A3" s="14">
        <v>2</v>
      </c>
      <c r="B3" s="15">
        <v>0.01</v>
      </c>
    </row>
    <row r="4" spans="1:3">
      <c r="A4" s="14">
        <v>3</v>
      </c>
      <c r="B4" s="15">
        <v>-0.07</v>
      </c>
      <c r="C4" s="15">
        <v>144</v>
      </c>
    </row>
    <row r="5" spans="1:3">
      <c r="A5" s="14">
        <v>4</v>
      </c>
      <c r="B5" s="15">
        <v>-0.09</v>
      </c>
      <c r="C5" s="15">
        <v>180</v>
      </c>
    </row>
    <row r="6" spans="1:3">
      <c r="A6" s="14">
        <v>5</v>
      </c>
      <c r="B6" s="15">
        <v>-0.87</v>
      </c>
      <c r="C6" s="15">
        <v>216</v>
      </c>
    </row>
    <row r="7" spans="1:3">
      <c r="A7" s="14">
        <v>6</v>
      </c>
      <c r="B7" s="15">
        <v>-0.088</v>
      </c>
      <c r="C7" s="15">
        <v>252</v>
      </c>
    </row>
    <row r="8" spans="1:3">
      <c r="A8" s="14">
        <v>7</v>
      </c>
      <c r="B8" s="15">
        <v>-0.12</v>
      </c>
      <c r="C8" s="15">
        <v>288</v>
      </c>
    </row>
    <row r="9" spans="1:2">
      <c r="A9" s="14">
        <v>8</v>
      </c>
      <c r="B9" s="15">
        <v>-0.15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R49"/>
  <sheetViews>
    <sheetView tabSelected="1" zoomScale="82" zoomScaleNormal="82" workbookViewId="0">
      <selection activeCell="P19" sqref="P19"/>
    </sheetView>
  </sheetViews>
  <sheetFormatPr defaultColWidth="9" defaultRowHeight="13.8"/>
  <cols>
    <col min="1" max="1" width="15.2222222222222" customWidth="1"/>
    <col min="2" max="2" width="16.8888888888889" customWidth="1"/>
    <col min="3" max="3" width="15" customWidth="1"/>
    <col min="4" max="4" width="13.7777777777778" customWidth="1"/>
    <col min="5" max="5" width="13.3333333333333" customWidth="1"/>
    <col min="6" max="6" width="15" customWidth="1"/>
    <col min="7" max="7" width="11.3333333333333" customWidth="1"/>
    <col min="8" max="8" width="19.5555555555556" customWidth="1"/>
    <col min="9" max="9" width="11.3333333333333" customWidth="1"/>
    <col min="10" max="10" width="16.1111111111111" customWidth="1"/>
    <col min="11" max="11" width="15.1111111111111" customWidth="1"/>
    <col min="12" max="12" width="15.6666666666667" customWidth="1"/>
    <col min="16" max="16" width="12.8888888888889"/>
    <col min="18" max="18" width="9.44444444444444"/>
    <col min="20" max="20" width="9.44444444444444"/>
  </cols>
  <sheetData>
    <row r="1" ht="17.55" spans="1:13">
      <c r="A1" s="1" t="s">
        <v>3</v>
      </c>
      <c r="B1" s="2" t="s">
        <v>4</v>
      </c>
      <c r="C1" s="3" t="s">
        <v>5</v>
      </c>
      <c r="D1" s="2" t="s">
        <v>6</v>
      </c>
      <c r="E1" s="4" t="s">
        <v>7</v>
      </c>
      <c r="F1" s="5"/>
      <c r="G1" s="5"/>
      <c r="H1" s="3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5"/>
    </row>
    <row r="2" spans="1:17">
      <c r="A2" s="5" t="s">
        <v>13</v>
      </c>
      <c r="B2" s="5"/>
      <c r="C2" s="5"/>
      <c r="D2" s="5"/>
      <c r="E2" s="5"/>
      <c r="F2" s="5">
        <v>25405</v>
      </c>
      <c r="G2" s="5"/>
      <c r="H2" s="6" t="s">
        <v>14</v>
      </c>
      <c r="I2" s="12">
        <v>25405</v>
      </c>
      <c r="J2" s="12">
        <v>-25434</v>
      </c>
      <c r="K2" s="6">
        <v>-25211</v>
      </c>
      <c r="L2" s="6">
        <v>25198</v>
      </c>
      <c r="M2" s="5"/>
      <c r="N2" s="13">
        <v>25452</v>
      </c>
      <c r="O2">
        <v>-25211</v>
      </c>
      <c r="P2" s="13">
        <v>-25440</v>
      </c>
      <c r="Q2">
        <v>25198</v>
      </c>
    </row>
    <row r="3" spans="1:17">
      <c r="A3" s="7" t="s">
        <v>15</v>
      </c>
      <c r="B3" s="7">
        <v>25409</v>
      </c>
      <c r="C3" s="7">
        <v>-25433</v>
      </c>
      <c r="D3" s="7">
        <v>25409</v>
      </c>
      <c r="E3" s="7">
        <v>-25433</v>
      </c>
      <c r="F3" s="5">
        <v>25458</v>
      </c>
      <c r="G3" s="5" t="s">
        <v>16</v>
      </c>
      <c r="H3" s="8"/>
      <c r="I3" s="12">
        <v>25458</v>
      </c>
      <c r="J3" s="12">
        <v>-25439</v>
      </c>
      <c r="K3" s="6">
        <v>25452</v>
      </c>
      <c r="L3" s="6">
        <v>-25440</v>
      </c>
      <c r="M3" s="5"/>
      <c r="N3" s="13">
        <v>-25211</v>
      </c>
      <c r="O3">
        <v>25452</v>
      </c>
      <c r="P3" s="13">
        <v>25198</v>
      </c>
      <c r="Q3">
        <v>-25440</v>
      </c>
    </row>
    <row r="4" spans="1:16">
      <c r="A4" s="7" t="s">
        <v>17</v>
      </c>
      <c r="B4" s="7">
        <v>25450</v>
      </c>
      <c r="C4" s="7">
        <v>-25436</v>
      </c>
      <c r="D4" s="7">
        <v>25450</v>
      </c>
      <c r="E4" s="7">
        <v>-25436</v>
      </c>
      <c r="F4" s="5"/>
      <c r="G4" s="5"/>
      <c r="H4" s="8"/>
      <c r="I4" s="12"/>
      <c r="J4" s="12"/>
      <c r="K4" s="6"/>
      <c r="L4" s="12"/>
      <c r="M4" s="5"/>
      <c r="N4" s="13"/>
      <c r="P4" s="13"/>
    </row>
    <row r="5" spans="1:17">
      <c r="A5" s="7" t="s">
        <v>18</v>
      </c>
      <c r="B5" s="7">
        <v>-144</v>
      </c>
      <c r="C5" s="7">
        <v>144</v>
      </c>
      <c r="D5" s="7">
        <v>-144</v>
      </c>
      <c r="E5" s="7">
        <v>144</v>
      </c>
      <c r="F5" s="5">
        <v>25414</v>
      </c>
      <c r="G5" s="5"/>
      <c r="H5" s="6" t="s">
        <v>19</v>
      </c>
      <c r="I5" s="12">
        <v>25414</v>
      </c>
      <c r="J5" s="12">
        <v>-25434</v>
      </c>
      <c r="K5" s="6">
        <v>-25193</v>
      </c>
      <c r="L5" s="12">
        <v>25188</v>
      </c>
      <c r="M5" s="5"/>
      <c r="N5" s="13">
        <v>25450</v>
      </c>
      <c r="O5">
        <v>-25193</v>
      </c>
      <c r="P5" s="13">
        <v>-25441</v>
      </c>
      <c r="Q5">
        <v>25188</v>
      </c>
    </row>
    <row r="6" spans="1:17">
      <c r="A6" s="5" t="s">
        <v>20</v>
      </c>
      <c r="B6" s="5"/>
      <c r="C6" s="5"/>
      <c r="D6" s="5"/>
      <c r="E6" s="5"/>
      <c r="F6" s="5">
        <v>25452</v>
      </c>
      <c r="G6" s="5"/>
      <c r="H6" s="8"/>
      <c r="I6" s="12">
        <v>25452</v>
      </c>
      <c r="J6" s="12">
        <v>-25435</v>
      </c>
      <c r="K6" s="6">
        <v>25450</v>
      </c>
      <c r="L6" s="12">
        <v>-25441</v>
      </c>
      <c r="M6" s="5"/>
      <c r="N6" s="13">
        <v>-25193</v>
      </c>
      <c r="O6">
        <v>25450</v>
      </c>
      <c r="P6" s="13">
        <v>25188</v>
      </c>
      <c r="Q6">
        <v>-25441</v>
      </c>
    </row>
    <row r="7" spans="1:16">
      <c r="A7" s="7" t="s">
        <v>15</v>
      </c>
      <c r="B7" s="7">
        <v>25194</v>
      </c>
      <c r="C7" s="7">
        <v>-25203</v>
      </c>
      <c r="D7" s="7">
        <v>-25203</v>
      </c>
      <c r="E7" s="7">
        <v>25194</v>
      </c>
      <c r="F7" s="5"/>
      <c r="G7" s="5"/>
      <c r="H7" s="8"/>
      <c r="I7" s="12"/>
      <c r="J7" s="12"/>
      <c r="K7" s="6"/>
      <c r="L7" s="12"/>
      <c r="M7" s="5"/>
      <c r="N7" s="13"/>
      <c r="P7" s="13"/>
    </row>
    <row r="8" spans="1:17">
      <c r="A8" s="5" t="s">
        <v>17</v>
      </c>
      <c r="B8" s="7">
        <v>-25441</v>
      </c>
      <c r="C8" s="7">
        <v>25452</v>
      </c>
      <c r="D8" s="7">
        <v>25452</v>
      </c>
      <c r="E8" s="7">
        <v>-25441</v>
      </c>
      <c r="F8" s="5">
        <v>25405</v>
      </c>
      <c r="G8" s="5"/>
      <c r="H8" s="6" t="s">
        <v>21</v>
      </c>
      <c r="I8" s="5">
        <v>25405</v>
      </c>
      <c r="J8" s="5">
        <v>-25431</v>
      </c>
      <c r="K8" s="12">
        <v>-25212</v>
      </c>
      <c r="L8" s="12">
        <v>25201</v>
      </c>
      <c r="M8" s="5"/>
      <c r="N8" s="13">
        <v>25453</v>
      </c>
      <c r="O8">
        <v>-25212</v>
      </c>
      <c r="P8" s="13">
        <v>-25447</v>
      </c>
      <c r="Q8">
        <v>25201</v>
      </c>
    </row>
    <row r="9" spans="1:17">
      <c r="A9" s="5"/>
      <c r="B9" s="7"/>
      <c r="C9" s="7"/>
      <c r="D9" s="7"/>
      <c r="E9" s="7"/>
      <c r="F9" s="5">
        <v>25441</v>
      </c>
      <c r="G9" s="5"/>
      <c r="H9" s="8"/>
      <c r="I9" s="5">
        <v>25441</v>
      </c>
      <c r="J9" s="5">
        <v>-25437</v>
      </c>
      <c r="K9" s="12">
        <v>25453</v>
      </c>
      <c r="L9" s="12">
        <v>-25447</v>
      </c>
      <c r="M9" s="5"/>
      <c r="N9" s="13">
        <v>-25212</v>
      </c>
      <c r="O9">
        <v>25453</v>
      </c>
      <c r="P9" s="13">
        <v>25201</v>
      </c>
      <c r="Q9">
        <v>-25447</v>
      </c>
    </row>
    <row r="10" spans="1:16">
      <c r="A10" s="5"/>
      <c r="B10" s="5"/>
      <c r="C10" s="5"/>
      <c r="D10" s="5"/>
      <c r="E10" s="5"/>
      <c r="F10" s="5"/>
      <c r="G10" s="5"/>
      <c r="H10" s="8"/>
      <c r="I10" s="12"/>
      <c r="J10" s="12"/>
      <c r="K10" s="6"/>
      <c r="L10" s="12"/>
      <c r="M10" s="5"/>
      <c r="N10" s="13"/>
      <c r="P10" s="13"/>
    </row>
    <row r="11" ht="17.55" spans="1:17">
      <c r="A11" s="3" t="s">
        <v>22</v>
      </c>
      <c r="B11" s="5"/>
      <c r="C11" s="5"/>
      <c r="D11" s="5"/>
      <c r="E11" s="5"/>
      <c r="F11" s="5">
        <v>25411</v>
      </c>
      <c r="G11" s="5"/>
      <c r="H11" s="6" t="s">
        <v>23</v>
      </c>
      <c r="I11" s="12">
        <v>25411</v>
      </c>
      <c r="J11" s="12">
        <v>-25432</v>
      </c>
      <c r="K11" s="12">
        <v>-25197</v>
      </c>
      <c r="L11" s="12">
        <v>25189</v>
      </c>
      <c r="M11" s="5"/>
      <c r="N11" s="13">
        <v>25451</v>
      </c>
      <c r="O11">
        <v>-25197</v>
      </c>
      <c r="P11" s="13">
        <v>-25435</v>
      </c>
      <c r="Q11">
        <v>25189</v>
      </c>
    </row>
    <row r="12" spans="1:17">
      <c r="A12" s="8" t="s">
        <v>24</v>
      </c>
      <c r="B12" s="7">
        <f>B3*B4+B7*B8</f>
        <v>5698496</v>
      </c>
      <c r="C12" s="7">
        <f>C3*C4+C7*C8</f>
        <v>5447032</v>
      </c>
      <c r="D12" s="7">
        <f>D3*D4+D7*D8</f>
        <v>5192294</v>
      </c>
      <c r="E12" s="7">
        <f>E3*E4+E7*E8</f>
        <v>5953234</v>
      </c>
      <c r="F12" s="5">
        <v>25449</v>
      </c>
      <c r="G12" s="5"/>
      <c r="H12" s="8"/>
      <c r="I12" s="12">
        <v>25449</v>
      </c>
      <c r="J12" s="12">
        <v>-25431</v>
      </c>
      <c r="K12" s="12">
        <v>25451</v>
      </c>
      <c r="L12" s="12">
        <v>-25435</v>
      </c>
      <c r="M12" s="5"/>
      <c r="N12" s="13">
        <v>-25197</v>
      </c>
      <c r="O12">
        <v>25451</v>
      </c>
      <c r="P12" s="13">
        <v>25189</v>
      </c>
      <c r="Q12">
        <v>-25435</v>
      </c>
    </row>
    <row r="13" spans="1:13">
      <c r="A13" s="8" t="s">
        <v>25</v>
      </c>
      <c r="B13" s="7">
        <f>B4*B7-B3*B8</f>
        <v>1287617669</v>
      </c>
      <c r="C13" s="7">
        <f>C4*C7-C3*C8</f>
        <v>1288384224</v>
      </c>
      <c r="D13" s="7">
        <f>D4*D7-D3*D8</f>
        <v>-1288126218</v>
      </c>
      <c r="E13" s="7">
        <f>E4*E7-E3*E8</f>
        <v>-1287875537</v>
      </c>
      <c r="F13" s="5"/>
      <c r="G13" s="5"/>
      <c r="H13" s="8"/>
      <c r="I13" s="12"/>
      <c r="J13" s="12"/>
      <c r="K13" s="6"/>
      <c r="L13" s="12"/>
      <c r="M13" s="5"/>
    </row>
    <row r="14" spans="1:17">
      <c r="A14" s="8" t="s">
        <v>26</v>
      </c>
      <c r="B14" s="7">
        <f>B12/B13</f>
        <v>0.00442561183897516</v>
      </c>
      <c r="C14" s="7">
        <f>C12/C13</f>
        <v>0.00422780091414718</v>
      </c>
      <c r="D14" s="7">
        <f>-D12/D13</f>
        <v>0.00403088915313111</v>
      </c>
      <c r="E14" s="7">
        <f>-E12/E13</f>
        <v>0.00462252277410872</v>
      </c>
      <c r="F14" s="5"/>
      <c r="G14" s="5"/>
      <c r="H14" s="6" t="s">
        <v>27</v>
      </c>
      <c r="I14" s="12">
        <f t="shared" ref="I14:L14" si="0">(I2+I5+I8+I11)/4</f>
        <v>25408.75</v>
      </c>
      <c r="J14" s="12">
        <f t="shared" si="0"/>
        <v>-25432.75</v>
      </c>
      <c r="K14" s="12">
        <f t="shared" si="0"/>
        <v>-25203.25</v>
      </c>
      <c r="L14" s="12">
        <f t="shared" si="0"/>
        <v>25194</v>
      </c>
      <c r="M14" s="5" t="s">
        <v>28</v>
      </c>
      <c r="N14" s="5">
        <f>ROUND(I14,0)</f>
        <v>25409</v>
      </c>
      <c r="O14" s="5">
        <f t="shared" ref="O14:Q14" si="1">ROUND(J14,0)</f>
        <v>-25433</v>
      </c>
      <c r="P14" s="5">
        <f t="shared" si="1"/>
        <v>-25203</v>
      </c>
      <c r="Q14" s="5">
        <f t="shared" si="1"/>
        <v>25194</v>
      </c>
    </row>
    <row r="15" spans="1:17">
      <c r="A15" s="8" t="s">
        <v>29</v>
      </c>
      <c r="B15" s="7">
        <f>ATAN(B14)</f>
        <v>0.00442558294591098</v>
      </c>
      <c r="C15" s="7">
        <f>ATAN(C14)</f>
        <v>0.00422777572475589</v>
      </c>
      <c r="D15" s="7">
        <f>ATAN(D14)</f>
        <v>0.00403086732195777</v>
      </c>
      <c r="E15" s="7">
        <f>ATAN(E14)</f>
        <v>0.00462248985027832</v>
      </c>
      <c r="F15" s="5"/>
      <c r="G15" s="5"/>
      <c r="H15" s="5"/>
      <c r="I15" s="12">
        <f t="shared" ref="I15:L15" si="2">(I3+I6+I9+I12)/4</f>
        <v>25450</v>
      </c>
      <c r="J15" s="12">
        <f t="shared" si="2"/>
        <v>-25435.5</v>
      </c>
      <c r="K15" s="12">
        <f t="shared" si="2"/>
        <v>25451.5</v>
      </c>
      <c r="L15" s="12">
        <f t="shared" si="2"/>
        <v>-25440.75</v>
      </c>
      <c r="M15" s="5"/>
      <c r="N15" s="5">
        <f>ROUND(I15,0)</f>
        <v>25450</v>
      </c>
      <c r="O15" s="5">
        <f t="shared" ref="O15" si="3">ROUND(J15,0)</f>
        <v>-25436</v>
      </c>
      <c r="P15" s="5">
        <f t="shared" ref="P15" si="4">ROUND(K15,0)</f>
        <v>25452</v>
      </c>
      <c r="Q15" s="5">
        <f t="shared" ref="Q15" si="5">ROUND(L15,0)</f>
        <v>-25441</v>
      </c>
    </row>
    <row r="16" spans="1:17">
      <c r="A16" s="8" t="s">
        <v>30</v>
      </c>
      <c r="B16" s="7">
        <f>B15/3.1415926*180</f>
        <v>0.253567229011163</v>
      </c>
      <c r="C16" s="7">
        <f>C15/3.1415926*180</f>
        <v>0.242233709888437</v>
      </c>
      <c r="D16" s="7">
        <f>D15/3.1415926*180</f>
        <v>0.230951689264992</v>
      </c>
      <c r="E16" s="7">
        <f>E15/3.1415926*180</f>
        <v>0.264849163780847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7.55" spans="1:17">
      <c r="A17" s="8" t="s">
        <v>31</v>
      </c>
      <c r="B17" s="7">
        <f>-(B3*B8)/(B7*B4)</f>
        <v>1.00817712546708</v>
      </c>
      <c r="C17" s="7">
        <f>-(C3*C8)/(C7*C4)</f>
        <v>1.00976066789314</v>
      </c>
      <c r="D17" s="7">
        <f>-(D3*D8)/(D7*D4)</f>
        <v>1.00825285791358</v>
      </c>
      <c r="E17" s="7">
        <f>-(E3*E8)/(E7*E4)</f>
        <v>1.00968482219118</v>
      </c>
      <c r="F17" s="5"/>
      <c r="G17" s="5"/>
      <c r="H17" s="3" t="s">
        <v>32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8" t="s">
        <v>33</v>
      </c>
      <c r="B18" s="7">
        <f>SQRT((B17+1)*(B17+1)*B14*B14+4*B17)</f>
        <v>2.00818014330602</v>
      </c>
      <c r="C18" s="7">
        <f>SQRT((C17+1)*(C17+1)*C14*C14+4*C17)</f>
        <v>2.00975492743224</v>
      </c>
      <c r="D18" s="7">
        <f>SQRT((D17+1)*(D17+1)*D14*D14+4*D17)</f>
        <v>2.00825221558509</v>
      </c>
      <c r="E18" s="7">
        <f>SQRT((E17+1)*(E17+1)*E14*E14+4*E17)</f>
        <v>2.00968295743539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8" t="s">
        <v>34</v>
      </c>
      <c r="B19" s="7">
        <f>(-(1+B17)*B14+B18)/2</f>
        <v>0.999646365422397</v>
      </c>
      <c r="C19" s="7">
        <f>(-(1+C17)*C14+C18)/2</f>
        <v>1.00062902972165</v>
      </c>
      <c r="D19" s="7">
        <f t="shared" ref="D19:E19" si="6">(-(1+D17)*D14+D18)/2</f>
        <v>1.00007858546169</v>
      </c>
      <c r="E19" s="7">
        <f t="shared" si="6"/>
        <v>1.00019657178802</v>
      </c>
      <c r="F19" s="5"/>
      <c r="G19" s="5"/>
      <c r="H19" s="7" t="s">
        <v>35</v>
      </c>
      <c r="I19" s="5">
        <f>I2-I14</f>
        <v>-3.75</v>
      </c>
      <c r="J19" s="5">
        <f>J2-J14</f>
        <v>-1.25</v>
      </c>
      <c r="K19" s="5">
        <f>K2-K14</f>
        <v>-7.75</v>
      </c>
      <c r="L19" s="5">
        <f>L2-L14</f>
        <v>4</v>
      </c>
      <c r="M19" s="5">
        <f>I3-I15</f>
        <v>8</v>
      </c>
      <c r="N19" s="5">
        <f>J3-J15</f>
        <v>-3.5</v>
      </c>
      <c r="O19" s="5">
        <f>K3-K15</f>
        <v>0.5</v>
      </c>
      <c r="P19" s="5">
        <f>L3-L15</f>
        <v>0.75</v>
      </c>
      <c r="Q19" s="5"/>
    </row>
    <row r="20" spans="1:17">
      <c r="A20" s="8" t="s">
        <v>36</v>
      </c>
      <c r="B20" s="7">
        <f>(-(1+B17)*B14-B18)/2</f>
        <v>-1.00853377788362</v>
      </c>
      <c r="C20" s="7">
        <f>(-(1+C17)*C14-C18)/2</f>
        <v>-1.00912589771059</v>
      </c>
      <c r="D20" s="7">
        <f>(-(1+D17)*D14-D18)/2</f>
        <v>-1.0081736301234</v>
      </c>
      <c r="E20" s="7">
        <f>(-(1+E17)*E14-E18)/2</f>
        <v>-1.00948638564738</v>
      </c>
      <c r="F20" s="5"/>
      <c r="G20" s="5"/>
      <c r="H20" s="5"/>
      <c r="I20" s="5">
        <f>I5-I14</f>
        <v>5.25</v>
      </c>
      <c r="J20" s="5">
        <f>J5-J14</f>
        <v>-1.25</v>
      </c>
      <c r="K20" s="5">
        <f>K5-K14</f>
        <v>10.25</v>
      </c>
      <c r="L20" s="5">
        <f>L5-L14</f>
        <v>-6</v>
      </c>
      <c r="M20" s="5">
        <f>I6-I15</f>
        <v>2</v>
      </c>
      <c r="N20" s="5">
        <f>J6-J15</f>
        <v>0.5</v>
      </c>
      <c r="O20" s="5">
        <f>K6-K15</f>
        <v>-1.5</v>
      </c>
      <c r="P20" s="5">
        <f>L6-L15</f>
        <v>-0.25</v>
      </c>
      <c r="Q20" s="5"/>
    </row>
    <row r="21" spans="1:17">
      <c r="A21" s="8" t="s">
        <v>37</v>
      </c>
      <c r="B21" s="7">
        <f>ATAN(B19)+PI()</f>
        <v>3.9268139684304</v>
      </c>
      <c r="C21" s="7">
        <f t="shared" ref="C21:E21" si="7">ATAN(C19)+PI()</f>
        <v>3.92730523294921</v>
      </c>
      <c r="D21" s="7">
        <f t="shared" si="7"/>
        <v>3.92703010817421</v>
      </c>
      <c r="E21" s="7">
        <f t="shared" si="7"/>
        <v>3.92708909322177</v>
      </c>
      <c r="F21" s="5"/>
      <c r="G21" s="5"/>
      <c r="H21" s="5"/>
      <c r="I21" s="5">
        <f>I8-I14</f>
        <v>-3.75</v>
      </c>
      <c r="J21" s="5">
        <f>J8-J14</f>
        <v>1.75</v>
      </c>
      <c r="K21" s="5">
        <f>K8-K14</f>
        <v>-8.75</v>
      </c>
      <c r="L21" s="5">
        <f>L8-L14</f>
        <v>7</v>
      </c>
      <c r="M21" s="5">
        <f>I9-I15</f>
        <v>-9</v>
      </c>
      <c r="N21" s="5">
        <f>J9-J15</f>
        <v>-1.5</v>
      </c>
      <c r="O21" s="5">
        <f>K9-K15</f>
        <v>1.5</v>
      </c>
      <c r="P21" s="5">
        <f>L9-L15</f>
        <v>-6.25</v>
      </c>
      <c r="Q21" s="5"/>
    </row>
    <row r="22" spans="1:17">
      <c r="A22" s="8" t="s">
        <v>38</v>
      </c>
      <c r="B22" s="7">
        <f>ATAN(B20)+PI()</f>
        <v>2.35194575580327</v>
      </c>
      <c r="C22" s="7">
        <f t="shared" ref="C22:E22" si="8">ATAN(C20)+PI()</f>
        <v>2.35165229850562</v>
      </c>
      <c r="D22" s="7">
        <f t="shared" si="8"/>
        <v>2.35212433168342</v>
      </c>
      <c r="E22" s="7">
        <f t="shared" si="8"/>
        <v>2.35147372410754</v>
      </c>
      <c r="F22" s="5"/>
      <c r="G22" s="5"/>
      <c r="H22" s="5"/>
      <c r="I22" s="5">
        <f>I11-I14</f>
        <v>2.25</v>
      </c>
      <c r="J22" s="5">
        <f>J11-J14</f>
        <v>0.75</v>
      </c>
      <c r="K22" s="5">
        <f>K11-K14</f>
        <v>6.25</v>
      </c>
      <c r="L22" s="5">
        <f>L11-L14</f>
        <v>-5</v>
      </c>
      <c r="M22" s="5">
        <f>I12-I15</f>
        <v>-1</v>
      </c>
      <c r="N22" s="5">
        <f>J12-J15</f>
        <v>4.5</v>
      </c>
      <c r="O22" s="5">
        <f>K12-K15</f>
        <v>-0.5</v>
      </c>
      <c r="P22" s="5">
        <f>L12-L15</f>
        <v>5.75</v>
      </c>
      <c r="Q22" s="5"/>
    </row>
    <row r="23" spans="1:17">
      <c r="A23" s="8" t="s">
        <v>39</v>
      </c>
      <c r="B23" s="7">
        <f>(B3*COS(B21)+B7*SIN(B21))/(B4*SIN(B21+B15)-B8*COS(B21+B15))</f>
        <v>0.994349805433415</v>
      </c>
      <c r="C23" s="7">
        <f>(C3*COS(C21)+C7*SIN(C21))/(C4*SIN(C21+C15)-C8*COS(C21+C15))</f>
        <v>0.995058164008109</v>
      </c>
      <c r="D23" s="7">
        <f>(D3*COS(D21)+D7*SIN(D21))/(D4*SIN(D21+D15)-D8*COS(D21+D15))</f>
        <v>0.994311013080838</v>
      </c>
      <c r="E23" s="7">
        <f>(E3*COS(E21)+E7*SIN(E21))/(E4*SIN(E21+E15)-E8*COS(E21+E15))</f>
        <v>0.995097271618037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8" t="s">
        <v>40</v>
      </c>
      <c r="B24" s="7">
        <f>(B3*COS(B22)+B7*SIN(+B22))/(B4*SIN(B15+B22)-B8*COS(B15+B22))</f>
        <v>0.5</v>
      </c>
      <c r="C24" s="7">
        <f>(C3*COS(C22)+C7*SIN(+C22))/(C4*SIN(C15+C22)-C8*COS(C15+C22))</f>
        <v>0.666666666666667</v>
      </c>
      <c r="D24" s="7">
        <f>(D3*COS(D22)+D7*SIN(+D22))/(D4*SIN(D15+D22)-D8*COS(D15+D22))</f>
        <v>-0.994278072441723</v>
      </c>
      <c r="E24" s="7">
        <f>(E3*COS(E22)+E7*SIN(+E22))/(E4*SIN(E15+E22)-E8*COS(E15+E22))</f>
        <v>-0.995052938424299</v>
      </c>
      <c r="F24" s="5"/>
      <c r="G24" s="5"/>
      <c r="H24" s="8" t="s">
        <v>41</v>
      </c>
      <c r="I24" s="5">
        <f>I19*I19</f>
        <v>14.0625</v>
      </c>
      <c r="J24" s="5">
        <f t="shared" ref="J24:P24" si="9">J19*J19</f>
        <v>1.5625</v>
      </c>
      <c r="K24" s="5">
        <f t="shared" si="9"/>
        <v>60.0625</v>
      </c>
      <c r="L24" s="5">
        <f t="shared" si="9"/>
        <v>16</v>
      </c>
      <c r="M24" s="5">
        <f t="shared" si="9"/>
        <v>64</v>
      </c>
      <c r="N24" s="5">
        <f t="shared" si="9"/>
        <v>12.25</v>
      </c>
      <c r="O24" s="5">
        <f t="shared" si="9"/>
        <v>0.25</v>
      </c>
      <c r="P24" s="5">
        <f t="shared" si="9"/>
        <v>0.5625</v>
      </c>
      <c r="Q24" s="5"/>
    </row>
    <row r="25" spans="1:17">
      <c r="A25" s="8" t="s">
        <v>42</v>
      </c>
      <c r="B25" s="9">
        <f>B5/(B3*SIN(B21)+B23*B4*COS(B15+B21))</f>
        <v>0.00402440387297095</v>
      </c>
      <c r="C25" s="9">
        <f>C5/(C3*SIN(C21)+C23*C4*COS(C15+C21))</f>
        <v>0.00402177249803564</v>
      </c>
      <c r="D25" s="7">
        <f>D5/(D3*SIN(D21)+D23*D4*COS(D15+D21))</f>
        <v>0.00402368451298651</v>
      </c>
      <c r="E25" s="7">
        <f>E5/(E3*SIN(E21)+E23*E4*COS(E15+E21))</f>
        <v>0.00402249115066665</v>
      </c>
      <c r="F25" s="5"/>
      <c r="G25" s="5"/>
      <c r="H25" s="5"/>
      <c r="I25" s="5">
        <f t="shared" ref="I25:P25" si="10">I20*I20</f>
        <v>27.5625</v>
      </c>
      <c r="J25" s="5">
        <f t="shared" si="10"/>
        <v>1.5625</v>
      </c>
      <c r="K25" s="5">
        <f t="shared" si="10"/>
        <v>105.0625</v>
      </c>
      <c r="L25" s="5">
        <f t="shared" si="10"/>
        <v>36</v>
      </c>
      <c r="M25" s="5">
        <f t="shared" si="10"/>
        <v>4</v>
      </c>
      <c r="N25" s="5">
        <f t="shared" si="10"/>
        <v>0.25</v>
      </c>
      <c r="O25" s="5">
        <f t="shared" si="10"/>
        <v>2.25</v>
      </c>
      <c r="P25" s="5">
        <f t="shared" si="10"/>
        <v>0.0625</v>
      </c>
      <c r="Q25" s="5"/>
    </row>
    <row r="26" spans="1:17">
      <c r="A26" s="8" t="s">
        <v>43</v>
      </c>
      <c r="B26" s="7">
        <f>B23*B25</f>
        <v>0.00400166520807415</v>
      </c>
      <c r="C26" s="7">
        <f t="shared" ref="C26:E26" si="11">C23*C25</f>
        <v>0.00400189755795365</v>
      </c>
      <c r="D26" s="9">
        <f t="shared" si="11"/>
        <v>0.0040007938244253</v>
      </c>
      <c r="E26" s="9">
        <f t="shared" si="11"/>
        <v>0.00400276996913609</v>
      </c>
      <c r="F26" s="5"/>
      <c r="G26" s="5"/>
      <c r="H26" s="5"/>
      <c r="I26" s="5">
        <f t="shared" ref="I26:P26" si="12">I21*I21</f>
        <v>14.0625</v>
      </c>
      <c r="J26" s="5">
        <f t="shared" si="12"/>
        <v>3.0625</v>
      </c>
      <c r="K26" s="5">
        <f t="shared" si="12"/>
        <v>76.5625</v>
      </c>
      <c r="L26" s="5">
        <f t="shared" si="12"/>
        <v>49</v>
      </c>
      <c r="M26" s="5">
        <f t="shared" si="12"/>
        <v>81</v>
      </c>
      <c r="N26" s="5">
        <f t="shared" si="12"/>
        <v>2.25</v>
      </c>
      <c r="O26" s="5">
        <f t="shared" si="12"/>
        <v>2.25</v>
      </c>
      <c r="P26" s="5">
        <f t="shared" si="12"/>
        <v>39.0625</v>
      </c>
      <c r="Q26" s="5"/>
    </row>
    <row r="27" spans="1:17">
      <c r="A27" s="8" t="s">
        <v>44</v>
      </c>
      <c r="B27" s="7">
        <f>B5/(B3*SIN(B22)+B24*B4*COS(B15+B22))</f>
        <v>-0.0159229939767271</v>
      </c>
      <c r="C27" s="7">
        <f>C5/(C3*SIN(C22)+C24*C4*COS(C15+C22))</f>
        <v>-0.0236901630702187</v>
      </c>
      <c r="D27" s="7">
        <f>D5/(D3*SIN(D22)+D24*D4*COS(D15+D22))</f>
        <v>-0.00400756442281355</v>
      </c>
      <c r="E27" s="7">
        <f>E5/(E3*SIN(E22)+E24*E4*COS(E15+E22))</f>
        <v>-0.00400402904827543</v>
      </c>
      <c r="F27" s="5"/>
      <c r="G27" s="5"/>
      <c r="H27" s="5"/>
      <c r="I27" s="5">
        <f t="shared" ref="I27:P27" si="13">I22*I22</f>
        <v>5.0625</v>
      </c>
      <c r="J27" s="5">
        <f t="shared" si="13"/>
        <v>0.5625</v>
      </c>
      <c r="K27" s="5">
        <f t="shared" si="13"/>
        <v>39.0625</v>
      </c>
      <c r="L27" s="5">
        <f t="shared" si="13"/>
        <v>25</v>
      </c>
      <c r="M27" s="5">
        <f t="shared" si="13"/>
        <v>1</v>
      </c>
      <c r="N27" s="5">
        <f t="shared" si="13"/>
        <v>20.25</v>
      </c>
      <c r="O27" s="5">
        <f t="shared" si="13"/>
        <v>0.25</v>
      </c>
      <c r="P27" s="5">
        <f t="shared" si="13"/>
        <v>33.0625</v>
      </c>
      <c r="Q27" s="5"/>
    </row>
    <row r="28" spans="1:17">
      <c r="A28" s="8" t="s">
        <v>45</v>
      </c>
      <c r="B28" s="7">
        <f>B24*B27</f>
        <v>-0.00796149698836354</v>
      </c>
      <c r="C28" s="7">
        <f>C24*C27</f>
        <v>-0.0157934420468125</v>
      </c>
      <c r="D28" s="7">
        <f>D24*D27</f>
        <v>0.00398463342950108</v>
      </c>
      <c r="E28" s="7">
        <f>E24*E27</f>
        <v>0.00398422087002272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F29" s="5"/>
      <c r="G29" s="5"/>
      <c r="H29" s="8" t="s">
        <v>46</v>
      </c>
      <c r="I29" s="5">
        <f t="shared" ref="I29:P29" si="14">(I24+I25+I26+I27)/3</f>
        <v>20.25</v>
      </c>
      <c r="J29" s="5">
        <f t="shared" si="14"/>
        <v>2.25</v>
      </c>
      <c r="K29" s="5">
        <f t="shared" si="14"/>
        <v>93.5833333333333</v>
      </c>
      <c r="L29" s="5">
        <f t="shared" si="14"/>
        <v>42</v>
      </c>
      <c r="M29" s="5">
        <f t="shared" si="14"/>
        <v>50</v>
      </c>
      <c r="N29" s="5">
        <f t="shared" si="14"/>
        <v>11.6666666666667</v>
      </c>
      <c r="O29" s="5">
        <f t="shared" si="14"/>
        <v>1.66666666666667</v>
      </c>
      <c r="P29" s="5">
        <f t="shared" si="14"/>
        <v>24.25</v>
      </c>
      <c r="Q29" s="5"/>
    </row>
    <row r="30" spans="1:17">
      <c r="A30" s="5"/>
      <c r="B30" s="5">
        <v>0.00400772683984043</v>
      </c>
      <c r="C30" s="5">
        <v>0.00401239919135735</v>
      </c>
      <c r="D30" s="5">
        <v>0.00401081061589062</v>
      </c>
      <c r="E30" s="5">
        <v>0.00401106100771288</v>
      </c>
      <c r="F30" s="5"/>
      <c r="G30" s="5"/>
      <c r="H30" s="8" t="s">
        <v>47</v>
      </c>
      <c r="I30" s="5">
        <f>SQRT(I29)</f>
        <v>4.5</v>
      </c>
      <c r="J30" s="5">
        <f t="shared" ref="J30:P30" si="15">SQRT(J29)</f>
        <v>1.5</v>
      </c>
      <c r="K30" s="5">
        <f t="shared" si="15"/>
        <v>9.67384790728763</v>
      </c>
      <c r="L30" s="5">
        <f t="shared" si="15"/>
        <v>6.48074069840786</v>
      </c>
      <c r="M30" s="5">
        <f t="shared" si="15"/>
        <v>7.07106781186548</v>
      </c>
      <c r="N30" s="5">
        <f t="shared" si="15"/>
        <v>3.41565025531987</v>
      </c>
      <c r="O30" s="5">
        <f t="shared" si="15"/>
        <v>1.29099444873581</v>
      </c>
      <c r="P30" s="5">
        <f t="shared" si="15"/>
        <v>4.92442890089805</v>
      </c>
      <c r="Q30" s="5"/>
    </row>
    <row r="31" spans="1:17">
      <c r="A31" s="5"/>
      <c r="B31" s="5"/>
      <c r="C31" s="5"/>
      <c r="D31" s="5"/>
      <c r="E31" s="5"/>
      <c r="F31" s="5"/>
      <c r="G31" s="5"/>
      <c r="H31" s="8" t="s">
        <v>48</v>
      </c>
      <c r="I31" s="5">
        <f>I30/2</f>
        <v>2.25</v>
      </c>
      <c r="J31" s="5">
        <f t="shared" ref="J31:P31" si="16">J30/2</f>
        <v>0.75</v>
      </c>
      <c r="K31" s="5">
        <f t="shared" si="16"/>
        <v>4.83692395364382</v>
      </c>
      <c r="L31" s="5">
        <f t="shared" si="16"/>
        <v>3.24037034920393</v>
      </c>
      <c r="M31" s="5">
        <f t="shared" si="16"/>
        <v>3.53553390593274</v>
      </c>
      <c r="N31" s="5">
        <f t="shared" si="16"/>
        <v>1.70782512765993</v>
      </c>
      <c r="O31" s="5">
        <f t="shared" si="16"/>
        <v>0.645497224367903</v>
      </c>
      <c r="P31" s="5">
        <f t="shared" si="16"/>
        <v>2.46221445044903</v>
      </c>
      <c r="Q31" s="5"/>
    </row>
    <row r="32" spans="1:17">
      <c r="A32" s="10" t="s">
        <v>49</v>
      </c>
      <c r="B32" s="5"/>
      <c r="C32" s="5"/>
      <c r="D32" s="5"/>
      <c r="E32" s="5"/>
      <c r="F32" s="5"/>
      <c r="G32" s="5"/>
      <c r="H32" s="8" t="s">
        <v>50</v>
      </c>
      <c r="I32" s="5">
        <f>3*I31</f>
        <v>6.75</v>
      </c>
      <c r="J32" s="5">
        <f t="shared" ref="J32:P32" si="17">3*J31</f>
        <v>2.25</v>
      </c>
      <c r="K32" s="5">
        <f t="shared" si="17"/>
        <v>14.5107718609315</v>
      </c>
      <c r="L32" s="5">
        <f t="shared" si="17"/>
        <v>9.72111104761179</v>
      </c>
      <c r="M32" s="5">
        <f t="shared" si="17"/>
        <v>10.6066017177982</v>
      </c>
      <c r="N32" s="5">
        <f t="shared" si="17"/>
        <v>5.1234753829798</v>
      </c>
      <c r="O32" s="5">
        <f t="shared" si="17"/>
        <v>1.93649167310371</v>
      </c>
      <c r="P32" s="5">
        <f t="shared" si="17"/>
        <v>7.38664335134708</v>
      </c>
      <c r="Q32" s="5"/>
    </row>
    <row r="33" spans="1:17">
      <c r="A33" s="5" t="s">
        <v>51</v>
      </c>
      <c r="B33" s="5"/>
      <c r="C33" s="5"/>
      <c r="D33" s="5" t="s">
        <v>52</v>
      </c>
      <c r="E33" s="5"/>
      <c r="F33" s="5"/>
      <c r="G33" s="5"/>
      <c r="H33" s="8" t="s">
        <v>53</v>
      </c>
      <c r="I33" s="5">
        <f>I14+I32</f>
        <v>25415.5</v>
      </c>
      <c r="J33" s="5">
        <f>J14+J32</f>
        <v>-25430.5</v>
      </c>
      <c r="K33" s="5">
        <f>K14+K32</f>
        <v>-25188.7392281391</v>
      </c>
      <c r="L33" s="5">
        <f>L14+L32</f>
        <v>25203.7211110476</v>
      </c>
      <c r="M33" s="5">
        <f>I15+M32</f>
        <v>25460.6066017178</v>
      </c>
      <c r="N33" s="5">
        <f>J15+N32</f>
        <v>-25430.376524617</v>
      </c>
      <c r="O33" s="5">
        <f>K15+O32</f>
        <v>25453.4364916731</v>
      </c>
      <c r="P33" s="5">
        <f>L15+P32</f>
        <v>-25433.3633566487</v>
      </c>
      <c r="Q33" s="5"/>
    </row>
    <row r="34" spans="1:17">
      <c r="A34" s="11" t="s">
        <v>42</v>
      </c>
      <c r="B34" s="5">
        <f>AVERAGE(B25:E25)</f>
        <v>0.00402308800866494</v>
      </c>
      <c r="C34" s="5">
        <v>0.00401006279129341</v>
      </c>
      <c r="D34" s="11" t="s">
        <v>54</v>
      </c>
      <c r="E34" s="5">
        <f>AVERAGE(B27:E27)</f>
        <v>-0.0119061876295087</v>
      </c>
      <c r="F34" s="5"/>
      <c r="G34" s="5"/>
      <c r="H34" s="8" t="s">
        <v>55</v>
      </c>
      <c r="I34" s="5">
        <f>I14-I32</f>
        <v>25402</v>
      </c>
      <c r="J34" s="5">
        <f>J14-J32</f>
        <v>-25435</v>
      </c>
      <c r="K34" s="5">
        <f>K14-K32</f>
        <v>-25217.7607718609</v>
      </c>
      <c r="L34" s="5">
        <f>L14-L32</f>
        <v>25184.2788889524</v>
      </c>
      <c r="M34" s="5">
        <f>I15-M32</f>
        <v>25439.3933982822</v>
      </c>
      <c r="N34" s="5">
        <f>J15-N32</f>
        <v>-25440.623475383</v>
      </c>
      <c r="O34" s="5">
        <f>K15-O32</f>
        <v>25449.5635083269</v>
      </c>
      <c r="P34" s="5">
        <f>L15-P32</f>
        <v>-25448.1366433513</v>
      </c>
      <c r="Q34" s="5"/>
    </row>
    <row r="35" ht="15.3" spans="1:17">
      <c r="A35" s="11" t="s">
        <v>43</v>
      </c>
      <c r="B35" s="5">
        <f>AVERAGE(B26:E26)</f>
        <v>0.0040017816398973</v>
      </c>
      <c r="C35" s="5">
        <v>0.00401093652922207</v>
      </c>
      <c r="D35" s="11" t="s">
        <v>56</v>
      </c>
      <c r="E35" s="5">
        <f>AVERAGE(B28,E28)</f>
        <v>-0.00198863805917041</v>
      </c>
      <c r="F35" s="5"/>
      <c r="G35" s="5"/>
      <c r="H35" s="8"/>
      <c r="I35" s="5"/>
      <c r="J35" s="5"/>
      <c r="K35" s="5"/>
      <c r="L35" s="5"/>
      <c r="M35" s="5"/>
      <c r="N35" s="5"/>
      <c r="O35" s="5"/>
      <c r="P35" s="5"/>
      <c r="Q35" s="5"/>
    </row>
    <row r="36" ht="15.3" spans="1:18">
      <c r="A36" s="11" t="s">
        <v>57</v>
      </c>
      <c r="B36" s="5">
        <f>AVERAGE(AVERAGE(B21:E21))</f>
        <v>3.9270596006939</v>
      </c>
      <c r="C36" s="5">
        <v>-2.3659518099829</v>
      </c>
      <c r="D36" s="11" t="s">
        <v>58</v>
      </c>
      <c r="E36" s="5">
        <f>AVERAGE(B22:E22)</f>
        <v>2.35179902752496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3" spans="1:18">
      <c r="A37" s="11" t="s">
        <v>59</v>
      </c>
      <c r="B37" s="5">
        <f>AVERAGE(AVERAGE(B15:E15))</f>
        <v>0.00432667896072574</v>
      </c>
      <c r="C37" s="5">
        <v>0.00236748192939787</v>
      </c>
      <c r="D37" s="11" t="s">
        <v>59</v>
      </c>
      <c r="E37" s="5">
        <f>AVERAGE(AVERAGE(B15:E15))</f>
        <v>0.00432667896072574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4.55" spans="3:18">
      <c r="C38" t="s">
        <v>16</v>
      </c>
      <c r="D38" t="s">
        <v>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18">
      <c r="B39" t="s">
        <v>60</v>
      </c>
      <c r="C39" t="s">
        <v>61</v>
      </c>
      <c r="D39" t="s">
        <v>62</v>
      </c>
      <c r="E39" t="s">
        <v>63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5">
      <c r="A40" t="s">
        <v>64</v>
      </c>
      <c r="B40">
        <f>B36+B37</f>
        <v>3.93138627965462</v>
      </c>
      <c r="C40">
        <f>B40</f>
        <v>3.93138627965462</v>
      </c>
      <c r="D40">
        <f t="shared" ref="D40:E40" si="18">C40</f>
        <v>3.93138627965462</v>
      </c>
      <c r="E40">
        <f t="shared" si="18"/>
        <v>3.93138627965462</v>
      </c>
    </row>
    <row r="41" spans="1:5">
      <c r="A41" t="s">
        <v>65</v>
      </c>
      <c r="B41">
        <f>COS(B36)</f>
        <v>-0.707058142088444</v>
      </c>
      <c r="C41">
        <f t="shared" ref="C41:E44" si="19">B41</f>
        <v>-0.707058142088444</v>
      </c>
      <c r="D41">
        <f t="shared" si="19"/>
        <v>-0.707058142088444</v>
      </c>
      <c r="E41">
        <f t="shared" si="19"/>
        <v>-0.707058142088444</v>
      </c>
    </row>
    <row r="42" spans="1:5">
      <c r="A42" t="s">
        <v>66</v>
      </c>
      <c r="B42">
        <f>SIN((B36))</f>
        <v>-0.707155416939189</v>
      </c>
      <c r="C42">
        <f t="shared" si="19"/>
        <v>-0.707155416939189</v>
      </c>
      <c r="D42">
        <f t="shared" si="19"/>
        <v>-0.707155416939189</v>
      </c>
      <c r="E42">
        <f t="shared" si="19"/>
        <v>-0.707155416939189</v>
      </c>
    </row>
    <row r="43" spans="1:5">
      <c r="A43" t="s">
        <v>67</v>
      </c>
      <c r="B43">
        <f>COS(B40)</f>
        <v>-0.703991899062929</v>
      </c>
      <c r="C43">
        <f t="shared" si="19"/>
        <v>-0.703991899062929</v>
      </c>
      <c r="D43">
        <f t="shared" si="19"/>
        <v>-0.703991899062929</v>
      </c>
      <c r="E43">
        <f t="shared" si="19"/>
        <v>-0.703991899062929</v>
      </c>
    </row>
    <row r="44" spans="1:5">
      <c r="A44" t="s">
        <v>68</v>
      </c>
      <c r="B44">
        <f>SIN(B40)</f>
        <v>-0.710208001964052</v>
      </c>
      <c r="C44">
        <f t="shared" si="19"/>
        <v>-0.710208001964052</v>
      </c>
      <c r="D44">
        <f t="shared" si="19"/>
        <v>-0.710208001964052</v>
      </c>
      <c r="E44">
        <f t="shared" si="19"/>
        <v>-0.710208001964052</v>
      </c>
    </row>
    <row r="45" spans="1:5">
      <c r="A45" t="s">
        <v>69</v>
      </c>
      <c r="B45">
        <f>B41*B25*B3-B44*D26*B4</f>
        <v>0.0125302788090949</v>
      </c>
      <c r="C45">
        <f>C41*C25*C3-C44*E26*C4</f>
        <v>0.0125232150917469</v>
      </c>
      <c r="D45">
        <f>D41*B25*B7-D44*E26*B8</f>
        <v>-144.012868742977</v>
      </c>
      <c r="E45">
        <f>E41*C25*C7-E44*D26*C8</f>
        <v>143.987136642329</v>
      </c>
    </row>
    <row r="46" spans="1:5">
      <c r="A46" t="s">
        <v>70</v>
      </c>
      <c r="B46">
        <f>B42*B25*B3+B43*D26*B4</f>
        <v>-143.991537432947</v>
      </c>
      <c r="C46">
        <f>C42*C25*C3+C43*E26*C4</f>
        <v>144.008467965694</v>
      </c>
      <c r="D46">
        <f>D42*B25*B7+D43*E26*B8</f>
        <v>-0.00843301596007962</v>
      </c>
      <c r="E46">
        <f>E42*C25*C7+E43*D26*C8</f>
        <v>-0.00844011905846287</v>
      </c>
    </row>
    <row r="47" spans="5:5">
      <c r="E47" t="s">
        <v>16</v>
      </c>
    </row>
    <row r="48" spans="1:5">
      <c r="A48" t="s">
        <v>71</v>
      </c>
      <c r="B48">
        <f>ABS(B45)</f>
        <v>0.0125302788090949</v>
      </c>
      <c r="C48">
        <f>ABS(C45)</f>
        <v>0.0125232150917469</v>
      </c>
      <c r="D48">
        <f>ABS(ABS(D45)-ABS(B5))</f>
        <v>0.0128687429773038</v>
      </c>
      <c r="E48">
        <f>ABS(ABS(E45)-ABS(B5))</f>
        <v>0.0128633576705113</v>
      </c>
    </row>
    <row r="49" spans="1:5">
      <c r="A49" t="s">
        <v>72</v>
      </c>
      <c r="B49">
        <f>ABS(ABS(B46)-ABS(B5))</f>
        <v>0.00846256705347059</v>
      </c>
      <c r="C49">
        <f>ABS(ABS(C46)-ABS(B5))</f>
        <v>0.00846796569373964</v>
      </c>
      <c r="D49">
        <f>ABS(D46)</f>
        <v>0.00843301596007962</v>
      </c>
      <c r="E49">
        <f>ABS(E46)</f>
        <v>0.00844011905846287</v>
      </c>
    </row>
  </sheetData>
  <pageMargins left="0.7" right="0.7" top="0.75" bottom="0.75" header="0.3" footer="0.3"/>
  <pageSetup paperSize="9" orientation="portrait"/>
  <headerFooter/>
  <ignoredErrors>
    <ignoredError sqref="M20 M33:M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直线度标定</vt:lpstr>
      <vt:lpstr>实验表格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2021-03-12T01:36:08Z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83BF9237E65A4ED79416E90C876F0C6A</vt:lpwstr>
  </property>
</Properties>
</file>