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tabRatio="372" activeTab="1"/>
  </bookViews>
  <sheets>
    <sheet name="实验表格" sheetId="1" r:id="rId1"/>
    <sheet name="验证表格" sheetId="2" r:id="rId2"/>
    <sheet name="取整分析" sheetId="3" r:id="rId3"/>
  </sheets>
  <calcPr calcId="144525"/>
</workbook>
</file>

<file path=xl/sharedStrings.xml><?xml version="1.0" encoding="utf-8"?>
<sst xmlns="http://schemas.openxmlformats.org/spreadsheetml/2006/main" count="205" uniqueCount="79">
  <si>
    <t>初值</t>
  </si>
  <si>
    <t>y负x负</t>
  </si>
  <si>
    <t>y正x正</t>
  </si>
  <si>
    <t>y负x正</t>
  </si>
  <si>
    <t>y正x负</t>
  </si>
  <si>
    <t>实验初始数据</t>
  </si>
  <si>
    <t>y-</t>
  </si>
  <si>
    <t>y+</t>
  </si>
  <si>
    <t>x-</t>
  </si>
  <si>
    <t>x+</t>
  </si>
  <si>
    <t>走y轴，△x = 0</t>
  </si>
  <si>
    <t>第一次</t>
  </si>
  <si>
    <t>Encoder1</t>
  </si>
  <si>
    <t xml:space="preserve"> </t>
  </si>
  <si>
    <t>Encoder2</t>
  </si>
  <si>
    <t xml:space="preserve">△d = </t>
  </si>
  <si>
    <t xml:space="preserve"> 第二次</t>
  </si>
  <si>
    <t>走x轴，△y = 0</t>
  </si>
  <si>
    <t>第三次</t>
  </si>
  <si>
    <t>中间参数</t>
  </si>
  <si>
    <t xml:space="preserve"> 第四次</t>
  </si>
  <si>
    <t>码盘的分子</t>
  </si>
  <si>
    <t>码盘的分母</t>
  </si>
  <si>
    <t>tan_mp_a_w</t>
  </si>
  <si>
    <t>平均值</t>
  </si>
  <si>
    <t>取整</t>
  </si>
  <si>
    <t>mp_a_w</t>
  </si>
  <si>
    <t>mp_a_w_deg</t>
  </si>
  <si>
    <t>中间参数k</t>
  </si>
  <si>
    <t>误差分析</t>
  </si>
  <si>
    <t>sqrt(delta)</t>
  </si>
  <si>
    <t>tanβ的解一</t>
  </si>
  <si>
    <t>Δ（残差）</t>
  </si>
  <si>
    <t>tanβ的解二</t>
  </si>
  <si>
    <t>β的解一</t>
  </si>
  <si>
    <t>β的解二</t>
  </si>
  <si>
    <t>m-β解1</t>
  </si>
  <si>
    <t>m-β解2</t>
  </si>
  <si>
    <t>差的平方</t>
  </si>
  <si>
    <t>CM1-解1</t>
  </si>
  <si>
    <t>CM2-解1</t>
  </si>
  <si>
    <t>CM1-解2</t>
  </si>
  <si>
    <t>CM2-解2</t>
  </si>
  <si>
    <t>方差</t>
  </si>
  <si>
    <t>标准差</t>
  </si>
  <si>
    <t>平均值的标准偏差</t>
  </si>
  <si>
    <t>结果</t>
  </si>
  <si>
    <t>3σ</t>
  </si>
  <si>
    <t>解一</t>
  </si>
  <si>
    <t>解二</t>
  </si>
  <si>
    <t>上偏差</t>
  </si>
  <si>
    <t xml:space="preserve"> CM1-解2</t>
  </si>
  <si>
    <t>下偏差</t>
  </si>
  <si>
    <t xml:space="preserve"> CM2-解2</t>
  </si>
  <si>
    <t>β-解1</t>
  </si>
  <si>
    <t>β-解2</t>
  </si>
  <si>
    <t>mp</t>
  </si>
  <si>
    <t>y负</t>
  </si>
  <si>
    <t xml:space="preserve"> y正</t>
  </si>
  <si>
    <t xml:space="preserve"> x负</t>
  </si>
  <si>
    <t>x正</t>
  </si>
  <si>
    <t>β+mp</t>
  </si>
  <si>
    <t>cosβ</t>
  </si>
  <si>
    <t>sinβ</t>
  </si>
  <si>
    <t>cos(β+mp)</t>
  </si>
  <si>
    <t>sin(β+mp)</t>
  </si>
  <si>
    <t xml:space="preserve">△x = </t>
  </si>
  <si>
    <t xml:space="preserve">△y = </t>
  </si>
  <si>
    <t>△x 误差</t>
  </si>
  <si>
    <t>△y 误差</t>
  </si>
  <si>
    <t>方向/距离</t>
  </si>
  <si>
    <t>小车x距离</t>
  </si>
  <si>
    <t>目标x距离</t>
  </si>
  <si>
    <t>x相对误差</t>
  </si>
  <si>
    <t>小车y距离</t>
  </si>
  <si>
    <t>目标y距离</t>
  </si>
  <si>
    <t>y相对误差</t>
  </si>
  <si>
    <t xml:space="preserve"> x+</t>
  </si>
  <si>
    <t>相对误差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</si>
</sst>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9" fillId="16" borderId="4" applyNumberFormat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20" applyAlignment="1">
      <alignment horizontal="center"/>
    </xf>
    <xf numFmtId="0" fontId="1" fillId="2" borderId="1" xfId="20" applyFill="1" applyAlignment="1">
      <alignment horizontal="center"/>
    </xf>
    <xf numFmtId="0" fontId="1" fillId="3" borderId="1" xfId="20" applyFill="1" applyAlignment="1">
      <alignment horizontal="center"/>
    </xf>
    <xf numFmtId="0" fontId="1" fillId="4" borderId="1" xfId="20" applyFill="1" applyAlignment="1">
      <alignment horizontal="center"/>
    </xf>
    <xf numFmtId="0" fontId="0" fillId="0" borderId="0" xfId="0" applyAlignment="1">
      <alignment horizontal="center"/>
    </xf>
    <xf numFmtId="0" fontId="2" fillId="0" borderId="2" xfId="22" applyAlignment="1">
      <alignment horizontal="center"/>
    </xf>
    <xf numFmtId="0" fontId="2" fillId="0" borderId="0" xfId="15" applyAlignment="1">
      <alignment horizontal="center"/>
    </xf>
    <xf numFmtId="0" fontId="2" fillId="5" borderId="2" xfId="22" applyFill="1" applyAlignment="1">
      <alignment horizontal="center"/>
    </xf>
    <xf numFmtId="0" fontId="0" fillId="3" borderId="0" xfId="36" applyAlignment="1">
      <alignment horizontal="center"/>
    </xf>
    <xf numFmtId="0" fontId="3" fillId="0" borderId="3" xfId="30" applyAlignment="1">
      <alignment horizontal="center"/>
    </xf>
    <xf numFmtId="0" fontId="2" fillId="0" borderId="3" xfId="15" applyBorder="1" applyAlignment="1">
      <alignment horizontal="center"/>
    </xf>
    <xf numFmtId="0" fontId="2" fillId="0" borderId="2" xfId="22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U49"/>
  <sheetViews>
    <sheetView zoomScale="82" zoomScaleNormal="82" topLeftCell="A28" workbookViewId="0">
      <selection activeCell="A15" sqref="A15"/>
    </sheetView>
  </sheetViews>
  <sheetFormatPr defaultColWidth="9" defaultRowHeight="14"/>
  <cols>
    <col min="1" max="1" width="15.25" customWidth="1"/>
    <col min="2" max="2" width="16.9166666666667" customWidth="1"/>
    <col min="3" max="3" width="15" customWidth="1"/>
    <col min="4" max="4" width="13.75" customWidth="1"/>
    <col min="5" max="5" width="13.3333333333333" customWidth="1"/>
    <col min="6" max="6" width="15" customWidth="1"/>
    <col min="7" max="7" width="11.3333333333333" customWidth="1"/>
    <col min="8" max="8" width="19.5833333333333" customWidth="1"/>
    <col min="9" max="9" width="11.3333333333333" customWidth="1"/>
    <col min="10" max="10" width="16.0833333333333" customWidth="1"/>
    <col min="11" max="11" width="15.0833333333333" customWidth="1"/>
    <col min="12" max="12" width="15.6666666666667" customWidth="1"/>
    <col min="18" max="18" width="9.41666666666667"/>
    <col min="20" max="20" width="9.41666666666667"/>
  </cols>
  <sheetData>
    <row r="1" ht="17.25" spans="1:14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/>
      <c r="G1" s="5"/>
      <c r="H1" s="3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5"/>
      <c r="N1" s="5"/>
    </row>
    <row r="2" ht="15.5" spans="1:17">
      <c r="A2" s="5" t="s">
        <v>10</v>
      </c>
      <c r="B2" s="5"/>
      <c r="C2" s="5"/>
      <c r="D2" s="5"/>
      <c r="E2" s="5"/>
      <c r="F2" s="5"/>
      <c r="G2" s="5"/>
      <c r="H2" s="11" t="s">
        <v>11</v>
      </c>
      <c r="I2" s="12">
        <v>-12701</v>
      </c>
      <c r="J2" s="12">
        <v>12709</v>
      </c>
      <c r="K2" s="11">
        <v>-12616</v>
      </c>
      <c r="L2" s="12">
        <v>12624</v>
      </c>
      <c r="M2" s="5"/>
      <c r="N2" s="12">
        <v>-12715</v>
      </c>
      <c r="O2" s="12">
        <v>12707</v>
      </c>
      <c r="P2" s="12">
        <v>-12618</v>
      </c>
      <c r="Q2" s="11">
        <v>12634</v>
      </c>
    </row>
    <row r="3" ht="15.5" spans="1:17">
      <c r="A3" s="6" t="s">
        <v>12</v>
      </c>
      <c r="B3" s="6">
        <v>-12705</v>
      </c>
      <c r="C3" s="6">
        <v>12708</v>
      </c>
      <c r="D3" s="6">
        <v>-12705</v>
      </c>
      <c r="E3" s="6">
        <v>12708</v>
      </c>
      <c r="F3" s="5"/>
      <c r="G3" s="5" t="s">
        <v>13</v>
      </c>
      <c r="H3" s="7"/>
      <c r="I3" s="12">
        <v>-12720</v>
      </c>
      <c r="J3" s="12">
        <v>12722</v>
      </c>
      <c r="K3" s="11">
        <v>12691</v>
      </c>
      <c r="L3" s="12">
        <v>-12701</v>
      </c>
      <c r="M3" s="5"/>
      <c r="N3" s="12">
        <v>-12728</v>
      </c>
      <c r="O3" s="12">
        <v>12720</v>
      </c>
      <c r="P3" s="12">
        <v>12697</v>
      </c>
      <c r="Q3" s="11">
        <v>-12707</v>
      </c>
    </row>
    <row r="4" ht="14.75" spans="1:17">
      <c r="A4" s="6" t="s">
        <v>14</v>
      </c>
      <c r="B4" s="6">
        <v>-12725</v>
      </c>
      <c r="C4" s="6">
        <v>12722</v>
      </c>
      <c r="D4" s="6">
        <v>-12725</v>
      </c>
      <c r="E4" s="6">
        <v>12722</v>
      </c>
      <c r="F4" s="5"/>
      <c r="G4" s="5"/>
      <c r="H4" s="7"/>
      <c r="I4" s="12"/>
      <c r="J4" s="12"/>
      <c r="K4" s="11"/>
      <c r="L4" s="12"/>
      <c r="M4" s="5"/>
      <c r="N4" s="12"/>
      <c r="O4" s="12"/>
      <c r="P4" s="12"/>
      <c r="Q4" s="11"/>
    </row>
    <row r="5" ht="14.75" spans="1:17">
      <c r="A5" s="6" t="s">
        <v>15</v>
      </c>
      <c r="B5" s="6">
        <v>-72</v>
      </c>
      <c r="C5" s="6">
        <v>72</v>
      </c>
      <c r="D5" s="6">
        <v>-72</v>
      </c>
      <c r="E5" s="6">
        <v>72</v>
      </c>
      <c r="F5" s="5"/>
      <c r="G5" s="5"/>
      <c r="H5" s="11" t="s">
        <v>16</v>
      </c>
      <c r="I5" s="12">
        <v>-12710</v>
      </c>
      <c r="J5" s="12">
        <v>12707</v>
      </c>
      <c r="K5" s="11">
        <v>-12616</v>
      </c>
      <c r="L5" s="12">
        <v>12628</v>
      </c>
      <c r="M5" s="5"/>
      <c r="N5" s="12">
        <v>-12708</v>
      </c>
      <c r="O5" s="12">
        <v>-31497</v>
      </c>
      <c r="P5" s="12">
        <v>-12626</v>
      </c>
      <c r="Q5" s="11">
        <v>12624</v>
      </c>
    </row>
    <row r="6" ht="14.75" spans="1:17">
      <c r="A6" s="5" t="s">
        <v>17</v>
      </c>
      <c r="B6" s="5"/>
      <c r="C6" s="5"/>
      <c r="D6" s="5"/>
      <c r="E6" s="5"/>
      <c r="F6" s="5"/>
      <c r="G6" s="5"/>
      <c r="H6" s="7"/>
      <c r="I6" s="12">
        <v>-12726</v>
      </c>
      <c r="J6" s="12">
        <v>12722</v>
      </c>
      <c r="K6" s="11">
        <v>12689</v>
      </c>
      <c r="L6" s="12">
        <v>-12697</v>
      </c>
      <c r="M6" s="5"/>
      <c r="N6" s="12">
        <v>-12729</v>
      </c>
      <c r="O6" s="12">
        <v>-32063</v>
      </c>
      <c r="P6" s="12">
        <v>12704</v>
      </c>
      <c r="Q6" s="11">
        <v>-12701</v>
      </c>
    </row>
    <row r="7" ht="14.75" spans="1:17">
      <c r="A7" s="6" t="s">
        <v>12</v>
      </c>
      <c r="B7" s="6">
        <v>-12618</v>
      </c>
      <c r="C7" s="6">
        <v>12625</v>
      </c>
      <c r="D7" s="6">
        <v>12625</v>
      </c>
      <c r="E7" s="6">
        <v>-12618</v>
      </c>
      <c r="F7" s="5"/>
      <c r="G7" s="5"/>
      <c r="H7" s="7"/>
      <c r="I7" s="12"/>
      <c r="J7" s="12"/>
      <c r="K7" s="11"/>
      <c r="L7" s="12"/>
      <c r="M7" s="5"/>
      <c r="N7" s="12"/>
      <c r="O7" s="12"/>
      <c r="P7" s="12"/>
      <c r="Q7" s="11"/>
    </row>
    <row r="8" ht="14.75" spans="1:17">
      <c r="A8" s="5" t="s">
        <v>14</v>
      </c>
      <c r="B8" s="6">
        <v>12693</v>
      </c>
      <c r="C8" s="6">
        <v>-12698</v>
      </c>
      <c r="D8" s="6">
        <v>-12698</v>
      </c>
      <c r="E8" s="6">
        <v>12693</v>
      </c>
      <c r="F8" s="5"/>
      <c r="G8" s="5"/>
      <c r="H8" s="11" t="s">
        <v>18</v>
      </c>
      <c r="I8" s="5">
        <v>-12708</v>
      </c>
      <c r="J8" s="5">
        <v>12704</v>
      </c>
      <c r="K8" s="11">
        <v>-12622</v>
      </c>
      <c r="L8" s="12">
        <v>12625</v>
      </c>
      <c r="M8" s="5"/>
      <c r="N8" s="5">
        <v>-12713</v>
      </c>
      <c r="O8" s="5">
        <v>-31505</v>
      </c>
      <c r="P8" s="12">
        <v>-12629</v>
      </c>
      <c r="Q8" s="11">
        <v>12618</v>
      </c>
    </row>
    <row r="9" ht="14.75" spans="1:17">
      <c r="A9" s="5"/>
      <c r="B9" s="6"/>
      <c r="C9" s="6"/>
      <c r="D9" s="6"/>
      <c r="E9" s="6"/>
      <c r="F9" s="5"/>
      <c r="G9" s="5"/>
      <c r="H9" s="7"/>
      <c r="I9" s="5">
        <v>-12729</v>
      </c>
      <c r="J9" s="5">
        <v>12727</v>
      </c>
      <c r="K9" s="11">
        <v>12695</v>
      </c>
      <c r="L9" s="12">
        <v>-12698</v>
      </c>
      <c r="M9" s="5"/>
      <c r="N9" s="5">
        <v>-12732</v>
      </c>
      <c r="O9" s="5">
        <v>-32052</v>
      </c>
      <c r="P9" s="12">
        <v>12699</v>
      </c>
      <c r="Q9" s="11">
        <v>-12696</v>
      </c>
    </row>
    <row r="10" ht="14.75" spans="1:17">
      <c r="A10" s="5"/>
      <c r="B10" s="5"/>
      <c r="C10" s="5"/>
      <c r="D10" s="5"/>
      <c r="E10" s="5"/>
      <c r="F10" s="5"/>
      <c r="G10" s="5"/>
      <c r="H10" s="7"/>
      <c r="I10" s="12"/>
      <c r="J10" s="12"/>
      <c r="K10" s="11"/>
      <c r="L10" s="12"/>
      <c r="M10" s="5"/>
      <c r="N10" s="12"/>
      <c r="O10" s="12"/>
      <c r="P10" s="12"/>
      <c r="Q10" s="11"/>
    </row>
    <row r="11" ht="17.25" spans="1:17">
      <c r="A11" s="3" t="s">
        <v>19</v>
      </c>
      <c r="B11" s="5"/>
      <c r="C11" s="5"/>
      <c r="D11" s="5"/>
      <c r="E11" s="5"/>
      <c r="F11" s="5"/>
      <c r="G11" s="5"/>
      <c r="H11" s="11" t="s">
        <v>20</v>
      </c>
      <c r="I11" s="12">
        <v>-12701</v>
      </c>
      <c r="J11" s="12">
        <v>12712</v>
      </c>
      <c r="K11" s="12">
        <v>-12618</v>
      </c>
      <c r="L11" s="12">
        <v>12622</v>
      </c>
      <c r="M11" s="5"/>
      <c r="N11" s="12">
        <v>31499</v>
      </c>
      <c r="O11" s="12">
        <v>-31512</v>
      </c>
      <c r="P11" s="12">
        <v>32015</v>
      </c>
      <c r="Q11" s="11">
        <v>-31942</v>
      </c>
    </row>
    <row r="12" ht="15.5" spans="1:17">
      <c r="A12" s="7" t="s">
        <v>21</v>
      </c>
      <c r="B12" s="6">
        <f>B3*B4+B7*B8</f>
        <v>1510851</v>
      </c>
      <c r="C12" s="6">
        <f>C3*C4+C7*C8</f>
        <v>1358926</v>
      </c>
      <c r="D12" s="6">
        <f>D3*D4+D7*D8</f>
        <v>1358875</v>
      </c>
      <c r="E12" s="6">
        <f>E3*E4+E7*E8</f>
        <v>1510902</v>
      </c>
      <c r="F12" s="5"/>
      <c r="G12" s="5"/>
      <c r="H12" s="7"/>
      <c r="I12" s="12">
        <v>-12724</v>
      </c>
      <c r="J12" s="12">
        <v>12718</v>
      </c>
      <c r="K12" s="12">
        <v>12697</v>
      </c>
      <c r="L12" s="12">
        <v>-12697</v>
      </c>
      <c r="M12" s="5"/>
      <c r="N12" s="12">
        <v>32026</v>
      </c>
      <c r="O12" s="12">
        <v>-32045</v>
      </c>
      <c r="P12" s="12">
        <v>-31406</v>
      </c>
      <c r="Q12" s="11">
        <v>31434</v>
      </c>
    </row>
    <row r="13" ht="14.75" spans="1:17">
      <c r="A13" s="7" t="s">
        <v>22</v>
      </c>
      <c r="B13" s="6">
        <f>B4*B7-B3*B8</f>
        <v>321828615</v>
      </c>
      <c r="C13" s="6">
        <f>C4*C7-C3*C8</f>
        <v>321981434</v>
      </c>
      <c r="D13" s="6">
        <f>D4*D7-D3*D8</f>
        <v>-321981215</v>
      </c>
      <c r="E13" s="6">
        <f>E4*E7-E3*E8</f>
        <v>-321828840</v>
      </c>
      <c r="F13" s="5"/>
      <c r="G13" s="5"/>
      <c r="H13" s="7"/>
      <c r="I13" s="12"/>
      <c r="J13" s="12"/>
      <c r="K13" s="11"/>
      <c r="L13" s="12"/>
      <c r="M13" s="5"/>
      <c r="N13" s="12"/>
      <c r="O13" s="12"/>
      <c r="P13" s="12"/>
      <c r="Q13" s="11"/>
    </row>
    <row r="14" spans="1:21">
      <c r="A14" s="7" t="s">
        <v>23</v>
      </c>
      <c r="B14" s="6">
        <f>B12/B13</f>
        <v>0.00469458254978352</v>
      </c>
      <c r="C14" s="6">
        <f>C12/C13</f>
        <v>0.00422051042856092</v>
      </c>
      <c r="D14" s="6">
        <f>-D12/D13</f>
        <v>0.00422035490486611</v>
      </c>
      <c r="E14" s="6">
        <f>-E12/E13</f>
        <v>0.00469473773699088</v>
      </c>
      <c r="F14" s="5"/>
      <c r="G14" s="5"/>
      <c r="H14" s="11" t="s">
        <v>24</v>
      </c>
      <c r="I14" s="12">
        <f t="shared" ref="I14:L14" si="0">(I2+I5+I8+I11)/4</f>
        <v>-12705</v>
      </c>
      <c r="J14" s="12">
        <f t="shared" si="0"/>
        <v>12708</v>
      </c>
      <c r="K14" s="12">
        <f t="shared" si="0"/>
        <v>-12618</v>
      </c>
      <c r="L14" s="12">
        <f t="shared" si="0"/>
        <v>12624.75</v>
      </c>
      <c r="M14" s="5" t="s">
        <v>25</v>
      </c>
      <c r="N14" s="5">
        <f>ROUND(I14,0)</f>
        <v>-12705</v>
      </c>
      <c r="O14" s="5">
        <f>ROUND(J14,0)</f>
        <v>12708</v>
      </c>
      <c r="P14" s="5">
        <f>ROUND(K14,0)</f>
        <v>-12618</v>
      </c>
      <c r="Q14" s="5">
        <f>ROUND(L14,0)</f>
        <v>12625</v>
      </c>
      <c r="R14" s="12">
        <f t="shared" ref="R14:U14" si="1">(N2+N5+N8+N11)/4</f>
        <v>-1659.25</v>
      </c>
      <c r="S14" s="12">
        <f t="shared" si="1"/>
        <v>-20451.75</v>
      </c>
      <c r="T14" s="12">
        <f t="shared" si="1"/>
        <v>-1464.5</v>
      </c>
      <c r="U14" s="12">
        <f t="shared" si="1"/>
        <v>1483.5</v>
      </c>
    </row>
    <row r="15" ht="14.75" spans="1:21">
      <c r="A15" s="7" t="s">
        <v>26</v>
      </c>
      <c r="B15" s="6">
        <f>ATAN(B14)</f>
        <v>0.00469454806210649</v>
      </c>
      <c r="C15" s="6">
        <f>ATAN(C14)</f>
        <v>0.00422048536925506</v>
      </c>
      <c r="D15" s="6">
        <f>ATAN(D14)</f>
        <v>0.0042203298483304</v>
      </c>
      <c r="E15" s="6">
        <f>ATAN(E14)</f>
        <v>0.00469470324589362</v>
      </c>
      <c r="F15" s="5"/>
      <c r="G15" s="5"/>
      <c r="H15" s="5"/>
      <c r="I15" s="12">
        <f t="shared" ref="I15:L15" si="2">(I3+I6+I9+I12)/4</f>
        <v>-12724.75</v>
      </c>
      <c r="J15" s="12">
        <f t="shared" si="2"/>
        <v>12722.25</v>
      </c>
      <c r="K15" s="12">
        <f t="shared" si="2"/>
        <v>12693</v>
      </c>
      <c r="L15" s="12">
        <f t="shared" si="2"/>
        <v>-12698.25</v>
      </c>
      <c r="M15" s="5"/>
      <c r="N15" s="5">
        <f>ROUND(I15,0)</f>
        <v>-12725</v>
      </c>
      <c r="O15" s="5">
        <f>ROUND(J15,0)</f>
        <v>12722</v>
      </c>
      <c r="P15" s="5">
        <f>ROUND(K15,0)</f>
        <v>12693</v>
      </c>
      <c r="Q15" s="5">
        <f>ROUND(L15,0)</f>
        <v>-12698</v>
      </c>
      <c r="R15" s="12">
        <f t="shared" ref="R15:U15" si="3">(N3+N6+N9+N12)/4</f>
        <v>-1540.75</v>
      </c>
      <c r="S15" s="12">
        <f t="shared" si="3"/>
        <v>-20860</v>
      </c>
      <c r="T15" s="12">
        <f t="shared" si="3"/>
        <v>1673.5</v>
      </c>
      <c r="U15" s="12">
        <f t="shared" si="3"/>
        <v>-1667.5</v>
      </c>
    </row>
    <row r="16" ht="14.75" spans="1:18">
      <c r="A16" s="7" t="s">
        <v>27</v>
      </c>
      <c r="B16" s="6">
        <f>B15/3.1415926*180</f>
        <v>0.268977795268288</v>
      </c>
      <c r="C16" s="6">
        <f>C15/3.1415926*180</f>
        <v>0.241816003279964</v>
      </c>
      <c r="D16" s="6">
        <f>D15/3.1415926*180</f>
        <v>0.241807092587203</v>
      </c>
      <c r="E16" s="6">
        <f>E15/3.1415926*180</f>
        <v>0.268986686644491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ht="17.25" spans="1:18">
      <c r="A17" s="7" t="s">
        <v>28</v>
      </c>
      <c r="B17" s="6">
        <f>-(B3*B8)/(B7*B4)</f>
        <v>1.00436283838132</v>
      </c>
      <c r="C17" s="6">
        <f>-(C3*C8)/(C7*C4)</f>
        <v>1.00467535928251</v>
      </c>
      <c r="D17" s="6">
        <f>-(D3*D8)/(D7*D4)</f>
        <v>1.00420138108113</v>
      </c>
      <c r="E17" s="6">
        <f>-(E3*E8)/(E7*E4)</f>
        <v>1.00483689278976</v>
      </c>
      <c r="F17" s="5"/>
      <c r="G17" s="5"/>
      <c r="H17" s="3" t="s">
        <v>29</v>
      </c>
      <c r="I17" s="5"/>
      <c r="J17" s="5"/>
      <c r="K17" s="5"/>
      <c r="L17" s="5"/>
      <c r="M17" s="5"/>
      <c r="N17" s="5"/>
      <c r="O17" s="5"/>
      <c r="P17" s="5"/>
      <c r="Q17" s="5"/>
      <c r="R17" s="5"/>
    </row>
    <row r="18" ht="14.75" spans="1:18">
      <c r="A18" s="7" t="s">
        <v>30</v>
      </c>
      <c r="B18" s="6">
        <f>SQRT((B17+1)*(B17+1)*B14*B14+4*B17)</f>
        <v>2.00438017725637</v>
      </c>
      <c r="C18" s="6">
        <f>SQRT((C17+1)*(C17+1)*C14*C14+4*C17)</f>
        <v>2.00468776159175</v>
      </c>
      <c r="D18" s="6">
        <f>SQRT((D17+1)*(D17+1)*D14*D14+4*D17)</f>
        <v>2.00421482619775</v>
      </c>
      <c r="E18" s="6">
        <f>SQRT((E17+1)*(E17+1)*E14*E14+4*E17)</f>
        <v>2.00485315181829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ht="14.75" spans="1:18">
      <c r="A19" s="7" t="s">
        <v>31</v>
      </c>
      <c r="B19" s="6">
        <f>(-(1+B17)*B14+B18)/2</f>
        <v>0.997485265225933</v>
      </c>
      <c r="C19" s="6">
        <f>(-(1+C17)*C14+C18)/2</f>
        <v>0.998113504166012</v>
      </c>
      <c r="D19" s="6">
        <f t="shared" ref="D19:E19" si="4">(-(1+D17)*D14+D18)/2</f>
        <v>0.997878192534381</v>
      </c>
      <c r="E19" s="6">
        <f t="shared" si="4"/>
        <v>0.997720484200597</v>
      </c>
      <c r="F19" s="5"/>
      <c r="G19" s="5"/>
      <c r="H19" s="6" t="s">
        <v>32</v>
      </c>
      <c r="I19" s="5">
        <f>I2-I14</f>
        <v>4</v>
      </c>
      <c r="J19" s="5">
        <f>J2-J14</f>
        <v>1</v>
      </c>
      <c r="K19" s="5">
        <f>K2-K14</f>
        <v>2</v>
      </c>
      <c r="L19" s="5">
        <f>L2-L14</f>
        <v>-0.75</v>
      </c>
      <c r="M19" s="5">
        <f>I3-I15</f>
        <v>4.75</v>
      </c>
      <c r="N19" s="5">
        <f>J3-J15</f>
        <v>-0.25</v>
      </c>
      <c r="O19" s="5">
        <f>K3-K15</f>
        <v>-2</v>
      </c>
      <c r="P19" s="5"/>
      <c r="Q19" s="5">
        <f>L3-L15</f>
        <v>-2.75</v>
      </c>
      <c r="R19" s="5"/>
    </row>
    <row r="20" ht="14.75" spans="1:18">
      <c r="A20" s="7" t="s">
        <v>33</v>
      </c>
      <c r="B20" s="6">
        <f>(-(1+B17)*B14-B18)/2</f>
        <v>-1.00689491203043</v>
      </c>
      <c r="C20" s="6">
        <f>(-(1+C17)*C14-C18)/2</f>
        <v>-1.00657425742574</v>
      </c>
      <c r="D20" s="6">
        <f>(-(1+D17)*D14-D18)/2</f>
        <v>-1.00633663366337</v>
      </c>
      <c r="E20" s="6">
        <f>(-(1+E17)*E14-E18)/2</f>
        <v>-1.00713266761769</v>
      </c>
      <c r="F20" s="5"/>
      <c r="G20" s="5"/>
      <c r="H20" s="5"/>
      <c r="I20" s="5">
        <f>I5-I14</f>
        <v>-5</v>
      </c>
      <c r="J20" s="5">
        <f>J5-J14</f>
        <v>-1</v>
      </c>
      <c r="K20" s="5">
        <f>K5-K14</f>
        <v>2</v>
      </c>
      <c r="L20" s="5">
        <f>L5-L14</f>
        <v>3.25</v>
      </c>
      <c r="M20" s="5">
        <f>I6-I15</f>
        <v>-1.25</v>
      </c>
      <c r="N20" s="5">
        <f>J6-J15</f>
        <v>-0.25</v>
      </c>
      <c r="O20" s="5">
        <f>K6-K15</f>
        <v>-4</v>
      </c>
      <c r="P20" s="5"/>
      <c r="Q20" s="5">
        <f>L6-L15</f>
        <v>1.25</v>
      </c>
      <c r="R20" s="5"/>
    </row>
    <row r="21" ht="14.75" spans="1:18">
      <c r="A21" s="7" t="s">
        <v>34</v>
      </c>
      <c r="B21" s="6">
        <f>ATAN(B19)</f>
        <v>0.784139213712429</v>
      </c>
      <c r="C21" s="6">
        <f>ATAN(C19)</f>
        <v>0.78445402520434</v>
      </c>
      <c r="D21" s="6">
        <f>ATAN(D19)</f>
        <v>0.784336133351866</v>
      </c>
      <c r="E21" s="6">
        <f>ATAN(E19)</f>
        <v>0.784257105462612</v>
      </c>
      <c r="F21" s="5"/>
      <c r="G21" s="5"/>
      <c r="H21" s="5"/>
      <c r="I21" s="5">
        <f>I8-I14</f>
        <v>-3</v>
      </c>
      <c r="J21" s="5">
        <f>J8-J14</f>
        <v>-4</v>
      </c>
      <c r="K21" s="5">
        <f>K8-K14</f>
        <v>-4</v>
      </c>
      <c r="L21" s="5">
        <f>L8-L14</f>
        <v>0.25</v>
      </c>
      <c r="M21" s="5">
        <f>I9-I15</f>
        <v>-4.25</v>
      </c>
      <c r="N21" s="5">
        <f>J9-J15</f>
        <v>4.75</v>
      </c>
      <c r="O21" s="5">
        <f>K9-K15</f>
        <v>2</v>
      </c>
      <c r="P21" s="5"/>
      <c r="Q21" s="5">
        <f>L9-L15</f>
        <v>0.25</v>
      </c>
      <c r="R21" s="5"/>
    </row>
    <row r="22" ht="14.75" spans="1:18">
      <c r="A22" s="7" t="s">
        <v>35</v>
      </c>
      <c r="B22" s="6">
        <f>ATAN(B20)</f>
        <v>-0.788833761774536</v>
      </c>
      <c r="C22" s="6">
        <f t="shared" ref="C22:E22" si="5">ATAN(C20)</f>
        <v>-0.788674510573595</v>
      </c>
      <c r="D22" s="6">
        <f t="shared" si="5"/>
        <v>-0.788556463200197</v>
      </c>
      <c r="E22" s="6">
        <f t="shared" si="5"/>
        <v>-0.788951808708505</v>
      </c>
      <c r="F22" s="5"/>
      <c r="G22" s="5"/>
      <c r="H22" s="5"/>
      <c r="I22" s="5">
        <f>I11-I14</f>
        <v>4</v>
      </c>
      <c r="J22" s="5">
        <f>J11-J14</f>
        <v>4</v>
      </c>
      <c r="K22" s="5">
        <f>K11-K14</f>
        <v>0</v>
      </c>
      <c r="L22" s="5">
        <f>L11-L14</f>
        <v>-2.75</v>
      </c>
      <c r="M22" s="5">
        <f>I12-I15</f>
        <v>0.75</v>
      </c>
      <c r="N22" s="5">
        <f>J12-J15</f>
        <v>-4.25</v>
      </c>
      <c r="O22" s="5">
        <f>K12-K15</f>
        <v>4</v>
      </c>
      <c r="P22" s="5"/>
      <c r="Q22" s="5">
        <f>L12-L15</f>
        <v>1.25</v>
      </c>
      <c r="R22" s="5"/>
    </row>
    <row r="23" ht="14.75" spans="1:18">
      <c r="A23" s="7" t="s">
        <v>36</v>
      </c>
      <c r="B23" s="6">
        <f>(B3*COS(B21)+B7*SIN(B21))/(B4*SIN(B21+B15)-B8*COS(B21+B15))</f>
        <v>0.99626758126767</v>
      </c>
      <c r="C23" s="6">
        <f>(C3*COS(C21)+C7*SIN(C21))/(C4*SIN(C21+C15)-C8*COS(C21+C15))</f>
        <v>0.996582402737627</v>
      </c>
      <c r="D23" s="6">
        <f>(D3*COS(D21)+D7*SIN(D21))/(D4*SIN(D21+D15)-D8*COS(D21+D15))</f>
        <v>0.996346302445565</v>
      </c>
      <c r="E23" s="6">
        <f>(E3*COS(E21)+E7*SIN(E21))/(E4*SIN(E21+E15)-E8*COS(E21+E15))</f>
        <v>0.996503774413225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ht="14.75" spans="1:18">
      <c r="A24" s="7" t="s">
        <v>37</v>
      </c>
      <c r="B24" s="6" t="e">
        <f>(B3*COS(B22)+B7*SIN(+B22))/(B4*SIN(B15+B22)-B8*COS(B15+B22))</f>
        <v>#DIV/0!</v>
      </c>
      <c r="C24" s="6" t="e">
        <f>(C3*COS(C22)+C7*SIN(+C22))/(C4*SIN(C15+C22)-C8*COS(C15+C22))</f>
        <v>#DIV/0!</v>
      </c>
      <c r="D24" s="6">
        <f>(D3*COS(D22)+D7*SIN(+D22))/(D4*SIN(D15+D22)-D8*COS(D15+D22))</f>
        <v>-0.99632867321959</v>
      </c>
      <c r="E24" s="6">
        <f>(E3*COS(E22)+E7*SIN(+E22))/(E4*SIN(E15+E22)-E8*COS(E15+E22))</f>
        <v>-0.996481200894845</v>
      </c>
      <c r="F24" s="5"/>
      <c r="G24" s="5"/>
      <c r="H24" s="7" t="s">
        <v>38</v>
      </c>
      <c r="I24" s="5">
        <f>I19*I19</f>
        <v>16</v>
      </c>
      <c r="J24" s="5">
        <f t="shared" ref="J24:O24" si="6">J19*J19</f>
        <v>1</v>
      </c>
      <c r="K24" s="5">
        <f t="shared" si="6"/>
        <v>4</v>
      </c>
      <c r="L24" s="5">
        <f t="shared" si="6"/>
        <v>0.5625</v>
      </c>
      <c r="M24" s="5">
        <f t="shared" si="6"/>
        <v>22.5625</v>
      </c>
      <c r="N24" s="5">
        <f t="shared" si="6"/>
        <v>0.0625</v>
      </c>
      <c r="O24" s="5">
        <f t="shared" si="6"/>
        <v>4</v>
      </c>
      <c r="P24" s="5"/>
      <c r="Q24" s="5">
        <f>Q19*Q19</f>
        <v>7.5625</v>
      </c>
      <c r="R24" s="5"/>
    </row>
    <row r="25" ht="14.75" spans="1:18">
      <c r="A25" s="7" t="s">
        <v>39</v>
      </c>
      <c r="B25" s="8">
        <f>B5/(B3*SIN(B21)+B23*B4*COS(B15+B21))</f>
        <v>0.00402100452548812</v>
      </c>
      <c r="C25" s="8">
        <f>C5/(C3*SIN(C21)+C23*C4*COS(C15+C21))</f>
        <v>0.00401941092047855</v>
      </c>
      <c r="D25" s="6">
        <f>D5/(D3*SIN(D21)+D23*D4*COS(D15+D21))</f>
        <v>0.00401988849009476</v>
      </c>
      <c r="E25" s="6">
        <f>E5/(E3*SIN(E21)+E23*E4*COS(E15+E21))</f>
        <v>0.0040205265603571</v>
      </c>
      <c r="F25" s="5"/>
      <c r="G25" s="5"/>
      <c r="H25" s="5"/>
      <c r="I25" s="5">
        <f t="shared" ref="I25:O25" si="7">I20*I20</f>
        <v>25</v>
      </c>
      <c r="J25" s="5">
        <f t="shared" si="7"/>
        <v>1</v>
      </c>
      <c r="K25" s="5">
        <f t="shared" si="7"/>
        <v>4</v>
      </c>
      <c r="L25" s="5">
        <f t="shared" si="7"/>
        <v>10.5625</v>
      </c>
      <c r="M25" s="5">
        <f t="shared" si="7"/>
        <v>1.5625</v>
      </c>
      <c r="N25" s="5">
        <f t="shared" si="7"/>
        <v>0.0625</v>
      </c>
      <c r="O25" s="5">
        <f t="shared" si="7"/>
        <v>16</v>
      </c>
      <c r="P25" s="5"/>
      <c r="Q25" s="5">
        <f>Q20*Q20</f>
        <v>1.5625</v>
      </c>
      <c r="R25" s="5"/>
    </row>
    <row r="26" ht="14.75" spans="1:18">
      <c r="A26" s="7" t="s">
        <v>40</v>
      </c>
      <c r="B26" s="6">
        <f>B23*B25</f>
        <v>0.0040059964528744</v>
      </c>
      <c r="C26" s="6">
        <f t="shared" ref="C26:E26" si="8">C23*C25</f>
        <v>0.00400567419272037</v>
      </c>
      <c r="D26" s="8">
        <f t="shared" si="8"/>
        <v>0.00400520103334939</v>
      </c>
      <c r="E26" s="8">
        <f t="shared" si="8"/>
        <v>0.00400646989252447</v>
      </c>
      <c r="F26" s="5"/>
      <c r="G26" s="5"/>
      <c r="H26" s="5"/>
      <c r="I26" s="5">
        <f t="shared" ref="I26:O26" si="9">I21*I21</f>
        <v>9</v>
      </c>
      <c r="J26" s="5">
        <f t="shared" si="9"/>
        <v>16</v>
      </c>
      <c r="K26" s="5">
        <f t="shared" si="9"/>
        <v>16</v>
      </c>
      <c r="L26" s="5">
        <f t="shared" si="9"/>
        <v>0.0625</v>
      </c>
      <c r="M26" s="5">
        <f t="shared" si="9"/>
        <v>18.0625</v>
      </c>
      <c r="N26" s="5">
        <f t="shared" si="9"/>
        <v>22.5625</v>
      </c>
      <c r="O26" s="5">
        <f t="shared" si="9"/>
        <v>4</v>
      </c>
      <c r="P26" s="5"/>
      <c r="Q26" s="5">
        <f>Q21*Q21</f>
        <v>0.0625</v>
      </c>
      <c r="R26" s="5"/>
    </row>
    <row r="27" ht="14.75" spans="1:18">
      <c r="A27" s="7" t="s">
        <v>41</v>
      </c>
      <c r="B27" s="6" t="e">
        <f>B5/(B3*SIN(B22)+B24*B4*COS(B15+B22))</f>
        <v>#DIV/0!</v>
      </c>
      <c r="C27" s="6" t="e">
        <f>C5/(C3*SIN(C22)+C24*C4*COS(C15+C22))</f>
        <v>#DIV/0!</v>
      </c>
      <c r="D27" s="6">
        <f>D5/(D3*SIN(D22)+D24*D4*COS(D15+D22))</f>
        <v>-0.00400299431101706</v>
      </c>
      <c r="E27" s="6">
        <f>E5/(E3*SIN(E22)+E24*E4*COS(E15+E22))</f>
        <v>-0.00400174082041333</v>
      </c>
      <c r="F27" s="5"/>
      <c r="G27" s="5"/>
      <c r="H27" s="5"/>
      <c r="I27" s="5">
        <f t="shared" ref="I27:O27" si="10">I22*I22</f>
        <v>16</v>
      </c>
      <c r="J27" s="5">
        <f t="shared" si="10"/>
        <v>16</v>
      </c>
      <c r="K27" s="5">
        <f t="shared" si="10"/>
        <v>0</v>
      </c>
      <c r="L27" s="5">
        <f t="shared" si="10"/>
        <v>7.5625</v>
      </c>
      <c r="M27" s="5">
        <f t="shared" si="10"/>
        <v>0.5625</v>
      </c>
      <c r="N27" s="5">
        <f t="shared" si="10"/>
        <v>18.0625</v>
      </c>
      <c r="O27" s="5">
        <f t="shared" si="10"/>
        <v>16</v>
      </c>
      <c r="P27" s="5"/>
      <c r="Q27" s="5">
        <f>Q22*Q22</f>
        <v>1.5625</v>
      </c>
      <c r="R27" s="5"/>
    </row>
    <row r="28" ht="14.75" spans="1:18">
      <c r="A28" s="7" t="s">
        <v>42</v>
      </c>
      <c r="B28" s="6" t="e">
        <f>B24*B27</f>
        <v>#DIV/0!</v>
      </c>
      <c r="C28" s="6" t="e">
        <f>C24*C27</f>
        <v>#DIV/0!</v>
      </c>
      <c r="D28" s="6">
        <f>D24*D27</f>
        <v>0.00398829801080119</v>
      </c>
      <c r="E28" s="6">
        <f>E24*E27</f>
        <v>0.0039876594983954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>
      <c r="A29" s="5"/>
      <c r="B29" s="5"/>
      <c r="C29" s="5"/>
      <c r="D29" s="5"/>
      <c r="E29" s="5"/>
      <c r="F29" s="5"/>
      <c r="G29" s="5"/>
      <c r="H29" s="7" t="s">
        <v>43</v>
      </c>
      <c r="I29" s="5">
        <f t="shared" ref="I29:O29" si="11">(I24+I25+I26+I27)/3</f>
        <v>22</v>
      </c>
      <c r="J29" s="5">
        <f t="shared" si="11"/>
        <v>11.3333333333333</v>
      </c>
      <c r="K29" s="5">
        <f t="shared" si="11"/>
        <v>8</v>
      </c>
      <c r="L29" s="5">
        <f t="shared" si="11"/>
        <v>6.25</v>
      </c>
      <c r="M29" s="5">
        <f t="shared" si="11"/>
        <v>14.25</v>
      </c>
      <c r="N29" s="5">
        <f t="shared" si="11"/>
        <v>13.5833333333333</v>
      </c>
      <c r="O29" s="5">
        <f t="shared" si="11"/>
        <v>13.3333333333333</v>
      </c>
      <c r="P29" s="5"/>
      <c r="Q29" s="5">
        <f>(Q24+Q25+Q26+Q27)/3</f>
        <v>3.58333333333333</v>
      </c>
      <c r="R29" s="5"/>
    </row>
    <row r="30" spans="1:18">
      <c r="A30" s="5"/>
      <c r="B30" s="5">
        <v>0.00400772683984043</v>
      </c>
      <c r="C30" s="5">
        <v>0.00401239919135735</v>
      </c>
      <c r="D30" s="5">
        <v>0.00401081061589062</v>
      </c>
      <c r="E30" s="5">
        <v>0.00401106100771288</v>
      </c>
      <c r="F30" s="5"/>
      <c r="G30" s="5"/>
      <c r="H30" s="7" t="s">
        <v>44</v>
      </c>
      <c r="I30" s="5">
        <f>SQRT(I29)</f>
        <v>4.69041575982343</v>
      </c>
      <c r="J30" s="5">
        <f t="shared" ref="J30:O30" si="12">SQRT(J29)</f>
        <v>3.36650164612069</v>
      </c>
      <c r="K30" s="5">
        <f t="shared" si="12"/>
        <v>2.82842712474619</v>
      </c>
      <c r="L30" s="5">
        <f t="shared" si="12"/>
        <v>2.5</v>
      </c>
      <c r="M30" s="5">
        <f t="shared" si="12"/>
        <v>3.77491721763537</v>
      </c>
      <c r="N30" s="5">
        <f t="shared" si="12"/>
        <v>3.685557397916</v>
      </c>
      <c r="O30" s="5">
        <f t="shared" si="12"/>
        <v>3.65148371670111</v>
      </c>
      <c r="P30" s="5"/>
      <c r="Q30" s="5">
        <f>SQRT(Q29)</f>
        <v>1.89296944860009</v>
      </c>
      <c r="R30" s="5"/>
    </row>
    <row r="31" spans="1:18">
      <c r="A31" s="5"/>
      <c r="B31" s="5"/>
      <c r="C31" s="5"/>
      <c r="D31" s="5"/>
      <c r="E31" s="5"/>
      <c r="F31" s="5"/>
      <c r="G31" s="5"/>
      <c r="H31" s="7" t="s">
        <v>45</v>
      </c>
      <c r="I31" s="5">
        <f>I30/2</f>
        <v>2.34520787991171</v>
      </c>
      <c r="J31" s="5">
        <f t="shared" ref="J31:O31" si="13">J30/2</f>
        <v>1.68325082306035</v>
      </c>
      <c r="K31" s="5">
        <f t="shared" si="13"/>
        <v>1.4142135623731</v>
      </c>
      <c r="L31" s="5">
        <f t="shared" si="13"/>
        <v>1.25</v>
      </c>
      <c r="M31" s="5">
        <f t="shared" si="13"/>
        <v>1.88745860881769</v>
      </c>
      <c r="N31" s="5">
        <f t="shared" si="13"/>
        <v>1.842778698958</v>
      </c>
      <c r="O31" s="5">
        <f t="shared" si="13"/>
        <v>1.82574185835055</v>
      </c>
      <c r="P31" s="5"/>
      <c r="Q31" s="5">
        <f>Q30/2</f>
        <v>0.946484724300046</v>
      </c>
      <c r="R31" s="5"/>
    </row>
    <row r="32" spans="1:18">
      <c r="A32" s="9" t="s">
        <v>46</v>
      </c>
      <c r="B32" s="5"/>
      <c r="C32" s="5"/>
      <c r="D32" s="5"/>
      <c r="E32" s="5"/>
      <c r="F32" s="5"/>
      <c r="G32" s="5"/>
      <c r="H32" s="7" t="s">
        <v>47</v>
      </c>
      <c r="I32" s="5">
        <f>3*I31</f>
        <v>7.03562363973514</v>
      </c>
      <c r="J32" s="5">
        <f t="shared" ref="J32:O32" si="14">3*J31</f>
        <v>5.04975246918104</v>
      </c>
      <c r="K32" s="5">
        <f t="shared" si="14"/>
        <v>4.24264068711929</v>
      </c>
      <c r="L32" s="5">
        <f t="shared" si="14"/>
        <v>3.75</v>
      </c>
      <c r="M32" s="5">
        <f t="shared" si="14"/>
        <v>5.66237582645306</v>
      </c>
      <c r="N32" s="5">
        <f t="shared" si="14"/>
        <v>5.528336096874</v>
      </c>
      <c r="O32" s="5">
        <f t="shared" si="14"/>
        <v>5.47722557505166</v>
      </c>
      <c r="P32" s="5"/>
      <c r="Q32" s="5">
        <f>3*Q31</f>
        <v>2.83945417290014</v>
      </c>
      <c r="R32" s="5"/>
    </row>
    <row r="33" spans="1:18">
      <c r="A33" s="5" t="s">
        <v>48</v>
      </c>
      <c r="B33" s="5"/>
      <c r="C33" s="5"/>
      <c r="D33" s="5" t="s">
        <v>49</v>
      </c>
      <c r="E33" s="5"/>
      <c r="F33" s="5"/>
      <c r="G33" s="5"/>
      <c r="H33" s="7" t="s">
        <v>50</v>
      </c>
      <c r="I33" s="5">
        <f>I14+I32</f>
        <v>-12697.9643763603</v>
      </c>
      <c r="J33" s="5">
        <f>J14+J32</f>
        <v>12713.0497524692</v>
      </c>
      <c r="K33" s="5">
        <f>K14+K32</f>
        <v>-12613.7573593129</v>
      </c>
      <c r="L33" s="5">
        <f>L14+L32</f>
        <v>12628.5</v>
      </c>
      <c r="M33" s="5">
        <f>I15+M32</f>
        <v>-12719.0876241735</v>
      </c>
      <c r="N33" s="5">
        <f>J15+N32</f>
        <v>12727.7783360969</v>
      </c>
      <c r="O33" s="5">
        <f>K15+O32</f>
        <v>12698.4772255751</v>
      </c>
      <c r="P33" s="5"/>
      <c r="Q33" s="5">
        <f>L15+Q32</f>
        <v>-12695.4105458271</v>
      </c>
      <c r="R33" s="5"/>
    </row>
    <row r="34" ht="14.75" spans="1:18">
      <c r="A34" s="10" t="s">
        <v>39</v>
      </c>
      <c r="B34" s="5">
        <f>AVERAGE(B25:E25)</f>
        <v>0.00402020762410463</v>
      </c>
      <c r="C34" s="5">
        <v>0.00401006279129341</v>
      </c>
      <c r="D34" s="10" t="s">
        <v>51</v>
      </c>
      <c r="E34" s="5" t="e">
        <f>AVERAGE(B27:E27)</f>
        <v>#DIV/0!</v>
      </c>
      <c r="F34" s="5"/>
      <c r="G34" s="5"/>
      <c r="H34" s="7" t="s">
        <v>52</v>
      </c>
      <c r="I34" s="5">
        <f>I14-I32</f>
        <v>-12712.0356236397</v>
      </c>
      <c r="J34" s="5">
        <f>J14-J32</f>
        <v>12702.9502475308</v>
      </c>
      <c r="K34" s="5">
        <f>K14-K32</f>
        <v>-12622.2426406871</v>
      </c>
      <c r="L34" s="5">
        <f>L14-L32</f>
        <v>12621</v>
      </c>
      <c r="M34" s="5">
        <f>I15-M32</f>
        <v>-12730.4123758265</v>
      </c>
      <c r="N34" s="5">
        <f>J15-N32</f>
        <v>12716.7216639031</v>
      </c>
      <c r="O34" s="5">
        <f>K15-O32</f>
        <v>12687.5227744249</v>
      </c>
      <c r="P34" s="5"/>
      <c r="Q34" s="5">
        <f>L15-Q32</f>
        <v>-12701.0894541729</v>
      </c>
      <c r="R34" s="5"/>
    </row>
    <row r="35" ht="15.5" spans="1:18">
      <c r="A35" s="10" t="s">
        <v>40</v>
      </c>
      <c r="B35" s="5">
        <f>AVERAGE(B26:E26)</f>
        <v>0.00400583539286716</v>
      </c>
      <c r="C35" s="5">
        <v>0.00401093652922207</v>
      </c>
      <c r="D35" s="10" t="s">
        <v>53</v>
      </c>
      <c r="E35" s="5" t="e">
        <f>AVERAGE(B28,E28)</f>
        <v>#DIV/0!</v>
      </c>
      <c r="F35" s="5"/>
      <c r="G35" s="5"/>
      <c r="H35" s="7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ht="15.5" spans="1:18">
      <c r="A36" s="10" t="s">
        <v>54</v>
      </c>
      <c r="B36" s="5">
        <f>AVERAGE(AVERAGE(B21:E21))</f>
        <v>0.784296619432812</v>
      </c>
      <c r="C36" s="5">
        <v>-2.3659518099829</v>
      </c>
      <c r="D36" s="10" t="s">
        <v>55</v>
      </c>
      <c r="E36" s="5">
        <f>AVERAGE(B22:E22)</f>
        <v>-0.788754136064208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ht="15.5" spans="1:18">
      <c r="A37" s="10" t="s">
        <v>56</v>
      </c>
      <c r="B37" s="5">
        <f>AVERAGE(AVERAGE(B15:E15))</f>
        <v>0.00445751663139639</v>
      </c>
      <c r="C37" s="5">
        <v>0.00236748192939787</v>
      </c>
      <c r="D37" s="10" t="s">
        <v>56</v>
      </c>
      <c r="E37" s="5">
        <f>AVERAGE(AVERAGE(B15:E15))</f>
        <v>0.00445751663139639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ht="14.75" spans="3:18">
      <c r="C38" t="s">
        <v>13</v>
      </c>
      <c r="D38" t="s">
        <v>13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2:18">
      <c r="B39" t="s">
        <v>57</v>
      </c>
      <c r="C39" t="s">
        <v>58</v>
      </c>
      <c r="D39" t="s">
        <v>59</v>
      </c>
      <c r="E39" t="s">
        <v>60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5">
      <c r="A40" t="s">
        <v>61</v>
      </c>
      <c r="B40">
        <f>B36+B37</f>
        <v>0.788754136064208</v>
      </c>
      <c r="C40">
        <f>B40</f>
        <v>0.788754136064208</v>
      </c>
      <c r="D40">
        <f t="shared" ref="D40:E40" si="15">C40</f>
        <v>0.788754136064208</v>
      </c>
      <c r="E40">
        <f t="shared" si="15"/>
        <v>0.788754136064208</v>
      </c>
    </row>
    <row r="41" spans="1:5">
      <c r="A41" t="s">
        <v>62</v>
      </c>
      <c r="B41">
        <f>COS(B36)</f>
        <v>0.707885261234871</v>
      </c>
      <c r="C41">
        <f t="shared" ref="C41:E44" si="16">B41</f>
        <v>0.707885261234871</v>
      </c>
      <c r="D41">
        <f t="shared" si="16"/>
        <v>0.707885261234871</v>
      </c>
      <c r="E41">
        <f t="shared" si="16"/>
        <v>0.707885261234871</v>
      </c>
    </row>
    <row r="42" spans="1:5">
      <c r="A42" t="s">
        <v>63</v>
      </c>
      <c r="B42">
        <f>SIN((B36))</f>
        <v>0.706327443135574</v>
      </c>
      <c r="C42">
        <f t="shared" si="16"/>
        <v>0.706327443135574</v>
      </c>
      <c r="D42">
        <f t="shared" si="16"/>
        <v>0.706327443135574</v>
      </c>
      <c r="E42">
        <f t="shared" si="16"/>
        <v>0.706327443135574</v>
      </c>
    </row>
    <row r="43" spans="1:5">
      <c r="A43" t="s">
        <v>64</v>
      </c>
      <c r="B43">
        <f>COS(B40)</f>
        <v>0.7047297727009</v>
      </c>
      <c r="C43">
        <f t="shared" si="16"/>
        <v>0.7047297727009</v>
      </c>
      <c r="D43">
        <f t="shared" si="16"/>
        <v>0.7047297727009</v>
      </c>
      <c r="E43">
        <f t="shared" si="16"/>
        <v>0.7047297727009</v>
      </c>
    </row>
    <row r="44" spans="1:5">
      <c r="A44" t="s">
        <v>65</v>
      </c>
      <c r="B44">
        <f>SIN(B40)</f>
        <v>0.709475825852395</v>
      </c>
      <c r="C44">
        <f t="shared" si="16"/>
        <v>0.709475825852395</v>
      </c>
      <c r="D44">
        <f t="shared" si="16"/>
        <v>0.709475825852395</v>
      </c>
      <c r="E44">
        <f t="shared" si="16"/>
        <v>0.709475825852395</v>
      </c>
    </row>
    <row r="45" spans="1:5">
      <c r="A45" t="s">
        <v>66</v>
      </c>
      <c r="B45">
        <f>B41*B25*B3-B44*D26*B4</f>
        <v>-0.00436212343763742</v>
      </c>
      <c r="C45">
        <f>C41*C25*C3-C44*E26*C4</f>
        <v>-0.00436228977937958</v>
      </c>
      <c r="D45">
        <f>D41*B25*B7-D44*E26*B8</f>
        <v>-71.9957697971877</v>
      </c>
      <c r="E45">
        <f>E41*C25*C7-E44*D26*C8</f>
        <v>72.004233947899</v>
      </c>
    </row>
    <row r="46" spans="1:5">
      <c r="A46" t="s">
        <v>67</v>
      </c>
      <c r="B46">
        <f>B42*B25*B3+B43*D26*B4</f>
        <v>-72.0014396311377</v>
      </c>
      <c r="C46">
        <f>C42*C25*C3+C43*E26*C4</f>
        <v>71.9985641507944</v>
      </c>
      <c r="D46">
        <f>D42*B25*B7+D43*E26*B8</f>
        <v>0.0014538053628641</v>
      </c>
      <c r="E46">
        <f>E42*C25*C7+E43*D26*C8</f>
        <v>0.0014536223421544</v>
      </c>
    </row>
    <row r="47" spans="5:5">
      <c r="E47" t="s">
        <v>13</v>
      </c>
    </row>
    <row r="48" spans="1:5">
      <c r="A48" t="s">
        <v>68</v>
      </c>
      <c r="B48">
        <f>ABS(B45)</f>
        <v>0.00436212343763742</v>
      </c>
      <c r="C48">
        <f>ABS(C45)</f>
        <v>0.00436228977937958</v>
      </c>
      <c r="D48">
        <f>ABS(ABS(D45)-ABS(B5))</f>
        <v>0.00423020281226627</v>
      </c>
      <c r="E48">
        <f>ABS(ABS(E45)-ABS(B5))</f>
        <v>0.0042339478990101</v>
      </c>
    </row>
    <row r="49" spans="1:5">
      <c r="A49" t="s">
        <v>69</v>
      </c>
      <c r="B49">
        <f>ABS(ABS(B46)-ABS(B5))</f>
        <v>0.00143963113771406</v>
      </c>
      <c r="C49">
        <f>ABS(ABS(C46)-ABS(B5))</f>
        <v>0.0014358492055635</v>
      </c>
      <c r="D49">
        <f>ABS(D46)</f>
        <v>0.0014538053628641</v>
      </c>
      <c r="E49">
        <f>ABS(E46)</f>
        <v>0.0014536223421544</v>
      </c>
    </row>
  </sheetData>
  <pageMargins left="0.7" right="0.7" top="0.75" bottom="0.75" header="0.3" footer="0.3"/>
  <pageSetup paperSize="9" orientation="portrait"/>
  <headerFooter/>
  <ignoredErrors>
    <ignoredError sqref="M20 M33:M3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H10" sqref="H10"/>
    </sheetView>
  </sheetViews>
  <sheetFormatPr defaultColWidth="8.66666666666667" defaultRowHeight="14" outlineLevelRow="4" outlineLevelCol="6"/>
  <cols>
    <col min="1" max="1" width="9.41666666666667" customWidth="1"/>
    <col min="2" max="7" width="9.58333333333333" customWidth="1"/>
  </cols>
  <sheetData>
    <row r="1" spans="1:7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</row>
    <row r="2" spans="1:7">
      <c r="A2" t="s">
        <v>77</v>
      </c>
      <c r="D2" t="e">
        <f>ABS(C2-B2)/B2</f>
        <v>#DIV/0!</v>
      </c>
      <c r="G2" t="e">
        <f>ABS(F2-E2)/E2</f>
        <v>#DIV/0!</v>
      </c>
    </row>
    <row r="3" spans="1:7">
      <c r="A3" t="s">
        <v>8</v>
      </c>
      <c r="D3" t="e">
        <f>ABS(C3-B3)/B3</f>
        <v>#DIV/0!</v>
      </c>
      <c r="G3" t="e">
        <f>ABS(F3-E3)/E3</f>
        <v>#DIV/0!</v>
      </c>
    </row>
    <row r="4" spans="1:7">
      <c r="A4" t="s">
        <v>7</v>
      </c>
      <c r="D4" t="e">
        <f>ABS(C4-B4)/B4</f>
        <v>#DIV/0!</v>
      </c>
      <c r="G4" t="e">
        <f>ABS(F4-E4)/E4</f>
        <v>#DIV/0!</v>
      </c>
    </row>
    <row r="5" spans="1:7">
      <c r="A5" t="s">
        <v>6</v>
      </c>
      <c r="D5" t="e">
        <f>ABS(C5-B5)/B5</f>
        <v>#DIV/0!</v>
      </c>
      <c r="G5" t="e">
        <f>ABS(F5-E5)/E5</f>
        <v>#DIV/0!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2"/>
  <sheetViews>
    <sheetView topLeftCell="A37" workbookViewId="0">
      <selection activeCell="F54" sqref="F54"/>
    </sheetView>
  </sheetViews>
  <sheetFormatPr defaultColWidth="8.66666666666667" defaultRowHeight="14"/>
  <cols>
    <col min="2" max="5" width="13.8333333333333" customWidth="1"/>
    <col min="7" max="7" width="14.1666666666667" customWidth="1"/>
    <col min="8" max="11" width="13.8333333333333" customWidth="1"/>
  </cols>
  <sheetData>
    <row r="1" ht="17.25" spans="1:1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G1" s="1" t="s">
        <v>0</v>
      </c>
      <c r="H1" s="2" t="s">
        <v>1</v>
      </c>
      <c r="I1" s="3" t="s">
        <v>2</v>
      </c>
      <c r="J1" s="2" t="s">
        <v>3</v>
      </c>
      <c r="K1" s="4" t="s">
        <v>4</v>
      </c>
    </row>
    <row r="2" ht="14.75" spans="1:11">
      <c r="A2" s="5" t="s">
        <v>10</v>
      </c>
      <c r="B2" s="5"/>
      <c r="C2" s="5"/>
      <c r="D2" s="5"/>
      <c r="E2" s="5"/>
      <c r="G2" s="5" t="s">
        <v>10</v>
      </c>
      <c r="H2" s="5"/>
      <c r="I2" s="5"/>
      <c r="J2" s="5"/>
      <c r="K2" s="5"/>
    </row>
    <row r="3" ht="14.75" spans="1:11">
      <c r="A3" s="6" t="s">
        <v>12</v>
      </c>
      <c r="B3" s="6">
        <v>31504</v>
      </c>
      <c r="C3" s="6">
        <v>-31505</v>
      </c>
      <c r="D3" s="6">
        <v>31504</v>
      </c>
      <c r="E3" s="6">
        <v>-31505</v>
      </c>
      <c r="G3" s="6" t="s">
        <v>12</v>
      </c>
      <c r="H3" s="6">
        <v>31504.25</v>
      </c>
      <c r="I3" s="6">
        <v>-31505</v>
      </c>
      <c r="J3" s="6">
        <v>31504.25</v>
      </c>
      <c r="K3" s="6">
        <v>-31505</v>
      </c>
    </row>
    <row r="4" ht="14.75" spans="1:11">
      <c r="A4" s="6" t="s">
        <v>14</v>
      </c>
      <c r="B4" s="6">
        <v>32030</v>
      </c>
      <c r="C4" s="6">
        <v>-32052</v>
      </c>
      <c r="D4" s="6">
        <v>32030</v>
      </c>
      <c r="E4" s="6">
        <v>-32052</v>
      </c>
      <c r="G4" s="6" t="s">
        <v>14</v>
      </c>
      <c r="H4" s="6">
        <v>32030</v>
      </c>
      <c r="I4" s="6">
        <v>-32052.5</v>
      </c>
      <c r="J4" s="6">
        <v>32030</v>
      </c>
      <c r="K4" s="6">
        <v>-32052.5</v>
      </c>
    </row>
    <row r="5" ht="14.75" spans="1:11">
      <c r="A5" s="6" t="s">
        <v>15</v>
      </c>
      <c r="B5" s="6">
        <v>-180</v>
      </c>
      <c r="C5" s="6">
        <v>180</v>
      </c>
      <c r="D5" s="6">
        <v>-180</v>
      </c>
      <c r="E5" s="6">
        <v>180</v>
      </c>
      <c r="G5" s="6" t="s">
        <v>15</v>
      </c>
      <c r="H5" s="6">
        <v>-180</v>
      </c>
      <c r="I5" s="6">
        <v>180</v>
      </c>
      <c r="J5" s="6">
        <v>-180</v>
      </c>
      <c r="K5" s="6">
        <v>180</v>
      </c>
    </row>
    <row r="6" spans="1:11">
      <c r="A6" s="5" t="s">
        <v>17</v>
      </c>
      <c r="B6" s="5"/>
      <c r="C6" s="5"/>
      <c r="D6" s="5"/>
      <c r="E6" s="5"/>
      <c r="G6" s="5" t="s">
        <v>17</v>
      </c>
      <c r="H6" s="5"/>
      <c r="I6" s="5"/>
      <c r="J6" s="5"/>
      <c r="K6" s="5"/>
    </row>
    <row r="7" ht="14.75" spans="1:11">
      <c r="A7" s="6" t="s">
        <v>12</v>
      </c>
      <c r="B7" s="6">
        <v>32010</v>
      </c>
      <c r="C7" s="6">
        <v>-31936</v>
      </c>
      <c r="D7" s="6">
        <v>-31936</v>
      </c>
      <c r="E7" s="6">
        <v>32010</v>
      </c>
      <c r="G7" s="6" t="s">
        <v>12</v>
      </c>
      <c r="H7" s="6">
        <v>32010.75</v>
      </c>
      <c r="I7" s="6">
        <v>-31936.75</v>
      </c>
      <c r="J7" s="6">
        <v>-31936.75</v>
      </c>
      <c r="K7" s="6">
        <v>32010.75</v>
      </c>
    </row>
    <row r="8" ht="14.75" spans="1:11">
      <c r="A8" s="5" t="s">
        <v>14</v>
      </c>
      <c r="B8" s="6">
        <v>-31408</v>
      </c>
      <c r="C8" s="6">
        <v>31435</v>
      </c>
      <c r="D8" s="6">
        <v>31435</v>
      </c>
      <c r="E8" s="6">
        <v>-31408</v>
      </c>
      <c r="G8" s="5" t="s">
        <v>14</v>
      </c>
      <c r="H8" s="6">
        <v>-31408.5</v>
      </c>
      <c r="I8" s="6">
        <v>31435.5</v>
      </c>
      <c r="J8" s="6">
        <v>31435.5</v>
      </c>
      <c r="K8" s="6">
        <v>-31408.5</v>
      </c>
    </row>
    <row r="9" ht="14.75" spans="1:11">
      <c r="A9" s="5"/>
      <c r="B9" s="6"/>
      <c r="C9" s="6"/>
      <c r="D9" s="6"/>
      <c r="E9" s="6"/>
      <c r="G9" s="5"/>
      <c r="H9" s="6"/>
      <c r="I9" s="6"/>
      <c r="J9" s="6"/>
      <c r="K9" s="6"/>
    </row>
    <row r="10" spans="1:11">
      <c r="A10" s="5"/>
      <c r="B10" s="5"/>
      <c r="C10" s="5"/>
      <c r="D10" s="5"/>
      <c r="E10" s="5"/>
      <c r="G10" s="5"/>
      <c r="H10" s="5"/>
      <c r="I10" s="5"/>
      <c r="J10" s="5"/>
      <c r="K10" s="5"/>
    </row>
    <row r="11" ht="17.25" spans="1:11">
      <c r="A11" s="3" t="s">
        <v>19</v>
      </c>
      <c r="B11" s="5"/>
      <c r="C11" s="5"/>
      <c r="D11" s="5"/>
      <c r="E11" s="5"/>
      <c r="G11" s="3" t="s">
        <v>19</v>
      </c>
      <c r="H11" s="5"/>
      <c r="I11" s="5"/>
      <c r="J11" s="5"/>
      <c r="K11" s="5"/>
    </row>
    <row r="12" ht="15.5" spans="1:11">
      <c r="A12" s="7" t="s">
        <v>21</v>
      </c>
      <c r="B12" s="6">
        <f>B3*B4+B7*B8</f>
        <v>3703040</v>
      </c>
      <c r="C12" s="6">
        <f t="shared" ref="C12:K12" si="0">C3*C4+C7*C8</f>
        <v>5890100</v>
      </c>
      <c r="D12" s="6">
        <f t="shared" si="0"/>
        <v>5164960</v>
      </c>
      <c r="E12" s="6">
        <f t="shared" si="0"/>
        <v>4428180</v>
      </c>
      <c r="G12" s="7" t="s">
        <v>21</v>
      </c>
      <c r="H12" s="6">
        <f t="shared" si="0"/>
        <v>3671486.125</v>
      </c>
      <c r="I12" s="6">
        <f t="shared" si="0"/>
        <v>5866307.875</v>
      </c>
      <c r="J12" s="6">
        <f t="shared" si="0"/>
        <v>5133422.875</v>
      </c>
      <c r="K12" s="6">
        <f t="shared" si="0"/>
        <v>4404371.125</v>
      </c>
    </row>
    <row r="13" ht="14.75" spans="1:11">
      <c r="A13" s="7" t="s">
        <v>22</v>
      </c>
      <c r="B13" s="6">
        <f>B4*B7-B3*B8</f>
        <v>2014757932</v>
      </c>
      <c r="C13" s="6">
        <f t="shared" ref="C13:K13" si="1">C4*C7-C3*C8</f>
        <v>2013972347</v>
      </c>
      <c r="D13" s="6">
        <f t="shared" si="1"/>
        <v>-2013238320</v>
      </c>
      <c r="E13" s="6">
        <f t="shared" si="1"/>
        <v>-2015493560</v>
      </c>
      <c r="G13" s="7" t="s">
        <v>22</v>
      </c>
      <c r="H13" s="6">
        <f t="shared" si="1"/>
        <v>2014805558.625</v>
      </c>
      <c r="I13" s="6">
        <f t="shared" si="1"/>
        <v>2014028106.875</v>
      </c>
      <c r="J13" s="6">
        <f t="shared" si="1"/>
        <v>-2013285953.375</v>
      </c>
      <c r="K13" s="6">
        <f t="shared" si="1"/>
        <v>-2015549356.875</v>
      </c>
    </row>
    <row r="14" ht="14.75" spans="1:11">
      <c r="A14" s="7" t="s">
        <v>23</v>
      </c>
      <c r="B14" s="6">
        <f>B12/B13</f>
        <v>0.00183795777209031</v>
      </c>
      <c r="C14" s="6">
        <f>C12/C13</f>
        <v>0.00292461811045909</v>
      </c>
      <c r="D14" s="6">
        <f>-D12/D13</f>
        <v>0.00256549855458742</v>
      </c>
      <c r="E14" s="6">
        <f>-E12/E13</f>
        <v>0.00219706978374071</v>
      </c>
      <c r="G14" s="7" t="s">
        <v>23</v>
      </c>
      <c r="H14" s="6">
        <f>H12/H13</f>
        <v>0.00182225332329617</v>
      </c>
      <c r="I14" s="6">
        <f>I12/I13</f>
        <v>0.00291272393616307</v>
      </c>
      <c r="J14" s="6">
        <f>-J12/J13</f>
        <v>0.00254977335256053</v>
      </c>
      <c r="K14" s="6">
        <f>-K12/K13</f>
        <v>0.00218519636345137</v>
      </c>
    </row>
    <row r="15" ht="14.75" spans="1:11">
      <c r="A15" s="7" t="s">
        <v>26</v>
      </c>
      <c r="B15" s="6">
        <f>ATAN(B14)</f>
        <v>0.00183795570249967</v>
      </c>
      <c r="C15" s="6">
        <f t="shared" ref="C15:K15" si="2">ATAN(C14)</f>
        <v>0.00292460977203439</v>
      </c>
      <c r="D15" s="6">
        <f t="shared" si="2"/>
        <v>0.00256549292609153</v>
      </c>
      <c r="E15" s="6">
        <f t="shared" si="2"/>
        <v>0.00219706624858098</v>
      </c>
      <c r="G15" s="7" t="s">
        <v>26</v>
      </c>
      <c r="H15" s="6">
        <f t="shared" si="2"/>
        <v>0.00182225130630437</v>
      </c>
      <c r="I15" s="6">
        <f t="shared" si="2"/>
        <v>0.00291271569905983</v>
      </c>
      <c r="J15" s="6">
        <f t="shared" si="2"/>
        <v>0.00254976782693073</v>
      </c>
      <c r="K15" s="6">
        <f t="shared" si="2"/>
        <v>0.00218519288529656</v>
      </c>
    </row>
    <row r="16" ht="14.75" spans="1:11">
      <c r="A16" s="7" t="s">
        <v>27</v>
      </c>
      <c r="B16" s="6">
        <f>B15/3.1415926*180</f>
        <v>0.105307106481579</v>
      </c>
      <c r="C16" s="6">
        <f t="shared" ref="C16:K16" si="3">C15/3.1415926*180</f>
        <v>0.167567799518687</v>
      </c>
      <c r="D16" s="6">
        <f t="shared" si="3"/>
        <v>0.146991919543124</v>
      </c>
      <c r="E16" s="6">
        <f t="shared" si="3"/>
        <v>0.125882625501657</v>
      </c>
      <c r="G16" s="7" t="s">
        <v>27</v>
      </c>
      <c r="H16" s="6">
        <f t="shared" si="3"/>
        <v>0.104407310844438</v>
      </c>
      <c r="I16" s="6">
        <f t="shared" si="3"/>
        <v>0.166886319324399</v>
      </c>
      <c r="J16" s="6">
        <f t="shared" si="3"/>
        <v>0.146090937713417</v>
      </c>
      <c r="K16" s="6">
        <f t="shared" si="3"/>
        <v>0.125202331885229</v>
      </c>
    </row>
    <row r="17" ht="14.75" spans="1:11">
      <c r="A17" s="7" t="s">
        <v>28</v>
      </c>
      <c r="B17" s="6">
        <f>-(B3*B8)/(B7*B4)</f>
        <v>0.96508011711529</v>
      </c>
      <c r="C17" s="6">
        <f t="shared" ref="C17:K17" si="4">-(C3*C8)/(C7*C4)</f>
        <v>0.967514082318825</v>
      </c>
      <c r="D17" s="6">
        <f t="shared" si="4"/>
        <v>0.968147894289985</v>
      </c>
      <c r="E17" s="6">
        <f t="shared" si="4"/>
        <v>0.964448313508668</v>
      </c>
      <c r="G17" s="7" t="s">
        <v>28</v>
      </c>
      <c r="H17" s="6">
        <f t="shared" si="4"/>
        <v>0.965080527225613</v>
      </c>
      <c r="I17" s="6">
        <f t="shared" si="4"/>
        <v>0.967491657526538</v>
      </c>
      <c r="J17" s="6">
        <f t="shared" si="4"/>
        <v>0.968148239905806</v>
      </c>
      <c r="K17" s="6">
        <f t="shared" si="4"/>
        <v>0.964426025319156</v>
      </c>
    </row>
    <row r="18" ht="14.75" spans="1:11">
      <c r="A18" s="7" t="s">
        <v>30</v>
      </c>
      <c r="B18" s="6">
        <f>SQRT((B17+1)*(B17+1)*B14*B14+4*B17)</f>
        <v>1.96477314545105</v>
      </c>
      <c r="C18" s="6">
        <f t="shared" ref="C18:K18" si="5">SQRT((C17+1)*(C17+1)*C14*C14+4*C17)</f>
        <v>1.96725428971634</v>
      </c>
      <c r="D18" s="6">
        <f t="shared" si="5"/>
        <v>1.96789661120555</v>
      </c>
      <c r="E18" s="6">
        <f t="shared" si="5"/>
        <v>1.96413133016861</v>
      </c>
      <c r="G18" s="7" t="s">
        <v>30</v>
      </c>
      <c r="H18" s="6">
        <f t="shared" si="5"/>
        <v>1.96477350642887</v>
      </c>
      <c r="I18" s="6">
        <f t="shared" si="5"/>
        <v>1.96723142301989</v>
      </c>
      <c r="J18" s="6">
        <f t="shared" si="5"/>
        <v>1.9678968832941</v>
      </c>
      <c r="K18" s="6">
        <f t="shared" si="5"/>
        <v>1.96410858360157</v>
      </c>
    </row>
    <row r="19" ht="14.75" spans="1:11">
      <c r="A19" s="7" t="s">
        <v>31</v>
      </c>
      <c r="B19" s="6">
        <f>(-(1+B17)*B14+B18)/2</f>
        <v>0.980580705588511</v>
      </c>
      <c r="C19" s="6">
        <f t="shared" ref="C19:K19" si="6">(-(1+C17)*C14+C18)/2</f>
        <v>0.980750031199301</v>
      </c>
      <c r="D19" s="6">
        <f t="shared" si="6"/>
        <v>0.981423665313768</v>
      </c>
      <c r="E19" s="6">
        <f t="shared" si="6"/>
        <v>0.979907650068638</v>
      </c>
      <c r="G19" s="7" t="s">
        <v>31</v>
      </c>
      <c r="H19" s="6">
        <f t="shared" si="6"/>
        <v>0.980596315953793</v>
      </c>
      <c r="I19" s="6">
        <f t="shared" si="6"/>
        <v>0.980750331487404</v>
      </c>
      <c r="J19" s="6">
        <f t="shared" si="6"/>
        <v>0.981439275679051</v>
      </c>
      <c r="K19" s="6">
        <f t="shared" si="6"/>
        <v>0.979907963497387</v>
      </c>
    </row>
    <row r="20" ht="14.75" spans="1:11">
      <c r="A20" s="7" t="s">
        <v>33</v>
      </c>
      <c r="B20" s="6">
        <f>(-(1+B17)*B14-B18)/2</f>
        <v>-0.984192439862543</v>
      </c>
      <c r="C20" s="6">
        <f t="shared" ref="C20:K20" si="7">(-(1+C17)*C14-C18)/2</f>
        <v>-0.986504258517034</v>
      </c>
      <c r="D20" s="6">
        <f t="shared" si="7"/>
        <v>-0.986472945891784</v>
      </c>
      <c r="E20" s="6">
        <f t="shared" si="7"/>
        <v>-0.984223680099969</v>
      </c>
      <c r="G20" s="7" t="s">
        <v>33</v>
      </c>
      <c r="H20" s="6">
        <f t="shared" si="7"/>
        <v>-0.984177190475075</v>
      </c>
      <c r="I20" s="6">
        <f t="shared" si="7"/>
        <v>-0.986481091532482</v>
      </c>
      <c r="J20" s="6">
        <f t="shared" si="7"/>
        <v>-0.986457607615052</v>
      </c>
      <c r="K20" s="6">
        <f t="shared" si="7"/>
        <v>-0.984200620104184</v>
      </c>
    </row>
    <row r="21" ht="14.75" spans="1:11">
      <c r="A21" s="7" t="s">
        <v>34</v>
      </c>
      <c r="B21" s="6">
        <f>ATAN(B19)-PI()</f>
        <v>-2.36599902484267</v>
      </c>
      <c r="C21" s="6">
        <f t="shared" ref="C21:K21" si="8">ATAN(C19)-PI()</f>
        <v>-2.36591270929137</v>
      </c>
      <c r="D21" s="6">
        <f t="shared" si="8"/>
        <v>-2.36556946172568</v>
      </c>
      <c r="E21" s="6">
        <f t="shared" si="8"/>
        <v>-2.36634226665059</v>
      </c>
      <c r="G21" s="7" t="s">
        <v>34</v>
      </c>
      <c r="H21" s="6">
        <f t="shared" si="8"/>
        <v>-2.36599106667957</v>
      </c>
      <c r="I21" s="6">
        <f t="shared" si="8"/>
        <v>-2.36591255622926</v>
      </c>
      <c r="J21" s="6">
        <f t="shared" si="8"/>
        <v>-2.36556151026693</v>
      </c>
      <c r="K21" s="6">
        <f t="shared" si="8"/>
        <v>-2.36634210675585</v>
      </c>
    </row>
    <row r="22" ht="14.75" spans="1:11">
      <c r="A22" s="7" t="s">
        <v>35</v>
      </c>
      <c r="B22" s="6">
        <f>ATAN(B20)</f>
        <v>-0.777431584449627</v>
      </c>
      <c r="C22" s="6">
        <f t="shared" ref="C22:K22" si="9">ATAN(C20)</f>
        <v>-0.778604554070458</v>
      </c>
      <c r="D22" s="6">
        <f t="shared" si="9"/>
        <v>-0.778588684790205</v>
      </c>
      <c r="E22" s="6">
        <f t="shared" si="9"/>
        <v>-0.777447453187786</v>
      </c>
      <c r="G22" s="7" t="s">
        <v>35</v>
      </c>
      <c r="H22" s="6">
        <f t="shared" si="9"/>
        <v>-0.777423838216529</v>
      </c>
      <c r="I22" s="6">
        <f t="shared" si="9"/>
        <v>-0.778592813059594</v>
      </c>
      <c r="J22" s="6">
        <f t="shared" si="9"/>
        <v>-0.778580911149789</v>
      </c>
      <c r="K22" s="6">
        <f t="shared" si="9"/>
        <v>-0.777435739719238</v>
      </c>
    </row>
    <row r="23" ht="14.75" spans="1:11">
      <c r="A23" s="7" t="s">
        <v>36</v>
      </c>
      <c r="B23" s="6">
        <f>(B3*COS(B21)+B7*SIN(B21))/(B4*SIN(B21+B15)-B8*COS(B21+B15))</f>
        <v>1.00118166898775</v>
      </c>
      <c r="C23" s="6">
        <f t="shared" ref="C23:K23" si="10">(C3*COS(C21)+C7*SIN(C21))/(C4*SIN(C21+C15)-C8*COS(C21+C15))</f>
        <v>0.999251314109716</v>
      </c>
      <c r="D23" s="6">
        <f t="shared" si="10"/>
        <v>0.999585329475251</v>
      </c>
      <c r="E23" s="6">
        <f t="shared" si="10"/>
        <v>1.00084678830554</v>
      </c>
      <c r="G23" s="7" t="s">
        <v>36</v>
      </c>
      <c r="H23" s="6">
        <f t="shared" si="10"/>
        <v>1.0011896809714</v>
      </c>
      <c r="I23" s="6">
        <f t="shared" si="10"/>
        <v>0.999247469125342</v>
      </c>
      <c r="J23" s="6">
        <f t="shared" si="10"/>
        <v>0.999593338140094</v>
      </c>
      <c r="K23" s="6">
        <f t="shared" si="10"/>
        <v>1.00084293020306</v>
      </c>
    </row>
    <row r="24" ht="14.75" spans="1:11">
      <c r="A24" s="7" t="s">
        <v>37</v>
      </c>
      <c r="B24" s="6" t="e">
        <f>(B3*COS(B22)+B7*SIN(+B22))/(B4*SIN(B15+B22)-B8*COS(B15+B22))</f>
        <v>#DIV/0!</v>
      </c>
      <c r="C24" s="6" t="e">
        <f t="shared" ref="C24:K24" si="11">(C3*COS(C22)+C7*SIN(+C22))/(C4*SIN(C15+C22)-C8*COS(C15+C22))</f>
        <v>#DIV/0!</v>
      </c>
      <c r="D24" s="6">
        <f t="shared" si="11"/>
        <v>-0.999668348102669</v>
      </c>
      <c r="E24" s="6">
        <f t="shared" si="11"/>
        <v>-1.00092639478212</v>
      </c>
      <c r="G24" s="7" t="s">
        <v>37</v>
      </c>
      <c r="H24" s="6" t="e">
        <f t="shared" si="11"/>
        <v>#DIV/0!</v>
      </c>
      <c r="I24" s="6" t="e">
        <f t="shared" si="11"/>
        <v>#DIV/0!</v>
      </c>
      <c r="J24" s="6">
        <f t="shared" si="11"/>
        <v>-0.999675847638763</v>
      </c>
      <c r="K24" s="6">
        <f t="shared" si="11"/>
        <v>-1.00092215670451</v>
      </c>
    </row>
    <row r="25" ht="14.75" spans="1:11">
      <c r="A25" s="7" t="s">
        <v>39</v>
      </c>
      <c r="B25" s="8">
        <f>B5/(B3*SIN(B21)+B23*B4*COS(B15+B21))</f>
        <v>0.00400779030237398</v>
      </c>
      <c r="C25" s="8">
        <f t="shared" ref="C25:K25" si="12">C5/(C3*SIN(C21)+C23*C4*COS(C15+C21))</f>
        <v>0.00401244708559339</v>
      </c>
      <c r="D25" s="6">
        <f t="shared" si="12"/>
        <v>0.00401250594488206</v>
      </c>
      <c r="E25" s="6">
        <f t="shared" si="12"/>
        <v>0.00400773061227438</v>
      </c>
      <c r="G25" s="7" t="s">
        <v>39</v>
      </c>
      <c r="H25" s="8">
        <f t="shared" si="12"/>
        <v>0.00400772683984043</v>
      </c>
      <c r="I25" s="8">
        <f t="shared" si="12"/>
        <v>0.00401239919135735</v>
      </c>
      <c r="J25" s="6">
        <f t="shared" si="12"/>
        <v>0.00401244232314852</v>
      </c>
      <c r="K25" s="6">
        <f t="shared" si="12"/>
        <v>0.00400768281082734</v>
      </c>
    </row>
    <row r="26" ht="14.75" spans="1:11">
      <c r="A26" s="7" t="s">
        <v>40</v>
      </c>
      <c r="B26" s="6">
        <f>B23*B25</f>
        <v>0.00401252618388369</v>
      </c>
      <c r="C26" s="6">
        <f t="shared" ref="C26:K26" si="13">C23*C25</f>
        <v>0.0040094430230749</v>
      </c>
      <c r="D26" s="8">
        <f t="shared" si="13"/>
        <v>0.00401084207693634</v>
      </c>
      <c r="E26" s="8">
        <f t="shared" si="13"/>
        <v>0.00401112431168861</v>
      </c>
      <c r="G26" s="7" t="s">
        <v>40</v>
      </c>
      <c r="H26" s="6">
        <f t="shared" si="13"/>
        <v>0.00401249475620038</v>
      </c>
      <c r="I26" s="6">
        <f t="shared" si="13"/>
        <v>0.0040093797370844</v>
      </c>
      <c r="J26" s="8">
        <f t="shared" si="13"/>
        <v>0.00401081061589062</v>
      </c>
      <c r="K26" s="8">
        <f t="shared" si="13"/>
        <v>0.00401106100771288</v>
      </c>
    </row>
    <row r="27" ht="14.75" spans="1:11">
      <c r="A27" s="7" t="s">
        <v>41</v>
      </c>
      <c r="B27" s="6" t="e">
        <f>B5/(B3*SIN(B22)+B24*B4*COS(B15+B22))</f>
        <v>#DIV/0!</v>
      </c>
      <c r="C27" s="6" t="e">
        <f t="shared" ref="C27:K27" si="14">C5/(C3*SIN(C22)+C24*C4*COS(C15+C22))</f>
        <v>#DIV/0!</v>
      </c>
      <c r="D27" s="6">
        <f t="shared" si="14"/>
        <v>0.00400205753836014</v>
      </c>
      <c r="E27" s="6">
        <f t="shared" si="14"/>
        <v>0.00399877455583284</v>
      </c>
      <c r="G27" s="7" t="s">
        <v>41</v>
      </c>
      <c r="H27" s="6" t="e">
        <f t="shared" si="14"/>
        <v>#DIV/0!</v>
      </c>
      <c r="I27" s="6" t="e">
        <f t="shared" si="14"/>
        <v>#DIV/0!</v>
      </c>
      <c r="J27" s="6">
        <f t="shared" si="14"/>
        <v>0.00400205804346486</v>
      </c>
      <c r="K27" s="6">
        <f t="shared" si="14"/>
        <v>0.0039987751042933</v>
      </c>
    </row>
    <row r="28" ht="14.75" spans="1:11">
      <c r="A28" s="7" t="s">
        <v>42</v>
      </c>
      <c r="B28" s="6" t="e">
        <f>B24*B27</f>
        <v>#DIV/0!</v>
      </c>
      <c r="C28" s="6" t="e">
        <f t="shared" ref="C28:K28" si="15">C24*C27</f>
        <v>#DIV/0!</v>
      </c>
      <c r="D28" s="6">
        <f t="shared" si="15"/>
        <v>-0.00400073024838431</v>
      </c>
      <c r="E28" s="6">
        <f t="shared" si="15"/>
        <v>-0.00400247899971625</v>
      </c>
      <c r="G28" s="7" t="s">
        <v>42</v>
      </c>
      <c r="H28" s="6" t="e">
        <f t="shared" si="15"/>
        <v>#DIV/0!</v>
      </c>
      <c r="I28" s="6" t="e">
        <f t="shared" si="15"/>
        <v>#DIV/0!</v>
      </c>
      <c r="J28" s="6">
        <f t="shared" si="15"/>
        <v>-0.00400076076690026</v>
      </c>
      <c r="K28" s="6">
        <f t="shared" si="15"/>
        <v>-0.00400246260156557</v>
      </c>
    </row>
    <row r="29" spans="1:11">
      <c r="A29" s="5"/>
      <c r="B29" s="5"/>
      <c r="C29" s="5"/>
      <c r="D29" s="5"/>
      <c r="E29" s="5"/>
      <c r="G29" s="5"/>
      <c r="H29" s="5"/>
      <c r="I29" s="5"/>
      <c r="J29" s="5"/>
      <c r="K29" s="5"/>
    </row>
    <row r="30" spans="1:11">
      <c r="A30" s="5"/>
      <c r="B30" s="5">
        <v>0.00400772683984043</v>
      </c>
      <c r="C30" s="5">
        <v>0.00401239919135735</v>
      </c>
      <c r="D30" s="5">
        <v>0.00401081061589062</v>
      </c>
      <c r="E30" s="5">
        <v>0.00401106100771288</v>
      </c>
      <c r="G30" s="5"/>
      <c r="H30" s="5">
        <v>0.00400772683984043</v>
      </c>
      <c r="I30" s="5">
        <v>0.00401239919135735</v>
      </c>
      <c r="J30" s="5">
        <v>0.00401081061589062</v>
      </c>
      <c r="K30" s="5">
        <v>0.00401106100771288</v>
      </c>
    </row>
    <row r="31" spans="1:11">
      <c r="A31" s="5"/>
      <c r="B31" s="5"/>
      <c r="C31" s="5"/>
      <c r="D31" s="5"/>
      <c r="E31" s="5"/>
      <c r="G31" s="5"/>
      <c r="H31" s="5"/>
      <c r="I31" s="5"/>
      <c r="J31" s="5"/>
      <c r="K31" s="5"/>
    </row>
    <row r="32" spans="1:11">
      <c r="A32" s="9" t="s">
        <v>46</v>
      </c>
      <c r="B32" s="5"/>
      <c r="C32" s="5"/>
      <c r="D32" s="5"/>
      <c r="E32" s="5"/>
      <c r="G32" s="9" t="s">
        <v>46</v>
      </c>
      <c r="H32" s="5"/>
      <c r="I32" s="5"/>
      <c r="J32" s="5"/>
      <c r="K32" s="5"/>
    </row>
    <row r="33" spans="1:11">
      <c r="A33" s="5" t="s">
        <v>48</v>
      </c>
      <c r="B33" s="5"/>
      <c r="C33" s="5"/>
      <c r="D33" s="5" t="s">
        <v>49</v>
      </c>
      <c r="E33" s="5"/>
      <c r="G33" s="5" t="s">
        <v>48</v>
      </c>
      <c r="H33" s="5"/>
      <c r="I33" s="5"/>
      <c r="J33" s="5" t="s">
        <v>49</v>
      </c>
      <c r="K33" s="5"/>
    </row>
    <row r="34" ht="14.75" spans="1:11">
      <c r="A34" s="10" t="s">
        <v>39</v>
      </c>
      <c r="B34" s="5">
        <f>AVERAGE(B25:E25)</f>
        <v>0.00401011848628095</v>
      </c>
      <c r="C34" s="5">
        <v>0.00401006279129341</v>
      </c>
      <c r="D34" s="10" t="s">
        <v>51</v>
      </c>
      <c r="E34" s="5" t="e">
        <f>AVERAGE(B27:E27)</f>
        <v>#DIV/0!</v>
      </c>
      <c r="G34" s="10" t="s">
        <v>39</v>
      </c>
      <c r="H34" s="5">
        <f>AVERAGE(H25:K25)</f>
        <v>0.00401006279129341</v>
      </c>
      <c r="I34" s="5">
        <v>0.00401006279129341</v>
      </c>
      <c r="J34" s="10" t="s">
        <v>51</v>
      </c>
      <c r="K34" s="5" t="e">
        <f>AVERAGE(H27:K27)</f>
        <v>#DIV/0!</v>
      </c>
    </row>
    <row r="35" ht="15.5" spans="1:11">
      <c r="A35" s="10" t="s">
        <v>40</v>
      </c>
      <c r="B35" s="5">
        <f>AVERAGE(B26:E26)</f>
        <v>0.00401098389889589</v>
      </c>
      <c r="C35" s="5">
        <v>0.00401093652922207</v>
      </c>
      <c r="D35" s="10" t="s">
        <v>53</v>
      </c>
      <c r="E35" s="5" t="e">
        <f>AVERAGE(B28,E28)</f>
        <v>#DIV/0!</v>
      </c>
      <c r="G35" s="10" t="s">
        <v>40</v>
      </c>
      <c r="H35" s="5">
        <f>AVERAGE(H26:K26)</f>
        <v>0.00401093652922207</v>
      </c>
      <c r="I35" s="5">
        <v>0.00401093652922207</v>
      </c>
      <c r="J35" s="10" t="s">
        <v>53</v>
      </c>
      <c r="K35" s="5" t="e">
        <f>AVERAGE(H28,K28)</f>
        <v>#DIV/0!</v>
      </c>
    </row>
    <row r="36" ht="15.5" spans="1:11">
      <c r="A36" s="10" t="s">
        <v>54</v>
      </c>
      <c r="B36" s="5">
        <f>AVERAGE(AVERAGE(B21:E21))</f>
        <v>-2.36595586562758</v>
      </c>
      <c r="C36" s="5">
        <v>-2.3659518099829</v>
      </c>
      <c r="D36" s="10" t="s">
        <v>55</v>
      </c>
      <c r="E36" s="5">
        <f>AVERAGE(B22:E22)</f>
        <v>-0.778018069124519</v>
      </c>
      <c r="G36" s="10" t="s">
        <v>54</v>
      </c>
      <c r="H36" s="5">
        <f>AVERAGE(AVERAGE(H21:K21))</f>
        <v>-2.3659518099829</v>
      </c>
      <c r="I36" s="5">
        <v>-2.3659518099829</v>
      </c>
      <c r="J36" s="10" t="s">
        <v>55</v>
      </c>
      <c r="K36" s="5">
        <f>AVERAGE(H22:K22)</f>
        <v>-0.778008325536287</v>
      </c>
    </row>
    <row r="37" ht="15.5" spans="1:11">
      <c r="A37" s="10" t="s">
        <v>56</v>
      </c>
      <c r="B37" s="5">
        <f>AVERAGE(AVERAGE(B15:E15))</f>
        <v>0.00238128116230164</v>
      </c>
      <c r="C37" s="5">
        <v>0.00236748192939787</v>
      </c>
      <c r="D37" s="10" t="s">
        <v>56</v>
      </c>
      <c r="E37" s="5">
        <f>AVERAGE(AVERAGE(B15:E15))</f>
        <v>0.00238128116230164</v>
      </c>
      <c r="G37" s="10" t="s">
        <v>56</v>
      </c>
      <c r="H37" s="5">
        <f>AVERAGE(AVERAGE(H15:K15))</f>
        <v>0.00236748192939787</v>
      </c>
      <c r="I37" s="5">
        <v>0.00236748192939787</v>
      </c>
      <c r="J37" s="10" t="s">
        <v>56</v>
      </c>
      <c r="K37" s="5">
        <f>AVERAGE(AVERAGE(H15:K15))</f>
        <v>0.00236748192939787</v>
      </c>
    </row>
    <row r="38" ht="14.75" spans="3:10">
      <c r="C38" t="s">
        <v>13</v>
      </c>
      <c r="D38" t="s">
        <v>13</v>
      </c>
      <c r="I38" t="s">
        <v>13</v>
      </c>
      <c r="J38" t="s">
        <v>13</v>
      </c>
    </row>
    <row r="39" spans="2:11">
      <c r="B39" t="s">
        <v>57</v>
      </c>
      <c r="C39" t="s">
        <v>58</v>
      </c>
      <c r="D39" t="s">
        <v>59</v>
      </c>
      <c r="E39" t="s">
        <v>60</v>
      </c>
      <c r="H39" t="s">
        <v>57</v>
      </c>
      <c r="I39" t="s">
        <v>58</v>
      </c>
      <c r="J39" t="s">
        <v>59</v>
      </c>
      <c r="K39" t="s">
        <v>60</v>
      </c>
    </row>
    <row r="40" spans="1:11">
      <c r="A40" t="s">
        <v>61</v>
      </c>
      <c r="B40">
        <f>B36+B37</f>
        <v>-2.36357458446527</v>
      </c>
      <c r="C40">
        <f t="shared" ref="C40:C44" si="16">B40</f>
        <v>-2.36357458446527</v>
      </c>
      <c r="D40">
        <f t="shared" ref="D40:D44" si="17">C40</f>
        <v>-2.36357458446527</v>
      </c>
      <c r="E40">
        <f t="shared" ref="E40:E44" si="18">D40</f>
        <v>-2.36357458446527</v>
      </c>
      <c r="G40" t="s">
        <v>61</v>
      </c>
      <c r="H40">
        <f>H36+H37</f>
        <v>-2.36358432805351</v>
      </c>
      <c r="I40">
        <f t="shared" ref="I40:K40" si="19">H40</f>
        <v>-2.36358432805351</v>
      </c>
      <c r="J40">
        <f t="shared" si="19"/>
        <v>-2.36358432805351</v>
      </c>
      <c r="K40">
        <f t="shared" si="19"/>
        <v>-2.36358432805351</v>
      </c>
    </row>
    <row r="41" spans="1:11">
      <c r="A41" t="s">
        <v>62</v>
      </c>
      <c r="B41">
        <f>COS(B36)</f>
        <v>-0.713975318463824</v>
      </c>
      <c r="C41">
        <f t="shared" si="16"/>
        <v>-0.713975318463824</v>
      </c>
      <c r="D41">
        <f t="shared" si="17"/>
        <v>-0.713975318463824</v>
      </c>
      <c r="E41">
        <f t="shared" si="18"/>
        <v>-0.713975318463824</v>
      </c>
      <c r="G41" t="s">
        <v>62</v>
      </c>
      <c r="H41">
        <f>COS(H36)</f>
        <v>-0.713972478813701</v>
      </c>
      <c r="I41">
        <f t="shared" ref="I41:K41" si="20">H41</f>
        <v>-0.713972478813701</v>
      </c>
      <c r="J41">
        <f t="shared" si="20"/>
        <v>-0.713972478813701</v>
      </c>
      <c r="K41">
        <f t="shared" si="20"/>
        <v>-0.713972478813701</v>
      </c>
    </row>
    <row r="42" spans="1:11">
      <c r="A42" t="s">
        <v>63</v>
      </c>
      <c r="B42">
        <f>SIN((B36))</f>
        <v>-0.700170868163252</v>
      </c>
      <c r="C42">
        <f t="shared" si="16"/>
        <v>-0.700170868163252</v>
      </c>
      <c r="D42">
        <f t="shared" si="17"/>
        <v>-0.700170868163252</v>
      </c>
      <c r="E42">
        <f t="shared" si="18"/>
        <v>-0.700170868163252</v>
      </c>
      <c r="G42" t="s">
        <v>63</v>
      </c>
      <c r="H42">
        <f>SIN((H36))</f>
        <v>-0.70017376378769</v>
      </c>
      <c r="I42">
        <f t="shared" ref="I42:K42" si="21">H42</f>
        <v>-0.70017376378769</v>
      </c>
      <c r="J42">
        <f t="shared" si="21"/>
        <v>-0.70017376378769</v>
      </c>
      <c r="K42">
        <f t="shared" si="21"/>
        <v>-0.70017376378769</v>
      </c>
    </row>
    <row r="43" spans="1:11">
      <c r="A43" t="s">
        <v>64</v>
      </c>
      <c r="B43">
        <f>COS(B40)</f>
        <v>-0.712305992043259</v>
      </c>
      <c r="C43">
        <f t="shared" si="16"/>
        <v>-0.712305992043259</v>
      </c>
      <c r="D43">
        <f t="shared" si="17"/>
        <v>-0.712305992043259</v>
      </c>
      <c r="E43">
        <f t="shared" si="18"/>
        <v>-0.712305992043259</v>
      </c>
      <c r="G43" t="s">
        <v>64</v>
      </c>
      <c r="H43">
        <f>COS(H40)</f>
        <v>-0.712312830732534</v>
      </c>
      <c r="I43">
        <f t="shared" ref="I43:K43" si="22">H43</f>
        <v>-0.712312830732534</v>
      </c>
      <c r="J43">
        <f t="shared" si="22"/>
        <v>-0.712312830732534</v>
      </c>
      <c r="K43">
        <f t="shared" si="22"/>
        <v>-0.712312830732534</v>
      </c>
    </row>
    <row r="44" spans="1:11">
      <c r="A44" t="s">
        <v>65</v>
      </c>
      <c r="B44">
        <f>SIN(B40)</f>
        <v>-0.701869057374144</v>
      </c>
      <c r="C44">
        <f t="shared" si="16"/>
        <v>-0.701869057374144</v>
      </c>
      <c r="D44">
        <f t="shared" si="17"/>
        <v>-0.701869057374144</v>
      </c>
      <c r="E44">
        <f t="shared" si="18"/>
        <v>-0.701869057374144</v>
      </c>
      <c r="G44" t="s">
        <v>65</v>
      </c>
      <c r="H44">
        <f>SIN(H40)</f>
        <v>-0.701862116924545</v>
      </c>
      <c r="I44">
        <f t="shared" ref="I44:K44" si="23">H44</f>
        <v>-0.701862116924545</v>
      </c>
      <c r="J44">
        <f t="shared" si="23"/>
        <v>-0.701862116924545</v>
      </c>
      <c r="K44">
        <f t="shared" si="23"/>
        <v>-0.701862116924545</v>
      </c>
    </row>
    <row r="45" spans="1:11">
      <c r="A45" t="s">
        <v>66</v>
      </c>
      <c r="B45">
        <f>B41*B25*B3-B44*D26*B4</f>
        <v>0.0196612946910193</v>
      </c>
      <c r="C45">
        <f>C41*C25*C3-C44*E26*C4</f>
        <v>0.0196677532013041</v>
      </c>
      <c r="D45">
        <f>D41*B25*B7-D44*E26*B8</f>
        <v>-180.017883190229</v>
      </c>
      <c r="E45">
        <f>E41*C25*C7-E44*D26*C8</f>
        <v>179.982102269888</v>
      </c>
      <c r="G45" t="s">
        <v>66</v>
      </c>
      <c r="H45">
        <f>H41*H25*ROUND(H3,0)-H44*J26*ROUND(H4,0)</f>
        <v>0.019848409850411</v>
      </c>
      <c r="I45">
        <f>I41*I25*ROUND(I3,0)-I44*K26*ROUND(I4,0)</f>
        <v>0.0177326438644627</v>
      </c>
      <c r="J45">
        <f>J41*H25*ROUND(H7,0)-J44*K26*ROUND(H8,0)</f>
        <v>-180.019475276817</v>
      </c>
      <c r="K45">
        <f>K41*I25*ROUND(I7,0)-K44*J26*ROUND(I8,0)</f>
        <v>179.98475693087</v>
      </c>
    </row>
    <row r="46" spans="1:11">
      <c r="A46" t="s">
        <v>67</v>
      </c>
      <c r="B46">
        <f>B42*B25*B3+B43*D26*B4</f>
        <v>-179.912579468737</v>
      </c>
      <c r="C46">
        <f>C42*C25*C3+C43*E26*C4</f>
        <v>180.087405528581</v>
      </c>
      <c r="D46">
        <f>D42*B25*B7+D43*E26*B8</f>
        <v>-0.0871771945899127</v>
      </c>
      <c r="E46">
        <f>E42*C25*C7+E43*D26*C8</f>
        <v>-0.087171665816939</v>
      </c>
      <c r="G46" t="s">
        <v>67</v>
      </c>
      <c r="H46">
        <f>H42*H25*ROUND(H3,0)+H43*J26*ROUND(H4,0)</f>
        <v>-179.911705952478</v>
      </c>
      <c r="I46">
        <f>I42*I25*ROUND(I3,0)+I43*K26*ROUND(I4,0)</f>
        <v>180.089006119936</v>
      </c>
      <c r="J46">
        <f>J42*H25*ROUND(H7,0)+J43*K26*ROUND(H8,0)</f>
        <v>-0.0866299986968784</v>
      </c>
      <c r="K46">
        <f>K42*I25*ROUND(I7,0)+K43*J26*ROUND(I8,0)</f>
        <v>-0.0880769082117325</v>
      </c>
    </row>
    <row r="47" spans="5:11">
      <c r="E47" t="s">
        <v>13</v>
      </c>
      <c r="K47" t="s">
        <v>13</v>
      </c>
    </row>
    <row r="48" spans="1:11">
      <c r="A48" t="s">
        <v>68</v>
      </c>
      <c r="B48">
        <f>ABS(B45)</f>
        <v>0.0196612946910193</v>
      </c>
      <c r="C48">
        <f>ABS(C45)</f>
        <v>0.0196677532013041</v>
      </c>
      <c r="D48">
        <f>ABS(ABS(D45)-ABS(B5))</f>
        <v>0.0178831902293268</v>
      </c>
      <c r="E48">
        <f>ABS(ABS(E45)-ABS(B5))</f>
        <v>0.0178977301116561</v>
      </c>
      <c r="G48" t="s">
        <v>68</v>
      </c>
      <c r="H48">
        <f>ABS(H45)</f>
        <v>0.019848409850411</v>
      </c>
      <c r="I48">
        <f>ABS(I45)</f>
        <v>0.0177326438644627</v>
      </c>
      <c r="J48">
        <f>ABS(ABS(J45)-ABS(H5))</f>
        <v>0.0194752768165642</v>
      </c>
      <c r="K48">
        <f>ABS(ABS(K45)-ABS(H5))</f>
        <v>0.0152430691300651</v>
      </c>
    </row>
    <row r="49" spans="1:11">
      <c r="A49" t="s">
        <v>69</v>
      </c>
      <c r="B49">
        <f>ABS(ABS(B46)-ABS(B5))</f>
        <v>0.0874205312629215</v>
      </c>
      <c r="C49">
        <f>ABS(ABS(C46)-ABS(B5))</f>
        <v>0.08740552858103</v>
      </c>
      <c r="D49">
        <f>ABS(D46)</f>
        <v>0.0871771945899127</v>
      </c>
      <c r="E49">
        <f>ABS(E46)</f>
        <v>0.087171665816939</v>
      </c>
      <c r="G49" t="s">
        <v>69</v>
      </c>
      <c r="H49">
        <f>ABS(ABS(H46)-ABS(H5))</f>
        <v>0.0882940475219129</v>
      </c>
      <c r="I49">
        <f>ABS(ABS(I46)-ABS(H5))</f>
        <v>0.0890061199355614</v>
      </c>
      <c r="J49">
        <f>ABS(J46)</f>
        <v>0.0866299986968784</v>
      </c>
      <c r="K49">
        <f>ABS(K46)</f>
        <v>0.0880769082117325</v>
      </c>
    </row>
    <row r="51" spans="1:11">
      <c r="A51" t="s">
        <v>78</v>
      </c>
      <c r="B51">
        <f>ABS(B48/B45)</f>
        <v>1</v>
      </c>
      <c r="C51">
        <f>ABS(C48/C45)</f>
        <v>1</v>
      </c>
      <c r="D51">
        <f>ABS(D48/D45)</f>
        <v>9.93411871776607e-5</v>
      </c>
      <c r="E51">
        <f>ABS(E48/E45)</f>
        <v>9.94417216263977e-5</v>
      </c>
      <c r="G51" t="s">
        <v>78</v>
      </c>
      <c r="H51">
        <f>ABS(H48/H45)</f>
        <v>1</v>
      </c>
      <c r="I51">
        <f>ABS(I48/I45)</f>
        <v>1</v>
      </c>
      <c r="J51">
        <f>ABS(J48/J45)</f>
        <v>0.000108184277210102</v>
      </c>
      <c r="K51">
        <f>ABS(K48/K45)</f>
        <v>8.4690889328588e-5</v>
      </c>
    </row>
    <row r="52" spans="2:11">
      <c r="B52">
        <f>ABS(B49/B46)</f>
        <v>0.000485905607718288</v>
      </c>
      <c r="C52">
        <f>ABS(C49/C46)</f>
        <v>0.00048535059031187</v>
      </c>
      <c r="D52">
        <f>ABS(D49/D46)</f>
        <v>1</v>
      </c>
      <c r="E52">
        <f>ABS(E49/E46)</f>
        <v>1</v>
      </c>
      <c r="H52">
        <f>ABS(H49/H46)</f>
        <v>0.000490763216626021</v>
      </c>
      <c r="I52">
        <f>ABS(I49/I46)</f>
        <v>0.000494234055999427</v>
      </c>
      <c r="J52">
        <f>ABS(J49/J46)</f>
        <v>1</v>
      </c>
      <c r="K52">
        <f>ABS(K49/K46)</f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实验表格</vt:lpstr>
      <vt:lpstr>验证表格</vt:lpstr>
      <vt:lpstr>取整分析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李梓楠</cp:lastModifiedBy>
  <dcterms:created xsi:type="dcterms:W3CDTF">2015-06-05T18:19:00Z</dcterms:created>
  <dcterms:modified xsi:type="dcterms:W3CDTF">2021-01-27T02:24:37Z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