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915" windowWidth="10755" windowHeight="3750" tabRatio="936"/>
  </bookViews>
  <sheets>
    <sheet name="Contents" sheetId="11" r:id="rId1"/>
    <sheet name="Spiral_Inductor_Designer" sheetId="7" r:id="rId2"/>
    <sheet name="Output Code Calculator" sheetId="13" r:id="rId3"/>
    <sheet name="SkinDepth" sheetId="14" r:id="rId4"/>
    <sheet name="LDC1101_RP_Config" sheetId="21" r:id="rId5"/>
    <sheet name="SampleRateCalc" sheetId="18" r:id="rId6"/>
    <sheet name="LDC131x_Current" sheetId="16" r:id="rId7"/>
    <sheet name="Spring Sensor" sheetId="9" r:id="rId8"/>
    <sheet name="Remote Coil Length" sheetId="1" r:id="rId9"/>
    <sheet name="LDC Operating Region" sheetId="12" r:id="rId10"/>
  </sheets>
  <definedNames>
    <definedName name="CMAX" localSheetId="9">'LDC Operating Region'!#REF!</definedName>
    <definedName name="CMAX" localSheetId="4">#REF!</definedName>
    <definedName name="CMAX" localSheetId="6">#REF!</definedName>
    <definedName name="CMAX">#REF!</definedName>
    <definedName name="CMIN" localSheetId="9">'LDC Operating Region'!#REF!</definedName>
    <definedName name="CMIN" localSheetId="4">#REF!</definedName>
    <definedName name="CMIN" localSheetId="6">#REF!</definedName>
    <definedName name="CMIN">#REF!</definedName>
    <definedName name="Mega" localSheetId="4">LDC1101_RP_Config!$C$46</definedName>
    <definedName name="Mega">#REF!</definedName>
    <definedName name="micro" localSheetId="4">LDC1101_RP_Config!$C$45</definedName>
    <definedName name="micro">#REF!</definedName>
    <definedName name="N">Spiral_Inductor_Designer!$D$23</definedName>
    <definedName name="pico" localSheetId="4">LDC1101_RP_Config!$C$44</definedName>
    <definedName name="pico">#REF!</definedName>
    <definedName name="solver_adj" localSheetId="1" hidden="1">Spiral_Inductor_Designer!$D$23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Spiral_Inductor_Designer!$D$54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51" i="9" l="1"/>
  <c r="C33" i="18" l="1"/>
  <c r="C34" i="18" s="1"/>
  <c r="C36" i="18" s="1"/>
  <c r="C27" i="18"/>
  <c r="C37" i="18"/>
  <c r="D35" i="18" l="1"/>
  <c r="C35" i="18"/>
  <c r="C33" i="13"/>
  <c r="D16" i="13" l="1"/>
  <c r="D14" i="13"/>
  <c r="C15" i="13"/>
  <c r="C13" i="13"/>
  <c r="D23" i="21" l="1"/>
  <c r="D24" i="21" s="1"/>
  <c r="D34" i="13" l="1"/>
  <c r="D51" i="13"/>
  <c r="C50" i="13"/>
  <c r="D38" i="13" l="1"/>
  <c r="D43" i="13" s="1"/>
  <c r="C17" i="21"/>
  <c r="D18" i="21"/>
  <c r="E60" i="13" l="1"/>
  <c r="D60" i="13"/>
  <c r="C59" i="13"/>
  <c r="E59" i="13" s="1"/>
  <c r="C58" i="13"/>
  <c r="E58" i="13" s="1"/>
  <c r="D25" i="11"/>
  <c r="E23" i="11"/>
  <c r="D25" i="21" l="1"/>
  <c r="C58" i="21"/>
  <c r="D57" i="21"/>
  <c r="C57" i="21" s="1"/>
  <c r="C53" i="21"/>
  <c r="D13" i="21" s="1"/>
  <c r="F17" i="21" s="1"/>
  <c r="D39" i="21"/>
  <c r="F39" i="21" s="1"/>
  <c r="D35" i="21"/>
  <c r="D34" i="21"/>
  <c r="D29" i="21"/>
  <c r="F23" i="21"/>
  <c r="D11" i="21"/>
  <c r="F10" i="21"/>
  <c r="F9" i="21"/>
  <c r="D53" i="21" l="1"/>
  <c r="D32" i="21" s="1"/>
  <c r="F35" i="21" s="1"/>
  <c r="F24" i="21"/>
  <c r="C12" i="21"/>
  <c r="C59" i="21"/>
  <c r="F16" i="21" s="1"/>
  <c r="D19" i="21"/>
  <c r="F11" i="21"/>
  <c r="D52" i="21"/>
  <c r="F29" i="21"/>
  <c r="D36" i="21"/>
  <c r="D30" i="21"/>
  <c r="C52" i="21"/>
  <c r="D20" i="21" l="1"/>
  <c r="D21" i="21" s="1"/>
  <c r="F36" i="21"/>
  <c r="D59" i="21"/>
  <c r="F34" i="21" s="1"/>
  <c r="F19" i="21"/>
  <c r="F30" i="21"/>
  <c r="D40" i="21"/>
  <c r="F40" i="21" s="1"/>
  <c r="F20" i="21" l="1"/>
  <c r="D37" i="21"/>
  <c r="F37" i="21" s="1"/>
  <c r="D22" i="21"/>
  <c r="C22" i="18"/>
  <c r="D15" i="18"/>
  <c r="D16" i="18" s="1"/>
  <c r="C15" i="18"/>
  <c r="C16" i="18" s="1"/>
  <c r="D38" i="21" l="1"/>
  <c r="F38" i="21" s="1"/>
  <c r="F21" i="21"/>
  <c r="C30" i="18"/>
  <c r="C16" i="1" l="1"/>
  <c r="C17" i="1" s="1"/>
  <c r="C15" i="1"/>
  <c r="C11" i="1"/>
  <c r="C10" i="1"/>
  <c r="C18" i="1" l="1"/>
  <c r="D50" i="9"/>
  <c r="F48" i="13"/>
  <c r="F12" i="13"/>
  <c r="D17" i="13"/>
  <c r="F18" i="13" s="1"/>
  <c r="D53" i="13"/>
  <c r="F47" i="13"/>
  <c r="D49" i="13"/>
  <c r="D54" i="13" s="1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80" i="13"/>
  <c r="F13" i="13"/>
  <c r="D11" i="13"/>
  <c r="D21" i="13" s="1"/>
  <c r="D37" i="13"/>
  <c r="D35" i="13"/>
  <c r="D18" i="16"/>
  <c r="D7" i="16"/>
  <c r="F50" i="13" l="1"/>
  <c r="D52" i="13"/>
  <c r="D25" i="7" l="1"/>
  <c r="C26" i="18" l="1"/>
  <c r="D36" i="18"/>
  <c r="C17" i="18"/>
  <c r="C12" i="18"/>
  <c r="C9" i="18"/>
  <c r="D24" i="11" l="1"/>
  <c r="D26" i="11" s="1"/>
  <c r="C23" i="11"/>
  <c r="E24" i="11"/>
  <c r="E28" i="14" l="1"/>
  <c r="D28" i="14"/>
  <c r="C27" i="14"/>
  <c r="E27" i="14" s="1"/>
  <c r="C26" i="14"/>
  <c r="E26" i="14" s="1"/>
  <c r="D22" i="13" l="1"/>
  <c r="F21" i="13"/>
  <c r="D13" i="14"/>
  <c r="D23" i="13" l="1"/>
  <c r="D24" i="13" s="1"/>
  <c r="B104" i="12"/>
  <c r="D104" i="12" s="1"/>
  <c r="C104" i="12" s="1"/>
  <c r="A104" i="12"/>
  <c r="F103" i="12"/>
  <c r="D103" i="12"/>
  <c r="C103" i="12" s="1"/>
  <c r="B100" i="12"/>
  <c r="D100" i="12" s="1"/>
  <c r="C100" i="12" s="1"/>
  <c r="A100" i="12"/>
  <c r="F99" i="12"/>
  <c r="D99" i="12"/>
  <c r="C99" i="12" s="1"/>
  <c r="D94" i="12"/>
  <c r="C94" i="12"/>
  <c r="C93" i="12"/>
  <c r="D93" i="12" s="1"/>
  <c r="D91" i="12"/>
  <c r="C91" i="12"/>
  <c r="C92" i="12" s="1"/>
  <c r="D92" i="12" s="1"/>
  <c r="C85" i="12"/>
  <c r="D85" i="12" s="1"/>
  <c r="D84" i="12"/>
  <c r="C82" i="12"/>
  <c r="D82" i="12" s="1"/>
  <c r="D81" i="12"/>
  <c r="H78" i="12"/>
  <c r="G78" i="12"/>
  <c r="F78" i="12"/>
  <c r="E78" i="12"/>
  <c r="D78" i="12"/>
  <c r="C77" i="12"/>
  <c r="E77" i="12" s="1"/>
  <c r="C76" i="12"/>
  <c r="G76" i="12" s="1"/>
  <c r="H75" i="12"/>
  <c r="G75" i="12"/>
  <c r="F75" i="12"/>
  <c r="E75" i="12"/>
  <c r="D75" i="12"/>
  <c r="H74" i="12"/>
  <c r="E103" i="12" s="1"/>
  <c r="G74" i="12"/>
  <c r="F74" i="12"/>
  <c r="E74" i="12"/>
  <c r="D74" i="12"/>
  <c r="E104" i="12" s="1"/>
  <c r="D76" i="12" l="1"/>
  <c r="E76" i="12"/>
  <c r="F76" i="12"/>
  <c r="H76" i="12"/>
  <c r="D77" i="12"/>
  <c r="H77" i="12"/>
  <c r="F77" i="12"/>
  <c r="E99" i="12"/>
  <c r="G77" i="12"/>
  <c r="E100" i="12"/>
  <c r="D16" i="16" l="1"/>
  <c r="D28" i="16" s="1"/>
  <c r="D21" i="16"/>
  <c r="D32" i="16"/>
  <c r="D17" i="16" l="1"/>
  <c r="D33" i="16"/>
  <c r="D22" i="16"/>
  <c r="D29" i="16"/>
  <c r="D30" i="16" s="1"/>
  <c r="D19" i="16" l="1"/>
  <c r="D23" i="16"/>
  <c r="D24" i="16"/>
  <c r="D34" i="16"/>
  <c r="D53" i="9"/>
  <c r="D52" i="9"/>
  <c r="D25" i="16" l="1"/>
  <c r="D31" i="16" s="1"/>
  <c r="D40" i="16"/>
  <c r="D37" i="16" l="1"/>
  <c r="E8" i="16" s="1"/>
  <c r="C23" i="1"/>
  <c r="D38" i="16" l="1"/>
  <c r="D39" i="16"/>
  <c r="I36" i="9"/>
  <c r="H36" i="9"/>
  <c r="D29" i="9"/>
  <c r="D28" i="9"/>
  <c r="D25" i="9"/>
  <c r="D20" i="9"/>
  <c r="D17" i="9"/>
  <c r="D41" i="16" l="1"/>
  <c r="D42" i="16"/>
  <c r="F37" i="9"/>
  <c r="F36" i="9"/>
  <c r="D18" i="11"/>
  <c r="E18" i="11"/>
  <c r="C17" i="11"/>
  <c r="E17" i="11" s="1"/>
  <c r="C16" i="11"/>
  <c r="E16" i="11" s="1"/>
  <c r="D16" i="14" l="1"/>
  <c r="D15" i="14"/>
  <c r="D11" i="14"/>
  <c r="D12" i="14" s="1"/>
  <c r="D40" i="13"/>
  <c r="F38" i="13"/>
  <c r="D17" i="14" l="1"/>
  <c r="D18" i="14" s="1"/>
  <c r="D20" i="14" s="1"/>
  <c r="D41" i="13"/>
  <c r="D42" i="13" s="1"/>
  <c r="D21" i="14" l="1"/>
  <c r="D22" i="14" s="1"/>
  <c r="B40" i="12"/>
  <c r="A40" i="12"/>
  <c r="F39" i="12"/>
  <c r="D39" i="12"/>
  <c r="C39" i="12" s="1"/>
  <c r="B36" i="12"/>
  <c r="A36" i="12"/>
  <c r="F35" i="12"/>
  <c r="D35" i="12"/>
  <c r="C35" i="12" s="1"/>
  <c r="D30" i="12"/>
  <c r="C30" i="12"/>
  <c r="C29" i="12"/>
  <c r="D29" i="12" s="1"/>
  <c r="D27" i="12"/>
  <c r="C27" i="12"/>
  <c r="C28" i="12" s="1"/>
  <c r="D28" i="12" s="1"/>
  <c r="C21" i="12"/>
  <c r="D21" i="12" s="1"/>
  <c r="D20" i="12"/>
  <c r="C18" i="12"/>
  <c r="D18" i="12" s="1"/>
  <c r="D17" i="12"/>
  <c r="H14" i="12"/>
  <c r="G14" i="12"/>
  <c r="F14" i="12"/>
  <c r="E14" i="12"/>
  <c r="D14" i="12"/>
  <c r="C13" i="12"/>
  <c r="E13" i="12" s="1"/>
  <c r="C12" i="12"/>
  <c r="G12" i="12" s="1"/>
  <c r="H11" i="12"/>
  <c r="G11" i="12"/>
  <c r="F11" i="12"/>
  <c r="E11" i="12"/>
  <c r="D11" i="12"/>
  <c r="H10" i="12"/>
  <c r="E39" i="12" s="1"/>
  <c r="G10" i="12"/>
  <c r="F10" i="12"/>
  <c r="E10" i="12"/>
  <c r="D10" i="12"/>
  <c r="E40" i="12" s="1"/>
  <c r="H13" i="12" l="1"/>
  <c r="D13" i="12"/>
  <c r="D40" i="12"/>
  <c r="C40" i="12" s="1"/>
  <c r="F13" i="12"/>
  <c r="D12" i="12"/>
  <c r="H12" i="12"/>
  <c r="E12" i="12"/>
  <c r="F12" i="12"/>
  <c r="D36" i="12"/>
  <c r="C36" i="12" s="1"/>
  <c r="E35" i="12"/>
  <c r="G13" i="12"/>
  <c r="E36" i="12"/>
  <c r="D21" i="9" l="1"/>
  <c r="D34" i="9" l="1"/>
  <c r="D37" i="9" s="1"/>
  <c r="D33" i="9"/>
  <c r="D36" i="9" s="1"/>
  <c r="D44" i="9" l="1"/>
  <c r="D45" i="9"/>
  <c r="D38" i="9"/>
  <c r="T43" i="7" l="1"/>
  <c r="S43" i="7"/>
  <c r="R43" i="7"/>
  <c r="Q43" i="7"/>
  <c r="P43" i="7"/>
  <c r="O43" i="7"/>
  <c r="N43" i="7"/>
  <c r="M43" i="7"/>
  <c r="T42" i="7"/>
  <c r="S42" i="7"/>
  <c r="R42" i="7"/>
  <c r="Q42" i="7"/>
  <c r="P42" i="7"/>
  <c r="O42" i="7"/>
  <c r="N42" i="7"/>
  <c r="M42" i="7"/>
  <c r="T41" i="7"/>
  <c r="S41" i="7"/>
  <c r="R41" i="7"/>
  <c r="T40" i="7"/>
  <c r="S40" i="7"/>
  <c r="Q40" i="7"/>
  <c r="D40" i="7"/>
  <c r="T39" i="7"/>
  <c r="S39" i="7"/>
  <c r="P39" i="7"/>
  <c r="T38" i="7"/>
  <c r="S38" i="7"/>
  <c r="O38" i="7"/>
  <c r="T37" i="7"/>
  <c r="S37" i="7"/>
  <c r="N37" i="7"/>
  <c r="T36" i="7"/>
  <c r="S36" i="7"/>
  <c r="M36" i="7"/>
  <c r="L36" i="7"/>
  <c r="F35" i="7"/>
  <c r="D34" i="7"/>
  <c r="F34" i="7" s="1"/>
  <c r="D33" i="7"/>
  <c r="F33" i="7" s="1"/>
  <c r="F32" i="7"/>
  <c r="F31" i="7"/>
  <c r="F30" i="7"/>
  <c r="F29" i="7"/>
  <c r="F28" i="7"/>
  <c r="N35" i="7" s="1"/>
  <c r="F27" i="7"/>
  <c r="F26" i="7"/>
  <c r="F44" i="7" l="1"/>
  <c r="D42" i="7" s="1"/>
  <c r="L37" i="7"/>
  <c r="M37" i="7" s="1"/>
  <c r="N36" i="7"/>
  <c r="O35" i="7"/>
  <c r="D41" i="7" l="1"/>
  <c r="D44" i="7"/>
  <c r="D49" i="7"/>
  <c r="D50" i="7" s="1"/>
  <c r="D43" i="7"/>
  <c r="L38" i="7"/>
  <c r="O36" i="7"/>
  <c r="O37" i="7"/>
  <c r="P35" i="7"/>
  <c r="D45" i="7" l="1"/>
  <c r="U42" i="7" s="1"/>
  <c r="M38" i="7"/>
  <c r="N38" i="7"/>
  <c r="L39" i="7"/>
  <c r="P37" i="7"/>
  <c r="P36" i="7"/>
  <c r="Q35" i="7"/>
  <c r="P38" i="7"/>
  <c r="U43" i="7" l="1"/>
  <c r="M39" i="7"/>
  <c r="N39" i="7"/>
  <c r="O39" i="7"/>
  <c r="Q37" i="7"/>
  <c r="L40" i="7"/>
  <c r="Q38" i="7"/>
  <c r="Q36" i="7"/>
  <c r="R35" i="7"/>
  <c r="Q39" i="7"/>
  <c r="M40" i="7" l="1"/>
  <c r="N40" i="7"/>
  <c r="O40" i="7"/>
  <c r="P40" i="7"/>
  <c r="R38" i="7"/>
  <c r="U38" i="7" s="1"/>
  <c r="R36" i="7"/>
  <c r="U36" i="7" s="1"/>
  <c r="S35" i="7"/>
  <c r="L41" i="7"/>
  <c r="R39" i="7"/>
  <c r="U39" i="7" s="1"/>
  <c r="R37" i="7"/>
  <c r="U37" i="7" s="1"/>
  <c r="R40" i="7"/>
  <c r="M41" i="7" l="1"/>
  <c r="N41" i="7"/>
  <c r="O41" i="7"/>
  <c r="P41" i="7"/>
  <c r="Q41" i="7"/>
  <c r="L42" i="7"/>
  <c r="T35" i="7"/>
  <c r="L43" i="7" s="1"/>
  <c r="U40" i="7"/>
  <c r="U41" i="7" l="1"/>
  <c r="U45" i="7" s="1"/>
  <c r="D46" i="7" s="1"/>
  <c r="D47" i="7" s="1"/>
  <c r="D51" i="7" s="1"/>
  <c r="D48" i="7" l="1"/>
  <c r="E48" i="7"/>
  <c r="G46" i="7"/>
  <c r="D55" i="7"/>
  <c r="D52" i="7" l="1"/>
  <c r="G48" i="7"/>
  <c r="D54" i="7" l="1"/>
  <c r="D53" i="7"/>
  <c r="C19" i="1" l="1"/>
  <c r="C24" i="1" l="1"/>
  <c r="C25" i="1" s="1"/>
  <c r="C26" i="1" l="1"/>
  <c r="C27" i="1" s="1"/>
</calcChain>
</file>

<file path=xl/comments1.xml><?xml version="1.0" encoding="utf-8"?>
<comments xmlns="http://schemas.openxmlformats.org/spreadsheetml/2006/main">
  <authors>
    <author>Chris Oberhauser</author>
  </authors>
  <commentList>
    <comment ref="C18" authorId="0">
      <text>
        <r>
          <rPr>
            <b/>
            <sz val="9"/>
            <color indexed="81"/>
            <rFont val="Tahoma"/>
            <family val="2"/>
          </rPr>
          <t>Applied to CLKIN input</t>
        </r>
        <r>
          <rPr>
            <sz val="9"/>
            <color indexed="81"/>
            <rFont val="Tahoma"/>
            <family val="2"/>
          </rPr>
          <t xml:space="preserve">
Use 42MHz for Internal divider value.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Applied to TBCLK input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Chris Oberhauser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 xml:space="preserve">Note: </t>
        </r>
        <r>
          <rPr>
            <sz val="9"/>
            <color indexed="81"/>
            <rFont val="Tahoma"/>
            <family val="2"/>
          </rPr>
          <t xml:space="preserve">1oz copper is 35.6µm
</t>
        </r>
      </text>
    </comment>
  </commentList>
</comments>
</file>

<file path=xl/comments3.xml><?xml version="1.0" encoding="utf-8"?>
<comments xmlns="http://schemas.openxmlformats.org/spreadsheetml/2006/main">
  <authors>
    <author>SVA Employee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Qmax = Rp_parasitic*</t>
        </r>
        <r>
          <rPr>
            <b/>
            <sz val="12"/>
            <color indexed="81"/>
            <rFont val="Symbol"/>
            <family val="1"/>
            <charset val="2"/>
          </rPr>
          <t>Ö</t>
        </r>
        <r>
          <rPr>
            <b/>
            <sz val="9"/>
            <color indexed="81"/>
            <rFont val="Tahoma"/>
            <family val="2"/>
          </rPr>
          <t>Csens/Lsens[initial]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Maximum Inductance
variation due to
target movement as a ratio compared to initial Lsen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Sensor Inductance
(dist=0 to target)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Lfinal = Lvariation*Linitial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Oscillation Frequency:
Fosc =1/(2</t>
        </r>
        <r>
          <rPr>
            <b/>
            <sz val="9"/>
            <color indexed="81"/>
            <rFont val="Calibri"/>
            <family val="2"/>
          </rPr>
          <t>π</t>
        </r>
        <r>
          <rPr>
            <b/>
            <sz val="9"/>
            <color indexed="81"/>
            <rFont val="Symbol"/>
            <family val="1"/>
            <charset val="2"/>
          </rPr>
          <t>Ö</t>
        </r>
        <r>
          <rPr>
            <b/>
            <sz val="9"/>
            <color indexed="81"/>
            <rFont val="Tahoma"/>
            <family val="2"/>
          </rPr>
          <t>Lsens.Csens)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Equivalent Parallel 
Parasitic Resistance (d=0):
Rp = Lsens[final] / ( Csens.Rs 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6" authorId="0">
      <text>
        <r>
          <rPr>
            <b/>
            <sz val="9"/>
            <color indexed="81"/>
            <rFont val="Tahoma"/>
            <family val="2"/>
          </rPr>
          <t>Qmin = RpMIN*</t>
        </r>
        <r>
          <rPr>
            <b/>
            <sz val="9"/>
            <color indexed="81"/>
            <rFont val="Symbol"/>
            <family val="1"/>
            <charset val="2"/>
          </rPr>
          <t>Ö</t>
        </r>
        <r>
          <rPr>
            <b/>
            <sz val="9"/>
            <color indexed="81"/>
            <rFont val="Tahoma"/>
            <family val="2"/>
          </rPr>
          <t>Csens/Lsens[final]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Detector Resistance (d=0):
Rff = 1.66/( Fosc*</t>
        </r>
        <r>
          <rPr>
            <b/>
            <sz val="12"/>
            <color indexed="81"/>
            <rFont val="Symbol"/>
            <family val="1"/>
            <charset val="2"/>
          </rPr>
          <t>p</t>
        </r>
        <r>
          <rPr>
            <b/>
            <sz val="9"/>
            <color indexed="81"/>
            <rFont val="Tahoma"/>
            <family val="2"/>
          </rPr>
          <t>*Cff 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Chris Oberhauser</author>
  </authors>
  <commentList>
    <comment ref="C12" authorId="0">
      <text>
        <r>
          <rPr>
            <sz val="9"/>
            <color indexed="81"/>
            <rFont val="Tahoma"/>
            <family val="2"/>
          </rPr>
          <t>This is typically between 0.5 and 0.85</t>
        </r>
      </text>
    </comment>
  </commentList>
</comments>
</file>

<file path=xl/sharedStrings.xml><?xml version="1.0" encoding="utf-8"?>
<sst xmlns="http://schemas.openxmlformats.org/spreadsheetml/2006/main" count="751" uniqueCount="502">
  <si>
    <t>MHz</t>
  </si>
  <si>
    <t>Hz</t>
  </si>
  <si>
    <t>Sensor Frequency</t>
  </si>
  <si>
    <t>cm</t>
  </si>
  <si>
    <t>Remote Sensor Distance Calculator</t>
  </si>
  <si>
    <t>Maximum Distance:</t>
  </si>
  <si>
    <t>Solve for maximum distance with a given sensor frequency</t>
  </si>
  <si>
    <t>Device:</t>
  </si>
  <si>
    <t>Solve for sensor frequency for a given distance</t>
  </si>
  <si>
    <t>Maximum Sensor Frequency</t>
  </si>
  <si>
    <t>LDC1000</t>
  </si>
  <si>
    <t>This tool does not include effects from environmental noise, which could also reduce the maximum effective sensor distance.</t>
  </si>
  <si>
    <t>Use of twisted pair is recommended for remote sensor placement.</t>
  </si>
  <si>
    <t>Fmax (MHz)</t>
  </si>
  <si>
    <t>Fmin(MHz)</t>
  </si>
  <si>
    <t>Device</t>
  </si>
  <si>
    <r>
      <rPr>
        <sz val="11"/>
        <color theme="1"/>
        <rFont val="Calibri"/>
        <family val="2"/>
      </rPr>
      <t>×</t>
    </r>
    <r>
      <rPr>
        <sz val="11"/>
        <color theme="1"/>
        <rFont val="Calibri"/>
        <family val="2"/>
        <scheme val="minor"/>
      </rPr>
      <t xml:space="preserve"> speed of light</t>
    </r>
  </si>
  <si>
    <t xml:space="preserve">Reference Frequency </t>
  </si>
  <si>
    <t>LDC Response Setting</t>
  </si>
  <si>
    <t>Reference Frequency</t>
  </si>
  <si>
    <t>Estimator tool for circular coils. This tool is provided without warranty or support. User assumes all liability.</t>
  </si>
  <si>
    <t>Layer Stackup</t>
  </si>
  <si>
    <t>Enter only in Yellow Fields (pull-down for mm or mil)</t>
  </si>
  <si>
    <t>Results in Orange Fields</t>
  </si>
  <si>
    <t>LC tank calculations</t>
  </si>
  <si>
    <t>Operating temperature</t>
  </si>
  <si>
    <t>T</t>
  </si>
  <si>
    <r>
      <rPr>
        <sz val="12"/>
        <color theme="1"/>
        <rFont val="Calibri"/>
        <family val="2"/>
      </rPr>
      <t>°</t>
    </r>
    <r>
      <rPr>
        <sz val="12"/>
        <color theme="1"/>
        <rFont val="Calibri"/>
        <family val="2"/>
        <scheme val="minor"/>
      </rPr>
      <t>C</t>
    </r>
  </si>
  <si>
    <t>Enter operating temperature</t>
  </si>
  <si>
    <t>C</t>
  </si>
  <si>
    <t>pF</t>
  </si>
  <si>
    <t>Select LC tank capacitance</t>
  </si>
  <si>
    <t>Layers</t>
  </si>
  <si>
    <t>M</t>
  </si>
  <si>
    <r>
      <t>Number of layers on PCB board (1≤M</t>
    </r>
    <r>
      <rPr>
        <sz val="12"/>
        <color theme="1"/>
        <rFont val="Calibri"/>
        <family val="2"/>
      </rPr>
      <t>≤</t>
    </r>
    <r>
      <rPr>
        <sz val="12"/>
        <color theme="1"/>
        <rFont val="Calibri"/>
        <family val="2"/>
        <scheme val="minor"/>
      </rPr>
      <t>8)</t>
    </r>
  </si>
  <si>
    <t>Turns</t>
  </si>
  <si>
    <t>N</t>
  </si>
  <si>
    <t>Number of turns per layer</t>
  </si>
  <si>
    <t>Outer diameter of the inductor</t>
  </si>
  <si>
    <t>dout</t>
  </si>
  <si>
    <t>mm</t>
  </si>
  <si>
    <t>Outer Diameter of the spiral inductor</t>
  </si>
  <si>
    <t>din</t>
  </si>
  <si>
    <t>Inner diameter of the spiral inductor (mm or mil)</t>
  </si>
  <si>
    <t>spacing between traces</t>
  </si>
  <si>
    <t>S</t>
  </si>
  <si>
    <t>mil</t>
  </si>
  <si>
    <t>Space between traces (mm or mil)</t>
  </si>
  <si>
    <t>width of trace</t>
  </si>
  <si>
    <t>w</t>
  </si>
  <si>
    <t>Width of the trace  (mm or mil)</t>
  </si>
  <si>
    <t>Space between layer 1 and 2  (mm or mil)</t>
  </si>
  <si>
    <t>Space between layer 2 and 3  (mm or mil)</t>
  </si>
  <si>
    <t>Space between layer 3 and 4 (mm or mil)</t>
  </si>
  <si>
    <t>Space between layer 4 and 5  (mm or mil)</t>
  </si>
  <si>
    <t>Space between layer 5 and 6  (mm or mil)</t>
  </si>
  <si>
    <t>Self and Mutual Inductance Matrix (computed - do not modify directly)</t>
  </si>
  <si>
    <t>Space between layer 6 and 7  (mm or mil)</t>
  </si>
  <si>
    <t>Coupling Coef</t>
  </si>
  <si>
    <t>Distance between Layers (mm)</t>
  </si>
  <si>
    <r>
      <t>Inductance Sum (</t>
    </r>
    <r>
      <rPr>
        <b/>
        <sz val="11"/>
        <color rgb="FFFA7D00"/>
        <rFont val="Calibri"/>
        <family val="2"/>
      </rPr>
      <t>µ</t>
    </r>
    <r>
      <rPr>
        <b/>
        <sz val="11"/>
        <color rgb="FFFA7D00"/>
        <rFont val="Calibri"/>
        <family val="2"/>
        <scheme val="minor"/>
      </rPr>
      <t>H)</t>
    </r>
  </si>
  <si>
    <t>Space between layer 7 and 8  (mm or mil)</t>
  </si>
  <si>
    <t>x1</t>
  </si>
  <si>
    <t>x2</t>
  </si>
  <si>
    <t>x3</t>
  </si>
  <si>
    <t>x4</t>
  </si>
  <si>
    <t>x5</t>
  </si>
  <si>
    <t>x6</t>
  </si>
  <si>
    <t>x7</t>
  </si>
  <si>
    <t>x8</t>
  </si>
  <si>
    <t>Copper thickness</t>
  </si>
  <si>
    <t>t</t>
  </si>
  <si>
    <t>oz-Cu</t>
  </si>
  <si>
    <t>Copper layer thickness  (mm,Oz-Cu, or mil)</t>
  </si>
  <si>
    <r>
      <t>Conductor Resistivity (at 20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</si>
  <si>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pr</t>
  </si>
  <si>
    <r>
      <rPr>
        <sz val="10"/>
        <color theme="1"/>
        <rFont val="Calibri"/>
        <family val="2"/>
      </rPr>
      <t>Ω</t>
    </r>
    <r>
      <rPr>
        <sz val="10"/>
        <color theme="1"/>
        <rFont val="Calibri"/>
        <family val="2"/>
        <scheme val="minor"/>
      </rPr>
      <t>m</t>
    </r>
  </si>
  <si>
    <t>Distance between layers</t>
  </si>
  <si>
    <t>pr_tc</t>
  </si>
  <si>
    <r>
      <t>%/</t>
    </r>
    <r>
      <rPr>
        <sz val="10"/>
        <color theme="1"/>
        <rFont val="Calibri"/>
        <family val="2"/>
      </rPr>
      <t>°</t>
    </r>
    <r>
      <rPr>
        <sz val="10"/>
        <color theme="1"/>
        <rFont val="Calibri"/>
        <family val="2"/>
        <scheme val="minor"/>
      </rPr>
      <t>C</t>
    </r>
  </si>
  <si>
    <t>Conductor relative permeability</t>
  </si>
  <si>
    <t>ur</t>
  </si>
  <si>
    <t>Parasitic capacitance</t>
  </si>
  <si>
    <t>Cpar</t>
  </si>
  <si>
    <t>Estimate - generally in the rage of 1 to 5 pf</t>
  </si>
  <si>
    <t>Copper resistivity at operating temperature</t>
  </si>
  <si>
    <t xml:space="preserve">pr_t </t>
  </si>
  <si>
    <r>
      <rPr>
        <sz val="9"/>
        <color theme="1"/>
        <rFont val="Calibri"/>
        <family val="2"/>
      </rPr>
      <t>Ω</t>
    </r>
    <r>
      <rPr>
        <sz val="9"/>
        <color theme="1"/>
        <rFont val="Calibri"/>
        <family val="2"/>
        <scheme val="minor"/>
      </rPr>
      <t>m</t>
    </r>
  </si>
  <si>
    <t>Average diameter</t>
  </si>
  <si>
    <t>davg</t>
  </si>
  <si>
    <t>Geometric mean diameter</t>
  </si>
  <si>
    <t>p</t>
  </si>
  <si>
    <t>Inductor inner diameter</t>
  </si>
  <si>
    <t>Self inductance per layer</t>
  </si>
  <si>
    <t>L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</si>
  <si>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H</t>
    </r>
  </si>
  <si>
    <r>
      <t>Total Inductance (</t>
    </r>
    <r>
      <rPr>
        <b/>
        <sz val="12"/>
        <color theme="6" tint="-0.499984740745262"/>
        <rFont val="Calibri"/>
        <family val="2"/>
      </rPr>
      <t>µ</t>
    </r>
    <r>
      <rPr>
        <b/>
        <sz val="12"/>
        <color theme="6" tint="-0.499984740745262"/>
        <rFont val="Calibri"/>
        <family val="2"/>
        <scheme val="minor"/>
      </rPr>
      <t>H)</t>
    </r>
  </si>
  <si>
    <t>Total Inductance</t>
  </si>
  <si>
    <t>Ltotal</t>
  </si>
  <si>
    <r>
      <rPr>
        <b/>
        <sz val="10"/>
        <color theme="1"/>
        <rFont val="Calibri"/>
        <family val="2"/>
      </rPr>
      <t>µ</t>
    </r>
    <r>
      <rPr>
        <b/>
        <sz val="10"/>
        <color theme="1"/>
        <rFont val="Calibri"/>
        <family val="2"/>
        <scheme val="minor"/>
      </rPr>
      <t>H</t>
    </r>
  </si>
  <si>
    <t>Sensor Operating Frequency</t>
  </si>
  <si>
    <t>Fres</t>
  </si>
  <si>
    <t>kHz</t>
  </si>
  <si>
    <t>coil length per layer</t>
  </si>
  <si>
    <t>l</t>
  </si>
  <si>
    <t>DC resistance</t>
  </si>
  <si>
    <t>Rdc</t>
  </si>
  <si>
    <t>Ω</t>
  </si>
  <si>
    <t>Skin depth</t>
  </si>
  <si>
    <t>sd</t>
  </si>
  <si>
    <t>AC resistance (skin effect only)</t>
  </si>
  <si>
    <t>Rac</t>
  </si>
  <si>
    <t>Rp</t>
  </si>
  <si>
    <t>Q factor</t>
  </si>
  <si>
    <t>Q</t>
  </si>
  <si>
    <t>Self resonant frequency</t>
  </si>
  <si>
    <t>SRF</t>
  </si>
  <si>
    <t>Ver N</t>
  </si>
  <si>
    <t>Spring inductance estimate according to Wheeler's formula</t>
  </si>
  <si>
    <t>L_series</t>
  </si>
  <si>
    <t>f_compressed</t>
  </si>
  <si>
    <t>f_extended</t>
  </si>
  <si>
    <t>d</t>
  </si>
  <si>
    <t>coil diameter</t>
  </si>
  <si>
    <t>number of turns</t>
  </si>
  <si>
    <t>length</t>
  </si>
  <si>
    <t>codewords difference</t>
  </si>
  <si>
    <t>LDC Calculations Tool</t>
  </si>
  <si>
    <t>Remote Coil Maximum Distance Calculator</t>
  </si>
  <si>
    <t>Placing a capacitor of 10-50pF from the INA/INB pins to ground can mitigate noise issues.</t>
  </si>
  <si>
    <t>Frequency =</t>
  </si>
  <si>
    <t>Cap (nf)</t>
  </si>
  <si>
    <t>c(nF)</t>
  </si>
  <si>
    <t>L(uH)</t>
  </si>
  <si>
    <t>Para Cap</t>
  </si>
  <si>
    <t>c(nf)</t>
  </si>
  <si>
    <t>l(uh)</t>
  </si>
  <si>
    <t>Max Avail Cap</t>
  </si>
  <si>
    <t>Parasitic Region</t>
  </si>
  <si>
    <t>pt1</t>
  </si>
  <si>
    <t>pt2</t>
  </si>
  <si>
    <t>pt3</t>
  </si>
  <si>
    <t>pt4</t>
  </si>
  <si>
    <r>
      <t>Q=RP/</t>
    </r>
    <r>
      <rPr>
        <sz val="11"/>
        <color rgb="FF00B0F0"/>
        <rFont val="Calibri"/>
        <family val="2"/>
      </rPr>
      <t>ω</t>
    </r>
    <r>
      <rPr>
        <sz val="12.65"/>
        <color rgb="FF00B0F0"/>
        <rFont val="Calibri"/>
        <family val="2"/>
      </rPr>
      <t>L</t>
    </r>
  </si>
  <si>
    <r>
      <t xml:space="preserve">L = </t>
    </r>
    <r>
      <rPr>
        <sz val="12.65"/>
        <color rgb="FF00B0F0"/>
        <rFont val="Calibri"/>
        <family val="2"/>
      </rPr>
      <t>Rp/2πfQ</t>
    </r>
  </si>
  <si>
    <t>µH</t>
  </si>
  <si>
    <t>f</t>
  </si>
  <si>
    <t>Response Time</t>
  </si>
  <si>
    <t>pf</t>
  </si>
  <si>
    <t>Inductance</t>
  </si>
  <si>
    <t>Melting point</t>
  </si>
  <si>
    <t>°F</t>
  </si>
  <si>
    <t>Skin Depth Calculator</t>
  </si>
  <si>
    <t>Material</t>
  </si>
  <si>
    <t>Copper</t>
  </si>
  <si>
    <t>Conductivity</t>
  </si>
  <si>
    <t>µΩ-cm</t>
  </si>
  <si>
    <t>Ωm</t>
  </si>
  <si>
    <t>Relative Permeability</t>
  </si>
  <si>
    <t>u</t>
  </si>
  <si>
    <t>H/m</t>
  </si>
  <si>
    <t>Skin Depth</t>
  </si>
  <si>
    <t>m</t>
  </si>
  <si>
    <t>µm</t>
  </si>
  <si>
    <t>Material Thickness</t>
  </si>
  <si>
    <t xml:space="preserve">m </t>
  </si>
  <si>
    <t>Percentage of Current:</t>
  </si>
  <si>
    <t>skin depths</t>
  </si>
  <si>
    <t>Data Courtesy of Microwaves101.com</t>
  </si>
  <si>
    <t>Bulk resistivity</t>
  </si>
  <si>
    <t>°C</t>
  </si>
  <si>
    <t>Aluminum</t>
  </si>
  <si>
    <t>Al</t>
  </si>
  <si>
    <t>Carbon</t>
  </si>
  <si>
    <t>Chromium</t>
  </si>
  <si>
    <t>Cr</t>
  </si>
  <si>
    <t>Cu</t>
  </si>
  <si>
    <t>Gold</t>
  </si>
  <si>
    <t>Au</t>
  </si>
  <si>
    <t>Iron</t>
  </si>
  <si>
    <t>Fe</t>
  </si>
  <si>
    <t>Lead</t>
  </si>
  <si>
    <t>Pb</t>
  </si>
  <si>
    <t>Magnesium</t>
  </si>
  <si>
    <t>Mg</t>
  </si>
  <si>
    <t>Nickel</t>
  </si>
  <si>
    <t>Ni</t>
  </si>
  <si>
    <t>Nichrome</t>
  </si>
  <si>
    <t>Ni80/Cr20</t>
  </si>
  <si>
    <t>0 to 50</t>
  </si>
  <si>
    <t>Silver</t>
  </si>
  <si>
    <t>Ag</t>
  </si>
  <si>
    <t>Tantalum</t>
  </si>
  <si>
    <t>Ta</t>
  </si>
  <si>
    <t>Tantalum nitride</t>
  </si>
  <si>
    <t>TaN</t>
  </si>
  <si>
    <t>Tin (white)</t>
  </si>
  <si>
    <t>Sn</t>
  </si>
  <si>
    <t>Titanium</t>
  </si>
  <si>
    <t>Ti</t>
  </si>
  <si>
    <t>Tungsten</t>
  </si>
  <si>
    <t>W</t>
  </si>
  <si>
    <t>Zinc</t>
  </si>
  <si>
    <t>Zn</t>
  </si>
  <si>
    <t>Zirconium</t>
  </si>
  <si>
    <t>Zr</t>
  </si>
  <si>
    <t>Skin Depth Calculation</t>
  </si>
  <si>
    <t>Number of Skin Depths:</t>
  </si>
  <si>
    <t>Csensor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</si>
  <si>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H</t>
    </r>
  </si>
  <si>
    <t>Fdelta</t>
  </si>
  <si>
    <t>may be needed to satisfy boundary conditions</t>
  </si>
  <si>
    <t>%</t>
  </si>
  <si>
    <t>Target Material</t>
  </si>
  <si>
    <t>Courtesy of Microwaves101.com</t>
  </si>
  <si>
    <t>Set in Register 0x04</t>
  </si>
  <si>
    <t>LDC output from Registers [0x23:0x25]</t>
  </si>
  <si>
    <t>AC currents remain on the surface of conductor, decaying in an exponential manner. The</t>
  </si>
  <si>
    <t>depth of ~63% of the current is called the skin depth. A higher frequency will have a shallower skin</t>
  </si>
  <si>
    <t>An LDC can use a spring as a sensor, and measure contraction or expansion of the spring.</t>
  </si>
  <si>
    <t>Compressed Spring Settings</t>
  </si>
  <si>
    <t>Spring inductance</t>
  </si>
  <si>
    <t>First, enter the spring mechanical parameters at compressed and extended settings</t>
  </si>
  <si>
    <t xml:space="preserve">then then configure the LDC to calculate the codeword difference; the larger the </t>
  </si>
  <si>
    <t>code word difference between compressed and extended conditions, the more physical</t>
  </si>
  <si>
    <t xml:space="preserve">measurement resolution available. </t>
  </si>
  <si>
    <t>Extended Spring Settings</t>
  </si>
  <si>
    <t>Lmin</t>
  </si>
  <si>
    <t>Lmax</t>
  </si>
  <si>
    <t>Includes the L_series value</t>
  </si>
  <si>
    <t>Note that for some springs, a series inductor may be necessary for a compliant sensor frequency.</t>
  </si>
  <si>
    <t>LDC1000/LDC1041 Inductance Measurement</t>
  </si>
  <si>
    <t>LDC1041</t>
  </si>
  <si>
    <t>LDC1000/LDC1041/LDC1051 Sensor Region</t>
  </si>
  <si>
    <t>PCB thickness between 1st layer and 2nd layer</t>
  </si>
  <si>
    <t>PCB thickness between 2nd layer and 3rd layer</t>
  </si>
  <si>
    <t>PCB thickness between 3rd layer and 4th layer</t>
  </si>
  <si>
    <t>PCB thickness between 4th layer and 5th layer</t>
  </si>
  <si>
    <t>PCB thickness between 5th layer and 6th layer</t>
  </si>
  <si>
    <t>PCB thickness between 6th layer and 7th layer</t>
  </si>
  <si>
    <t>PCB thickness between 7th layer and 8th layer</t>
  </si>
  <si>
    <t>h12</t>
  </si>
  <si>
    <t>h23</t>
  </si>
  <si>
    <t>h34</t>
  </si>
  <si>
    <t>h45</t>
  </si>
  <si>
    <t>h56</t>
  </si>
  <si>
    <t>h67</t>
  </si>
  <si>
    <t>h78</t>
  </si>
  <si>
    <t>This tool graphs the operating region of the LDC1000- by setting a specific RP and Q, you can determine what L &amp; C is useable for a sensor.</t>
  </si>
  <si>
    <r>
      <t>L(</t>
    </r>
    <r>
      <rPr>
        <i/>
        <sz val="11"/>
        <color theme="1"/>
        <rFont val="Calibri"/>
        <family val="2"/>
      </rPr>
      <t>µ</t>
    </r>
    <r>
      <rPr>
        <i/>
        <sz val="11"/>
        <color theme="1"/>
        <rFont val="Calibri"/>
        <family val="2"/>
        <scheme val="minor"/>
      </rPr>
      <t>H) for given Fresonance</t>
    </r>
  </si>
  <si>
    <t>Return to Main Page</t>
  </si>
  <si>
    <t>Return to Main page</t>
  </si>
  <si>
    <t>Set the desired frequency lines in cells D9:H9.</t>
  </si>
  <si>
    <t>Set the min and Max capacitances to graph in C11 and C14.</t>
  </si>
  <si>
    <t>Set the Q and RP of two different sensors in A35/B35 andA39/B39</t>
  </si>
  <si>
    <t>Quick Sensor L/C/f Calculator</t>
  </si>
  <si>
    <t>Sample Rate</t>
  </si>
  <si>
    <t>ksps</t>
  </si>
  <si>
    <t xml:space="preserve">A lower Q sensor (&lt;15) will not be able to work at as a large a distance. </t>
  </si>
  <si>
    <t>IC Max Sensor Frequency:</t>
  </si>
  <si>
    <t>IC Min Sensor Frequency:</t>
  </si>
  <si>
    <t>Cable Velocity Factor:</t>
  </si>
  <si>
    <t>Sensor Frequency:</t>
  </si>
  <si>
    <t>Desired Distance:</t>
  </si>
  <si>
    <t>number of registers to set</t>
  </si>
  <si>
    <t>Number of channels of measurement</t>
  </si>
  <si>
    <t>Normalized Shutdown current</t>
  </si>
  <si>
    <t>Normalized Sleep current</t>
  </si>
  <si>
    <t>Normalized Active current</t>
  </si>
  <si>
    <t>LDC1612/4</t>
  </si>
  <si>
    <t>LDC1312/4</t>
  </si>
  <si>
    <t>LDCs can utilize a remote sensor. This tool calculates the absolute maximum</t>
  </si>
  <si>
    <t>other system characteristics can reduce this range significantly.</t>
  </si>
  <si>
    <t>distance the sensor can be located from the LDC. Note that environmental effects and</t>
  </si>
  <si>
    <t>Response time</t>
  </si>
  <si>
    <t>Reference Count</t>
  </si>
  <si>
    <t>Conversion Time</t>
  </si>
  <si>
    <t>µs</t>
  </si>
  <si>
    <t>Approx Sample Rate</t>
  </si>
  <si>
    <t>Select LDC Device:</t>
  </si>
  <si>
    <t>LDC131x/LDC161x</t>
  </si>
  <si>
    <t>Note: for LDC131x, values greater than 65535 do not provide improved resolution</t>
  </si>
  <si>
    <t>Effective Code Difference</t>
  </si>
  <si>
    <t>fsensor</t>
  </si>
  <si>
    <t>Device Active current: derived from ref frequency (mA)</t>
  </si>
  <si>
    <t>Total Active current - including sensor (mA)</t>
  </si>
  <si>
    <t>ms</t>
  </si>
  <si>
    <t>Range: 48 to 1048560</t>
  </si>
  <si>
    <t>I2C Datarate</t>
  </si>
  <si>
    <t>kbit/s</t>
  </si>
  <si>
    <t>Desired Sample Rate</t>
  </si>
  <si>
    <t>Sensor Q (max)</t>
  </si>
  <si>
    <t>POR time</t>
  </si>
  <si>
    <t>I2C config time</t>
  </si>
  <si>
    <t>i2C clocks to configure one register</t>
  </si>
  <si>
    <t>Active mode start time</t>
  </si>
  <si>
    <t>channel switching overhead time</t>
  </si>
  <si>
    <t>total active time per second</t>
  </si>
  <si>
    <t>LDC Device</t>
  </si>
  <si>
    <t>LDC131x</t>
  </si>
  <si>
    <t>Total I2C IO time (in sleep mode)</t>
  </si>
  <si>
    <t>Conversion readback time (in sleep mode; includes sleep command)</t>
  </si>
  <si>
    <t xml:space="preserve">single conversion time  </t>
  </si>
  <si>
    <t>Sensor RP</t>
  </si>
  <si>
    <t>kΩ</t>
  </si>
  <si>
    <t>mA</t>
  </si>
  <si>
    <t>sensor current</t>
  </si>
  <si>
    <t>Shutdown current</t>
  </si>
  <si>
    <t>Sleep current</t>
  </si>
  <si>
    <t>Total Shutdown time</t>
  </si>
  <si>
    <t>This assumes the sensor divider and reference dividers are set to 1.</t>
  </si>
  <si>
    <t>settling time per channel</t>
  </si>
  <si>
    <t>Total Sleep time per second</t>
  </si>
  <si>
    <t>total time per all channels measurement</t>
  </si>
  <si>
    <t>Ideal Settle count</t>
  </si>
  <si>
    <t>LDC161x/LDC131x Current Consumption Estimator</t>
  </si>
  <si>
    <r>
      <rPr>
        <sz val="10"/>
        <color theme="1"/>
        <rFont val="Calibri"/>
        <family val="2"/>
      </rPr>
      <t>µ</t>
    </r>
    <r>
      <rPr>
        <sz val="10"/>
        <color theme="1"/>
        <rFont val="Calibri"/>
        <family val="2"/>
        <scheme val="minor"/>
      </rPr>
      <t>A</t>
    </r>
  </si>
  <si>
    <t>LDC1312/LDC1314/LDC1612/LDC1614 Sensor Region</t>
  </si>
  <si>
    <t>Set the desired frequency lines in cells D73:H73.</t>
  </si>
  <si>
    <t>Set the min and Max capacitances to graph in C75 and C78.</t>
  </si>
  <si>
    <t>Set the Q and RP of two different sensors in A99/B99 andA103/B103</t>
  </si>
  <si>
    <t>LDC161x Inductive Measurement</t>
  </si>
  <si>
    <t>Conductor Resistivity temperature coef</t>
  </si>
  <si>
    <t>relative Permiablity</t>
  </si>
  <si>
    <t>LDC1000 Sample Rate</t>
  </si>
  <si>
    <t>This tool calculates the sensor frequency and inductance for the Multichannel LDCs</t>
  </si>
  <si>
    <t>ppm/°C</t>
  </si>
  <si>
    <t>Resistivity Tempco (TCR)</t>
  </si>
  <si>
    <t>Composition</t>
  </si>
  <si>
    <t>fullscale resolution</t>
  </si>
  <si>
    <t>LDC131x Gain</t>
  </si>
  <si>
    <t>Value programmed into OFFSET_CHx Register</t>
  </si>
  <si>
    <t>Sensor Capacitance</t>
  </si>
  <si>
    <t>Values below 100pf may exhibit parasitic interactions</t>
  </si>
  <si>
    <t>Reference Divider</t>
  </si>
  <si>
    <t>Fin Divider</t>
  </si>
  <si>
    <t>Select LDC</t>
  </si>
  <si>
    <t>CLKIN Frequency</t>
  </si>
  <si>
    <t>LDC Output Code Calculator</t>
  </si>
  <si>
    <t>TI LDC InductanceCalculator</t>
  </si>
  <si>
    <t>Inductance&amp;Frequency from Output Code</t>
  </si>
  <si>
    <t>LDC Current consumption using Sleep Mode</t>
  </si>
  <si>
    <t>Note on usage of these worksheets:</t>
  </si>
  <si>
    <t>Programed settle count</t>
  </si>
  <si>
    <t>Click on a tool from the list below:</t>
  </si>
  <si>
    <t>Quick Sensor L/C/f Calculator:</t>
  </si>
  <si>
    <t>If you want to minimize the effect of a conductor, use a target thickness of less than 0.5 skin depths</t>
  </si>
  <si>
    <t xml:space="preserve">For more information: read the blog post at: </t>
  </si>
  <si>
    <t>http://e2e.ti.com/blogs_/b/analogwire/archive/2014/11/21/inductive-sensing-sensor-frequency-constraints</t>
  </si>
  <si>
    <t xml:space="preserve">depth. It is recommended to use a target thickness of at least 3 skin depths for a good LDC measurement. </t>
  </si>
  <si>
    <t>Resonance impedance estimate</t>
  </si>
  <si>
    <t>Note that this does not include target effects</t>
  </si>
  <si>
    <t>Quick Sensor Rp/Rs/Q Calculator:</t>
  </si>
  <si>
    <t>Sample Rate Calculator</t>
  </si>
  <si>
    <t>Sensor Inductance</t>
  </si>
  <si>
    <t>Calculated Sensor Frequency</t>
  </si>
  <si>
    <t>Sensor Frequency 
(copy from C11 if desired)</t>
  </si>
  <si>
    <t>Settle Count</t>
  </si>
  <si>
    <t>Number of Channels</t>
  </si>
  <si>
    <t>Approx. Measurement Resolution</t>
  </si>
  <si>
    <t>bits</t>
  </si>
  <si>
    <t>Conversion Interval</t>
  </si>
  <si>
    <t>Spiral Inductor Designer</t>
  </si>
  <si>
    <t>Note: these calculation tools are provided without any warranty. User should independently verify any calculation results.</t>
  </si>
  <si>
    <t>Sensor Region Graph</t>
  </si>
  <si>
    <t xml:space="preserve">Device </t>
  </si>
  <si>
    <t>LDC131x Output Gain</t>
  </si>
  <si>
    <t>Only applies to LDC131x</t>
  </si>
  <si>
    <t>Reference Count
(assumed same for all channels)</t>
  </si>
  <si>
    <t>Approx. L Measurement Resolution</t>
  </si>
  <si>
    <t xml:space="preserve">Note that the resolution calculations are optimum device limitations may not be realized by the system </t>
  </si>
  <si>
    <t>The L and C values can be used to determine the sensor frequency if needed.</t>
  </si>
  <si>
    <t>This tool calculates sample rate and resolution for the LDC.</t>
  </si>
  <si>
    <t>Coil Fill Ratio</t>
  </si>
  <si>
    <t>Outer diameter of inductor in mm</t>
  </si>
  <si>
    <t>din/dout</t>
  </si>
  <si>
    <r>
      <t>Reminder: 1oz copper is ~35</t>
    </r>
    <r>
      <rPr>
        <sz val="11"/>
        <color theme="1"/>
        <rFont val="Calibri"/>
        <family val="2"/>
      </rPr>
      <t>µm thick.</t>
    </r>
  </si>
  <si>
    <t>um</t>
  </si>
  <si>
    <t>Enter values or select settings in yellow cells only.</t>
  </si>
  <si>
    <t>Results provided in Orange cells. Do not edit these fields.</t>
  </si>
  <si>
    <t>Intermediate Calculation cells. Do not edit.</t>
  </si>
  <si>
    <t>LDC1101 Parameter Configuration for Rp Measurements</t>
  </si>
  <si>
    <t xml:space="preserve">time constants for the LDC1101. </t>
  </si>
  <si>
    <t>Sensor Parameters:</t>
  </si>
  <si>
    <t>Lsensor (No Target)</t>
  </si>
  <si>
    <t>Lsensor (Closest target)</t>
  </si>
  <si>
    <t xml:space="preserve">fsensor(No Target)  </t>
  </si>
  <si>
    <t>Fsensor(Closest target)</t>
  </si>
  <si>
    <t>Rp_parasitic</t>
  </si>
  <si>
    <t>Loop Parameters:</t>
  </si>
  <si>
    <t xml:space="preserve">Qmax = </t>
  </si>
  <si>
    <t>Qmin =</t>
  </si>
  <si>
    <t>C1 (initial) =</t>
  </si>
  <si>
    <t>C1 (final) =</t>
  </si>
  <si>
    <t>R1 (initial)=</t>
  </si>
  <si>
    <t>R1 (final) =</t>
  </si>
  <si>
    <t>C2 (initial) =</t>
  </si>
  <si>
    <t>C2 (final) =</t>
  </si>
  <si>
    <t>R2 (initial) =</t>
  </si>
  <si>
    <t>R2 (final) =</t>
  </si>
  <si>
    <t>Limits and Parameters</t>
  </si>
  <si>
    <t>pico</t>
  </si>
  <si>
    <t>micro</t>
  </si>
  <si>
    <t>Mega</t>
  </si>
  <si>
    <t>Limits</t>
  </si>
  <si>
    <t>Min</t>
  </si>
  <si>
    <t>Max</t>
  </si>
  <si>
    <t>Lsensor</t>
  </si>
  <si>
    <t>Fosc</t>
  </si>
  <si>
    <t>Qsensor</t>
  </si>
  <si>
    <t>Rpparasitic</t>
  </si>
  <si>
    <t>Vamp</t>
  </si>
  <si>
    <t>Vswing</t>
  </si>
  <si>
    <t>K1 limits</t>
  </si>
  <si>
    <t>F1</t>
  </si>
  <si>
    <t>K1=F1/Fosc</t>
  </si>
  <si>
    <t>RP Listing</t>
  </si>
  <si>
    <t>C1 List</t>
  </si>
  <si>
    <t>C2 List</t>
  </si>
  <si>
    <t>LDC1101 RP Configuration</t>
  </si>
  <si>
    <r>
      <t>k</t>
    </r>
    <r>
      <rPr>
        <sz val="10"/>
        <color theme="1"/>
        <rFont val="Calibri"/>
        <family val="2"/>
      </rPr>
      <t>Ω</t>
    </r>
  </si>
  <si>
    <t>RpMIN Setting</t>
  </si>
  <si>
    <t>RpMAX Setting</t>
  </si>
  <si>
    <t>Spring Sensor Calculation Tool</t>
  </si>
  <si>
    <t>Spring Sensor Calculator Tool</t>
  </si>
  <si>
    <t>0.3&gt;  &gt;0.8 is recommended</t>
  </si>
  <si>
    <t>For the LDC131x/LDC161x, set the input deglitch filter appropriately (Register 0x1B[2:0]).</t>
  </si>
  <si>
    <t>Target Movement Change:</t>
  </si>
  <si>
    <t>LDC1101</t>
  </si>
  <si>
    <t>(registers 0x08:0x0B)</t>
  </si>
  <si>
    <t>(registers 0x10:0x13)</t>
  </si>
  <si>
    <t>Minimum Settle Count Register Setting</t>
  </si>
  <si>
    <t>Channel RCount Setting</t>
  </si>
  <si>
    <t>LDC Current consumption using Shutdown Mode</t>
  </si>
  <si>
    <t xml:space="preserve">This tool calculates the sensor frequency and inductance for the LDC1000/1041/1051. </t>
  </si>
  <si>
    <t>It can calculate the RP+L results for the LDC1101.</t>
  </si>
  <si>
    <t>Max Ref Frequency</t>
  </si>
  <si>
    <t>Max Sensor Frequency</t>
  </si>
  <si>
    <t>LDC131x/LDC161x/LDC1101LHR Inductance Calculator</t>
  </si>
  <si>
    <t>LDC1000/1041/LDC1101(RP+L) Inductance Calculator</t>
  </si>
  <si>
    <t>Calculate the L or RP measurement based on device output code and device settings.</t>
  </si>
  <si>
    <t>Note: LDC1000EVM uses 6MHzm; LDC1101EVM uses 12MHz</t>
  </si>
  <si>
    <t>RP Max setting</t>
  </si>
  <si>
    <t>RP Min Setting</t>
  </si>
  <si>
    <t>LDC1000RP_SETTING(kΩ)</t>
  </si>
  <si>
    <t>LDC1101 RP Setting</t>
  </si>
  <si>
    <t>Active RP List</t>
  </si>
  <si>
    <t>kΩ</t>
  </si>
  <si>
    <t>LDC1101 RP Calculation</t>
  </si>
  <si>
    <t>Max output code</t>
  </si>
  <si>
    <t>LDC1000/10x1 RP Calc</t>
  </si>
  <si>
    <t>RP Decimal Output Code</t>
  </si>
  <si>
    <t>Max fCLKIN</t>
  </si>
  <si>
    <t>It also calculates the output for the LDC1101 LHR conversion result.</t>
  </si>
  <si>
    <t>LDC1614</t>
  </si>
  <si>
    <t>(value in registers 0x08:0x0B)</t>
  </si>
  <si>
    <t>Hex</t>
  </si>
  <si>
    <t>LDC1000/1041/1051/1101 Sample Rate from Device Settings</t>
  </si>
  <si>
    <t>Programmed Register Value</t>
  </si>
  <si>
    <t>Programmed Rcount      0x</t>
  </si>
  <si>
    <t>Sensor capacitance</t>
  </si>
  <si>
    <t>Number of channels</t>
  </si>
  <si>
    <t>LDC161x/LDC131x/LDC1101(LHR) Sample Rate</t>
  </si>
  <si>
    <t>For reference only; enter value into cell below</t>
  </si>
  <si>
    <t xml:space="preserve">Use this tool to calculate the RPMIN/RPMAX and the internal </t>
  </si>
  <si>
    <t>Register TC1 setting</t>
  </si>
  <si>
    <t>Address 0x02</t>
  </si>
  <si>
    <t>Address 0x03</t>
  </si>
  <si>
    <t>Register TC2 setting</t>
  </si>
  <si>
    <t>Register RP_SET setting</t>
  </si>
  <si>
    <t>Address 0x01</t>
  </si>
  <si>
    <t>Lvariation</t>
  </si>
  <si>
    <t>Rpvariation</t>
  </si>
  <si>
    <r>
      <t>this is typically 80%</t>
    </r>
    <r>
      <rPr>
        <sz val="10"/>
        <color theme="1"/>
        <rFont val="Calibri"/>
        <family val="2"/>
      </rPr>
      <t>≤ x</t>
    </r>
    <r>
      <rPr>
        <sz val="10"/>
        <color theme="1"/>
        <rFont val="Calibri"/>
        <family val="2"/>
        <scheme val="minor"/>
      </rPr>
      <t xml:space="preserve"> ≤100%</t>
    </r>
  </si>
  <si>
    <t>After entering the sensor parameters with the target at farthest distance</t>
  </si>
  <si>
    <t>Then fill in the maximum shift in L and RP due to the target movement.</t>
  </si>
  <si>
    <r>
      <t>k</t>
    </r>
    <r>
      <rPr>
        <sz val="9"/>
        <color theme="1"/>
        <rFont val="Calibri"/>
        <family val="2"/>
      </rPr>
      <t>Ω</t>
    </r>
  </si>
  <si>
    <t>R1 Range</t>
  </si>
  <si>
    <t>R2 Range</t>
  </si>
  <si>
    <t>Decimal</t>
  </si>
  <si>
    <t xml:space="preserve">Set this value in Register 0x04 </t>
  </si>
  <si>
    <r>
      <t>this is typically 98%</t>
    </r>
    <r>
      <rPr>
        <sz val="10"/>
        <color theme="1"/>
        <rFont val="Calibri"/>
        <family val="2"/>
      </rPr>
      <t>≤ x</t>
    </r>
    <r>
      <rPr>
        <sz val="10"/>
        <color theme="1"/>
        <rFont val="Calibri"/>
        <family val="2"/>
        <scheme val="minor"/>
      </rPr>
      <t xml:space="preserve"> ≤100%: This is the Resistive shift only, ignoring any L shift</t>
    </r>
  </si>
  <si>
    <t>Rev 5</t>
  </si>
  <si>
    <t>decimal</t>
  </si>
  <si>
    <r>
      <t>LDC1000/1041/1051/LDC1101(RP+L) R</t>
    </r>
    <r>
      <rPr>
        <b/>
        <vertAlign val="subscript"/>
        <sz val="11"/>
        <color theme="1"/>
        <rFont val="Calibri"/>
        <family val="2"/>
        <scheme val="minor"/>
      </rPr>
      <t>P</t>
    </r>
    <r>
      <rPr>
        <b/>
        <sz val="11"/>
        <color theme="1"/>
        <rFont val="Calibri"/>
        <family val="2"/>
        <scheme val="minor"/>
      </rPr>
      <t xml:space="preserve"> Calculator</t>
    </r>
  </si>
  <si>
    <r>
      <t>R</t>
    </r>
    <r>
      <rPr>
        <b/>
        <i/>
        <vertAlign val="subscript"/>
        <sz val="11"/>
        <rFont val="Calibri"/>
        <family val="2"/>
        <scheme val="minor"/>
      </rPr>
      <t>P</t>
    </r>
    <r>
      <rPr>
        <b/>
        <i/>
        <sz val="11"/>
        <rFont val="Calibri"/>
        <family val="2"/>
        <scheme val="minor"/>
      </rPr>
      <t xml:space="preserve"> Measurement</t>
    </r>
  </si>
  <si>
    <t>Average Reference count</t>
  </si>
  <si>
    <r>
      <rPr>
        <i/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REFERENCE</t>
    </r>
    <r>
      <rPr>
        <sz val="11"/>
        <color theme="1"/>
        <rFont val="Calibri"/>
        <family val="2"/>
        <scheme val="minor"/>
      </rPr>
      <t xml:space="preserve"> input to CLKIN</t>
    </r>
  </si>
  <si>
    <t>A2</t>
  </si>
  <si>
    <t>Stainless Steel 316</t>
  </si>
  <si>
    <r>
      <t>µ</t>
    </r>
    <r>
      <rPr>
        <b/>
        <i/>
        <vertAlign val="subscript"/>
        <sz val="11"/>
        <color theme="1"/>
        <rFont val="Calibri"/>
        <family val="2"/>
        <scheme val="minor"/>
      </rPr>
      <t>r</t>
    </r>
  </si>
  <si>
    <t>FeCNiCrMo</t>
  </si>
  <si>
    <t>hex</t>
  </si>
  <si>
    <t>Maximum Device Refence frequency</t>
  </si>
  <si>
    <t>Effective settle count</t>
  </si>
  <si>
    <t>0AB123</t>
  </si>
  <si>
    <t>LDC161x</t>
  </si>
  <si>
    <t>Values below 100pf more likely to encounter parasitic interactions</t>
  </si>
  <si>
    <t>Stainless Steel 430</t>
  </si>
  <si>
    <t>Low carbon Steel 1006</t>
  </si>
  <si>
    <t>https://e2e.ti.com/blogs_/b/analogwire/archive/2014/06/10/inductive-sensing-how-to-use-a-tiny-2mm-pcb-inductor-as-a-sensor</t>
  </si>
  <si>
    <t>rev1.19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</si>
</sst>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0.0000"/>
    <numFmt numFmtId="168" formatCode="0.000000"/>
    <numFmt numFmtId="169" formatCode="0.000E+00"/>
    <numFmt numFmtId="170" formatCode="##0.00E+0"/>
    <numFmt numFmtId="171" formatCode="0.0%"/>
  </numFmts>
  <fonts count="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0"/>
      <color rgb="FF005426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A7D00"/>
      <name val="Calibri"/>
      <family val="2"/>
    </font>
    <font>
      <sz val="9"/>
      <color theme="1"/>
      <name val="Calibri"/>
      <family val="2"/>
    </font>
    <font>
      <b/>
      <sz val="12"/>
      <color theme="6" tint="-0.499984740745262"/>
      <name val="Calibri"/>
      <family val="2"/>
      <scheme val="minor"/>
    </font>
    <font>
      <b/>
      <sz val="12"/>
      <color theme="6" tint="-0.499984740745262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F0"/>
      <name val="Calibri"/>
      <family val="2"/>
    </font>
    <font>
      <sz val="12.65"/>
      <color rgb="FF00B0F0"/>
      <name val="Calibri"/>
      <family val="2"/>
    </font>
    <font>
      <b/>
      <sz val="11"/>
      <color theme="6" tint="-0.499984740745262"/>
      <name val="Calibri"/>
      <family val="2"/>
      <scheme val="minor"/>
    </font>
    <font>
      <sz val="11"/>
      <color theme="0" tint="-0.14999847407452621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i/>
      <sz val="12"/>
      <color theme="5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sz val="6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2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</font>
    <font>
      <sz val="9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Calibri"/>
      <family val="2"/>
    </font>
    <font>
      <sz val="10"/>
      <color theme="1" tint="0.34998626667073579"/>
      <name val="Calibri"/>
      <family val="2"/>
      <scheme val="minor"/>
    </font>
    <font>
      <i/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Calibri"/>
      <family val="2"/>
      <scheme val="minor"/>
    </font>
    <font>
      <b/>
      <sz val="14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sz val="8"/>
      <name val="Calibri"/>
      <family val="2"/>
      <scheme val="minor"/>
    </font>
    <font>
      <i/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9"/>
      <name val="Calibri"/>
      <family val="2"/>
    </font>
    <font>
      <b/>
      <sz val="11"/>
      <color rgb="FFC00000"/>
      <name val="Calibri"/>
      <family val="2"/>
      <scheme val="minor"/>
    </font>
    <font>
      <b/>
      <sz val="9"/>
      <color indexed="81"/>
      <name val="Calibri"/>
      <family val="2"/>
    </font>
    <font>
      <b/>
      <sz val="9"/>
      <color indexed="81"/>
      <name val="Symbol"/>
      <family val="1"/>
      <charset val="2"/>
    </font>
    <font>
      <b/>
      <sz val="12"/>
      <color indexed="81"/>
      <name val="Symbol"/>
      <family val="1"/>
      <charset val="2"/>
    </font>
    <font>
      <sz val="10"/>
      <color theme="1"/>
      <name val="Symbol"/>
      <family val="1"/>
      <charset val="2"/>
    </font>
    <font>
      <b/>
      <sz val="14"/>
      <color rgb="FFFF00FF"/>
      <name val="Calibri"/>
      <family val="2"/>
      <scheme val="minor"/>
    </font>
    <font>
      <sz val="8"/>
      <color rgb="FFFF00FF"/>
      <name val="Calibri"/>
      <family val="2"/>
      <scheme val="minor"/>
    </font>
    <font>
      <b/>
      <sz val="10"/>
      <name val="Calibri"/>
      <family val="2"/>
    </font>
    <font>
      <sz val="16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vertAlign val="subscript"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rgb="FFB2B2B2"/>
      </left>
      <right style="thin">
        <color rgb="FFB2B2B2"/>
      </right>
      <top style="double">
        <color rgb="FFB2B2B2"/>
      </top>
      <bottom style="double">
        <color rgb="FF7F7F7F"/>
      </bottom>
      <diagonal/>
    </border>
    <border>
      <left style="thin">
        <color rgb="FFB2B2B2"/>
      </left>
      <right style="thin">
        <color rgb="FFB2B2B2"/>
      </right>
      <top style="double">
        <color rgb="FFB2B2B2"/>
      </top>
      <bottom style="double">
        <color rgb="FF7F7F7F"/>
      </bottom>
      <diagonal/>
    </border>
    <border>
      <left style="thin">
        <color rgb="FFB2B2B2"/>
      </left>
      <right style="double">
        <color rgb="FFB2B2B2"/>
      </right>
      <top style="double">
        <color rgb="FFB2B2B2"/>
      </top>
      <bottom style="double">
        <color rgb="FF7F7F7F"/>
      </bottom>
      <diagonal/>
    </border>
    <border>
      <left style="double">
        <color rgb="FF7F7F7F"/>
      </left>
      <right style="medium">
        <color rgb="FF7F7F7F"/>
      </right>
      <top style="double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double">
        <color rgb="FF7F7F7F"/>
      </top>
      <bottom style="medium">
        <color rgb="FF7F7F7F"/>
      </bottom>
      <diagonal/>
    </border>
    <border>
      <left style="medium">
        <color rgb="FF7F7F7F"/>
      </left>
      <right style="double">
        <color rgb="FF7F7F7F"/>
      </right>
      <top style="double">
        <color rgb="FF7F7F7F"/>
      </top>
      <bottom style="medium">
        <color rgb="FF7F7F7F"/>
      </bottom>
      <diagonal/>
    </border>
    <border>
      <left style="double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double">
        <color rgb="FF7F7F7F"/>
      </right>
      <top style="medium">
        <color rgb="FF7F7F7F"/>
      </top>
      <bottom style="medium">
        <color rgb="FF7F7F7F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rgb="FF7F7F7F"/>
      </left>
      <right style="medium">
        <color rgb="FF7F7F7F"/>
      </right>
      <top style="medium">
        <color rgb="FF7F7F7F"/>
      </top>
      <bottom style="double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double">
        <color rgb="FF7F7F7F"/>
      </bottom>
      <diagonal/>
    </border>
    <border>
      <left style="medium">
        <color rgb="FF7F7F7F"/>
      </left>
      <right style="double">
        <color rgb="FF7F7F7F"/>
      </right>
      <top style="medium">
        <color rgb="FF7F7F7F"/>
      </top>
      <bottom style="double">
        <color rgb="FF7F7F7F"/>
      </bottom>
      <diagonal/>
    </border>
    <border>
      <left/>
      <right style="medium">
        <color rgb="FF7F7F7F"/>
      </right>
      <top/>
      <bottom style="double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double">
        <color rgb="FF7F7F7F"/>
      </bottom>
      <diagonal/>
    </border>
    <border>
      <left style="medium">
        <color rgb="FF7F7F7F"/>
      </left>
      <right style="double">
        <color rgb="FF7F7F7F"/>
      </right>
      <top/>
      <bottom style="double">
        <color rgb="FF7F7F7F"/>
      </bottom>
      <diagonal/>
    </border>
    <border>
      <left style="double">
        <color rgb="FF7F7F7F"/>
      </left>
      <right style="medium">
        <color rgb="FF7F7F7F"/>
      </right>
      <top style="double">
        <color rgb="FF7F7F7F"/>
      </top>
      <bottom style="double">
        <color rgb="FF7F7F7F"/>
      </bottom>
      <diagonal/>
    </border>
    <border>
      <left style="medium">
        <color rgb="FF7F7F7F"/>
      </left>
      <right style="medium">
        <color rgb="FF7F7F7F"/>
      </right>
      <top style="double">
        <color rgb="FF7F7F7F"/>
      </top>
      <bottom style="double">
        <color rgb="FF7F7F7F"/>
      </bottom>
      <diagonal/>
    </border>
    <border>
      <left style="medium">
        <color rgb="FF7F7F7F"/>
      </left>
      <right style="double">
        <color rgb="FF7F7F7F"/>
      </right>
      <top style="double">
        <color rgb="FF7F7F7F"/>
      </top>
      <bottom style="double">
        <color rgb="FF7F7F7F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5" fillId="4" borderId="2" applyNumberFormat="0" applyAlignment="0" applyProtection="0"/>
    <xf numFmtId="0" fontId="16" fillId="5" borderId="2" applyNumberFormat="0" applyAlignment="0" applyProtection="0"/>
    <xf numFmtId="0" fontId="14" fillId="6" borderId="3" applyNumberFormat="0" applyFont="0" applyAlignment="0" applyProtection="0"/>
    <xf numFmtId="0" fontId="43" fillId="0" borderId="0" applyNumberFormat="0" applyFill="0" applyBorder="0" applyAlignment="0" applyProtection="0"/>
  </cellStyleXfs>
  <cellXfs count="378">
    <xf numFmtId="0" fontId="0" fillId="0" borderId="0" xfId="0"/>
    <xf numFmtId="0" fontId="4" fillId="0" borderId="0" xfId="0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Fill="1" applyBorder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1" fillId="0" borderId="0" xfId="0" applyFont="1" applyProtection="1"/>
    <xf numFmtId="0" fontId="0" fillId="0" borderId="0" xfId="0" applyProtection="1"/>
    <xf numFmtId="0" fontId="3" fillId="0" borderId="0" xfId="0" applyFont="1" applyProtection="1"/>
    <xf numFmtId="0" fontId="7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4" fillId="0" borderId="0" xfId="0" applyFont="1"/>
    <xf numFmtId="0" fontId="19" fillId="0" borderId="0" xfId="0" applyFont="1"/>
    <xf numFmtId="0" fontId="20" fillId="0" borderId="0" xfId="0" applyFont="1"/>
    <xf numFmtId="0" fontId="0" fillId="0" borderId="0" xfId="0" applyFont="1"/>
    <xf numFmtId="0" fontId="21" fillId="0" borderId="0" xfId="0" applyFont="1"/>
    <xf numFmtId="0" fontId="22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/>
    <xf numFmtId="0" fontId="6" fillId="0" borderId="0" xfId="0" applyFont="1" applyAlignment="1">
      <alignment vertical="center"/>
    </xf>
    <xf numFmtId="0" fontId="4" fillId="0" borderId="0" xfId="0" applyFont="1" applyAlignment="1"/>
    <xf numFmtId="0" fontId="1" fillId="3" borderId="0" xfId="0" applyFont="1" applyFill="1"/>
    <xf numFmtId="0" fontId="0" fillId="3" borderId="0" xfId="0" applyFill="1"/>
    <xf numFmtId="0" fontId="19" fillId="0" borderId="1" xfId="0" applyFont="1" applyBorder="1" applyAlignment="1">
      <alignment horizontal="left"/>
    </xf>
    <xf numFmtId="0" fontId="19" fillId="0" borderId="1" xfId="0" applyFont="1" applyBorder="1" applyAlignment="1"/>
    <xf numFmtId="0" fontId="18" fillId="0" borderId="0" xfId="0" applyFont="1"/>
    <xf numFmtId="0" fontId="19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165" fontId="0" fillId="8" borderId="1" xfId="0" applyNumberFormat="1" applyFill="1" applyBorder="1" applyAlignment="1">
      <alignment horizontal="right"/>
    </xf>
    <xf numFmtId="0" fontId="0" fillId="0" borderId="15" xfId="0" applyBorder="1"/>
    <xf numFmtId="0" fontId="16" fillId="5" borderId="16" xfId="2" applyBorder="1"/>
    <xf numFmtId="0" fontId="22" fillId="0" borderId="1" xfId="0" applyFont="1" applyFill="1" applyBorder="1"/>
    <xf numFmtId="0" fontId="22" fillId="0" borderId="1" xfId="0" applyFont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7" xfId="0" applyFill="1" applyBorder="1"/>
    <xf numFmtId="0" fontId="0" fillId="0" borderId="18" xfId="0" applyFill="1" applyBorder="1"/>
    <xf numFmtId="0" fontId="22" fillId="0" borderId="20" xfId="0" applyFont="1" applyFill="1" applyBorder="1"/>
    <xf numFmtId="0" fontId="22" fillId="0" borderId="21" xfId="0" applyFont="1" applyFill="1" applyBorder="1"/>
    <xf numFmtId="0" fontId="22" fillId="0" borderId="21" xfId="0" applyFont="1" applyFill="1" applyBorder="1" applyAlignment="1">
      <alignment horizontal="left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/>
    <xf numFmtId="0" fontId="0" fillId="0" borderId="25" xfId="0" applyBorder="1"/>
    <xf numFmtId="0" fontId="16" fillId="5" borderId="26" xfId="2" applyBorder="1"/>
    <xf numFmtId="0" fontId="0" fillId="0" borderId="0" xfId="0" applyFill="1"/>
    <xf numFmtId="0" fontId="15" fillId="0" borderId="0" xfId="1" applyFill="1" applyBorder="1" applyAlignment="1">
      <alignment horizontal="center" textRotation="90"/>
    </xf>
    <xf numFmtId="0" fontId="15" fillId="0" borderId="0" xfId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16" fillId="5" borderId="29" xfId="2" applyBorder="1"/>
    <xf numFmtId="0" fontId="0" fillId="0" borderId="20" xfId="0" applyFill="1" applyBorder="1"/>
    <xf numFmtId="0" fontId="0" fillId="0" borderId="21" xfId="0" applyFill="1" applyBorder="1"/>
    <xf numFmtId="0" fontId="20" fillId="0" borderId="21" xfId="0" applyFont="1" applyFill="1" applyBorder="1" applyAlignment="1">
      <alignment horizontal="left"/>
    </xf>
    <xf numFmtId="0" fontId="0" fillId="0" borderId="0" xfId="0" applyBorder="1" applyAlignment="1"/>
    <xf numFmtId="0" fontId="30" fillId="5" borderId="32" xfId="2" applyFont="1" applyBorder="1"/>
    <xf numFmtId="0" fontId="32" fillId="0" borderId="21" xfId="0" applyFont="1" applyFill="1" applyBorder="1" applyAlignment="1">
      <alignment horizontal="left"/>
    </xf>
    <xf numFmtId="0" fontId="34" fillId="0" borderId="23" xfId="0" applyFont="1" applyFill="1" applyBorder="1" applyAlignment="1"/>
    <xf numFmtId="0" fontId="0" fillId="0" borderId="33" xfId="0" applyFill="1" applyBorder="1"/>
    <xf numFmtId="0" fontId="0" fillId="0" borderId="34" xfId="0" applyFill="1" applyBorder="1"/>
    <xf numFmtId="0" fontId="20" fillId="0" borderId="34" xfId="0" applyFont="1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36" xfId="0" applyFill="1" applyBorder="1" applyAlignment="1"/>
    <xf numFmtId="0" fontId="0" fillId="0" borderId="0" xfId="0" applyBorder="1" applyAlignment="1">
      <alignment horizontal="right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/>
    <xf numFmtId="11" fontId="0" fillId="0" borderId="0" xfId="0" applyNumberFormat="1"/>
    <xf numFmtId="0" fontId="36" fillId="0" borderId="0" xfId="0" applyFont="1" applyProtection="1">
      <protection locked="0"/>
    </xf>
    <xf numFmtId="11" fontId="0" fillId="2" borderId="1" xfId="0" applyNumberFormat="1" applyFill="1" applyBorder="1"/>
    <xf numFmtId="0" fontId="0" fillId="2" borderId="1" xfId="0" applyFill="1" applyBorder="1"/>
    <xf numFmtId="0" fontId="35" fillId="0" borderId="0" xfId="0" applyFont="1" applyFill="1"/>
    <xf numFmtId="0" fontId="37" fillId="0" borderId="0" xfId="0" applyFont="1"/>
    <xf numFmtId="11" fontId="37" fillId="0" borderId="0" xfId="0" applyNumberFormat="1" applyFont="1"/>
    <xf numFmtId="0" fontId="38" fillId="0" borderId="0" xfId="0" applyFont="1"/>
    <xf numFmtId="0" fontId="6" fillId="0" borderId="0" xfId="0" applyFont="1"/>
    <xf numFmtId="0" fontId="12" fillId="0" borderId="0" xfId="0" applyFont="1"/>
    <xf numFmtId="0" fontId="42" fillId="0" borderId="0" xfId="0" applyFont="1"/>
    <xf numFmtId="0" fontId="43" fillId="0" borderId="0" xfId="4"/>
    <xf numFmtId="0" fontId="23" fillId="0" borderId="0" xfId="0" applyFont="1"/>
    <xf numFmtId="2" fontId="0" fillId="2" borderId="1" xfId="0" applyNumberFormat="1" applyFill="1" applyBorder="1"/>
    <xf numFmtId="0" fontId="5" fillId="0" borderId="0" xfId="0" applyFont="1"/>
    <xf numFmtId="0" fontId="0" fillId="0" borderId="0" xfId="0" applyAlignment="1">
      <alignment vertical="center" wrapText="1"/>
    </xf>
    <xf numFmtId="0" fontId="29" fillId="0" borderId="0" xfId="0" applyFont="1"/>
    <xf numFmtId="0" fontId="44" fillId="0" borderId="0" xfId="0" applyFont="1"/>
    <xf numFmtId="0" fontId="0" fillId="0" borderId="0" xfId="0" applyFill="1" applyBorder="1"/>
    <xf numFmtId="0" fontId="22" fillId="2" borderId="1" xfId="0" applyFont="1" applyFill="1" applyBorder="1"/>
    <xf numFmtId="0" fontId="45" fillId="0" borderId="0" xfId="0" applyFont="1"/>
    <xf numFmtId="165" fontId="1" fillId="3" borderId="1" xfId="0" applyNumberFormat="1" applyFont="1" applyFill="1" applyBorder="1"/>
    <xf numFmtId="165" fontId="0" fillId="2" borderId="1" xfId="0" applyNumberFormat="1" applyFill="1" applyBorder="1"/>
    <xf numFmtId="0" fontId="0" fillId="3" borderId="1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8" fillId="0" borderId="0" xfId="0" applyFont="1" applyBorder="1"/>
    <xf numFmtId="0" fontId="15" fillId="2" borderId="1" xfId="1" applyFill="1" applyBorder="1"/>
    <xf numFmtId="166" fontId="1" fillId="0" borderId="0" xfId="0" applyNumberFormat="1" applyFont="1" applyFill="1" applyBorder="1"/>
    <xf numFmtId="2" fontId="1" fillId="3" borderId="1" xfId="0" applyNumberFormat="1" applyFont="1" applyFill="1" applyBorder="1"/>
    <xf numFmtId="0" fontId="1" fillId="0" borderId="0" xfId="0" applyFont="1" applyBorder="1" applyAlignment="1">
      <alignment horizontal="left"/>
    </xf>
    <xf numFmtId="164" fontId="0" fillId="3" borderId="1" xfId="0" applyNumberFormat="1" applyFill="1" applyBorder="1"/>
    <xf numFmtId="0" fontId="9" fillId="0" borderId="0" xfId="0" applyFont="1"/>
    <xf numFmtId="0" fontId="5" fillId="0" borderId="0" xfId="0" applyFont="1" applyBorder="1" applyAlignment="1"/>
    <xf numFmtId="2" fontId="15" fillId="2" borderId="1" xfId="1" applyNumberFormat="1" applyFill="1" applyBorder="1"/>
    <xf numFmtId="166" fontId="0" fillId="3" borderId="1" xfId="0" applyNumberFormat="1" applyFont="1" applyFill="1" applyBorder="1"/>
    <xf numFmtId="2" fontId="0" fillId="3" borderId="1" xfId="0" applyNumberFormat="1" applyFont="1" applyFill="1" applyBorder="1"/>
    <xf numFmtId="0" fontId="5" fillId="3" borderId="1" xfId="0" applyFont="1" applyFill="1" applyBorder="1"/>
    <xf numFmtId="164" fontId="0" fillId="2" borderId="1" xfId="0" applyNumberFormat="1" applyFill="1" applyBorder="1"/>
    <xf numFmtId="0" fontId="49" fillId="0" borderId="0" xfId="0" applyFont="1" applyFill="1"/>
    <xf numFmtId="0" fontId="49" fillId="0" borderId="0" xfId="0" applyFont="1"/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2" fontId="5" fillId="3" borderId="1" xfId="0" applyNumberFormat="1" applyFont="1" applyFill="1" applyBorder="1"/>
    <xf numFmtId="0" fontId="19" fillId="0" borderId="0" xfId="0" applyFont="1" applyProtection="1">
      <protection locked="0"/>
    </xf>
    <xf numFmtId="165" fontId="1" fillId="3" borderId="21" xfId="0" applyNumberFormat="1" applyFont="1" applyFill="1" applyBorder="1" applyAlignment="1">
      <alignment horizontal="right"/>
    </xf>
    <xf numFmtId="165" fontId="0" fillId="3" borderId="21" xfId="0" applyNumberFormat="1" applyFill="1" applyBorder="1" applyAlignment="1">
      <alignment horizontal="right"/>
    </xf>
    <xf numFmtId="165" fontId="4" fillId="3" borderId="21" xfId="0" applyNumberFormat="1" applyFont="1" applyFill="1" applyBorder="1" applyAlignment="1">
      <alignment horizontal="right"/>
    </xf>
    <xf numFmtId="165" fontId="0" fillId="3" borderId="34" xfId="0" applyNumberFormat="1" applyFill="1" applyBorder="1" applyAlignment="1">
      <alignment horizontal="right"/>
    </xf>
    <xf numFmtId="2" fontId="5" fillId="3" borderId="1" xfId="0" applyNumberFormat="1" applyFont="1" applyFill="1" applyBorder="1" applyProtection="1"/>
    <xf numFmtId="165" fontId="11" fillId="3" borderId="1" xfId="0" applyNumberFormat="1" applyFont="1" applyFill="1" applyBorder="1" applyProtection="1">
      <protection locked="0"/>
    </xf>
    <xf numFmtId="164" fontId="22" fillId="3" borderId="1" xfId="0" applyNumberFormat="1" applyFont="1" applyFill="1" applyBorder="1" applyProtection="1"/>
    <xf numFmtId="0" fontId="51" fillId="3" borderId="1" xfId="0" applyFont="1" applyFill="1" applyBorder="1" applyProtection="1">
      <protection locked="0"/>
    </xf>
    <xf numFmtId="169" fontId="22" fillId="3" borderId="1" xfId="0" applyNumberFormat="1" applyFont="1" applyFill="1" applyBorder="1" applyAlignment="1">
      <alignment horizontal="right" vertical="center"/>
    </xf>
    <xf numFmtId="2" fontId="5" fillId="3" borderId="21" xfId="0" applyNumberFormat="1" applyFont="1" applyFill="1" applyBorder="1" applyAlignment="1">
      <alignment horizontal="right"/>
    </xf>
    <xf numFmtId="164" fontId="4" fillId="3" borderId="21" xfId="0" applyNumberFormat="1" applyFont="1" applyFill="1" applyBorder="1" applyAlignment="1">
      <alignment horizontal="right"/>
    </xf>
    <xf numFmtId="0" fontId="0" fillId="7" borderId="1" xfId="3" applyFont="1" applyFill="1" applyBorder="1" applyAlignment="1"/>
    <xf numFmtId="0" fontId="0" fillId="7" borderId="1" xfId="3" applyFont="1" applyFill="1" applyBorder="1"/>
    <xf numFmtId="0" fontId="20" fillId="7" borderId="1" xfId="3" applyFont="1" applyFill="1" applyBorder="1" applyAlignment="1">
      <alignment horizontal="left"/>
    </xf>
    <xf numFmtId="0" fontId="52" fillId="0" borderId="21" xfId="0" applyFont="1" applyFill="1" applyBorder="1" applyAlignment="1">
      <alignment horizontal="left"/>
    </xf>
    <xf numFmtId="0" fontId="1" fillId="0" borderId="20" xfId="0" applyFont="1" applyFill="1" applyBorder="1"/>
    <xf numFmtId="0" fontId="53" fillId="0" borderId="20" xfId="0" applyFont="1" applyFill="1" applyBorder="1"/>
    <xf numFmtId="0" fontId="53" fillId="0" borderId="21" xfId="0" applyFont="1" applyFill="1" applyBorder="1"/>
    <xf numFmtId="2" fontId="53" fillId="3" borderId="21" xfId="0" applyNumberFormat="1" applyFont="1" applyFill="1" applyBorder="1" applyAlignment="1">
      <alignment horizontal="right"/>
    </xf>
    <xf numFmtId="0" fontId="53" fillId="0" borderId="21" xfId="0" applyFont="1" applyFill="1" applyBorder="1" applyAlignment="1">
      <alignment horizontal="left"/>
    </xf>
    <xf numFmtId="0" fontId="54" fillId="0" borderId="20" xfId="0" applyFont="1" applyFill="1" applyBorder="1"/>
    <xf numFmtId="0" fontId="54" fillId="0" borderId="21" xfId="0" applyFont="1" applyFill="1" applyBorder="1"/>
    <xf numFmtId="165" fontId="54" fillId="3" borderId="21" xfId="0" applyNumberFormat="1" applyFont="1" applyFill="1" applyBorder="1" applyAlignment="1">
      <alignment horizontal="right"/>
    </xf>
    <xf numFmtId="0" fontId="55" fillId="0" borderId="21" xfId="0" applyFont="1" applyFill="1" applyBorder="1" applyAlignment="1">
      <alignment horizontal="left"/>
    </xf>
    <xf numFmtId="0" fontId="56" fillId="0" borderId="2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26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right"/>
    </xf>
    <xf numFmtId="165" fontId="0" fillId="2" borderId="1" xfId="0" applyNumberFormat="1" applyFill="1" applyBorder="1" applyAlignment="1">
      <alignment horizontal="right"/>
    </xf>
    <xf numFmtId="0" fontId="19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6" fillId="2" borderId="18" xfId="0" applyFont="1" applyFill="1" applyBorder="1" applyAlignment="1">
      <alignment horizontal="center"/>
    </xf>
    <xf numFmtId="11" fontId="0" fillId="8" borderId="1" xfId="3" applyNumberFormat="1" applyFont="1" applyFill="1" applyBorder="1" applyAlignment="1">
      <alignment horizontal="right"/>
    </xf>
    <xf numFmtId="165" fontId="0" fillId="8" borderId="1" xfId="3" applyNumberFormat="1" applyFont="1" applyFill="1" applyBorder="1" applyAlignment="1">
      <alignment horizontal="right"/>
    </xf>
    <xf numFmtId="164" fontId="0" fillId="8" borderId="1" xfId="3" applyNumberFormat="1" applyFont="1" applyFill="1" applyBorder="1" applyAlignment="1">
      <alignment horizontal="right"/>
    </xf>
    <xf numFmtId="0" fontId="43" fillId="0" borderId="0" xfId="4" applyAlignment="1"/>
    <xf numFmtId="0" fontId="43" fillId="0" borderId="0" xfId="4" applyProtection="1">
      <protection locked="0"/>
    </xf>
    <xf numFmtId="165" fontId="15" fillId="3" borderId="1" xfId="1" applyNumberFormat="1" applyFill="1" applyBorder="1"/>
    <xf numFmtId="2" fontId="7" fillId="2" borderId="1" xfId="0" applyNumberFormat="1" applyFont="1" applyFill="1" applyBorder="1" applyProtection="1"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58" fillId="0" borderId="0" xfId="0" applyFont="1" applyProtection="1">
      <protection locked="0"/>
    </xf>
    <xf numFmtId="0" fontId="0" fillId="2" borderId="1" xfId="0" applyFill="1" applyBorder="1" applyAlignment="1">
      <alignment horizontal="right"/>
    </xf>
    <xf numFmtId="48" fontId="59" fillId="3" borderId="1" xfId="0" applyNumberFormat="1" applyFont="1" applyFill="1" applyBorder="1"/>
    <xf numFmtId="0" fontId="0" fillId="3" borderId="1" xfId="0" applyFill="1" applyBorder="1" applyAlignment="1">
      <alignment horizontal="right"/>
    </xf>
    <xf numFmtId="2" fontId="0" fillId="3" borderId="1" xfId="0" applyNumberFormat="1" applyFill="1" applyBorder="1"/>
    <xf numFmtId="0" fontId="19" fillId="2" borderId="1" xfId="0" applyFont="1" applyFill="1" applyBorder="1"/>
    <xf numFmtId="165" fontId="50" fillId="3" borderId="1" xfId="0" applyNumberFormat="1" applyFont="1" applyFill="1" applyBorder="1"/>
    <xf numFmtId="165" fontId="50" fillId="2" borderId="1" xfId="0" applyNumberFormat="1" applyFont="1" applyFill="1" applyBorder="1"/>
    <xf numFmtId="2" fontId="0" fillId="8" borderId="1" xfId="3" applyNumberFormat="1" applyFont="1" applyFill="1" applyBorder="1" applyAlignment="1">
      <alignment horizontal="right"/>
    </xf>
    <xf numFmtId="0" fontId="61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62" fillId="0" borderId="0" xfId="0" applyFont="1" applyBorder="1"/>
    <xf numFmtId="0" fontId="62" fillId="0" borderId="0" xfId="1" applyFont="1" applyFill="1" applyBorder="1"/>
    <xf numFmtId="0" fontId="1" fillId="3" borderId="1" xfId="0" applyFont="1" applyFill="1" applyBorder="1" applyAlignment="1">
      <alignment horizontal="center"/>
    </xf>
    <xf numFmtId="0" fontId="19" fillId="0" borderId="0" xfId="0" applyFont="1" applyFill="1" applyBorder="1"/>
    <xf numFmtId="0" fontId="7" fillId="0" borderId="0" xfId="0" applyFont="1"/>
    <xf numFmtId="0" fontId="7" fillId="2" borderId="1" xfId="0" applyNumberFormat="1" applyFont="1" applyFill="1" applyBorder="1"/>
    <xf numFmtId="0" fontId="7" fillId="0" borderId="0" xfId="0" applyNumberFormat="1" applyFont="1" applyFill="1" applyBorder="1"/>
    <xf numFmtId="0" fontId="7" fillId="2" borderId="1" xfId="0" applyNumberFormat="1" applyFont="1" applyFill="1" applyBorder="1" applyAlignment="1">
      <alignment horizontal="right"/>
    </xf>
    <xf numFmtId="2" fontId="63" fillId="3" borderId="1" xfId="0" applyNumberFormat="1" applyFont="1" applyFill="1" applyBorder="1" applyAlignment="1">
      <alignment vertical="center"/>
    </xf>
    <xf numFmtId="2" fontId="7" fillId="2" borderId="1" xfId="0" applyNumberFormat="1" applyFont="1" applyFill="1" applyBorder="1"/>
    <xf numFmtId="164" fontId="7" fillId="2" borderId="1" xfId="0" applyNumberFormat="1" applyFont="1" applyFill="1" applyBorder="1"/>
    <xf numFmtId="166" fontId="10" fillId="3" borderId="1" xfId="0" applyNumberFormat="1" applyFont="1" applyFill="1" applyBorder="1"/>
    <xf numFmtId="0" fontId="5" fillId="0" borderId="0" xfId="0" applyFont="1" applyFill="1"/>
    <xf numFmtId="0" fontId="64" fillId="0" borderId="0" xfId="0" applyFont="1"/>
    <xf numFmtId="0" fontId="23" fillId="3" borderId="1" xfId="0" applyFont="1" applyFill="1" applyBorder="1"/>
    <xf numFmtId="0" fontId="20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32" fillId="3" borderId="1" xfId="0" applyFont="1" applyFill="1" applyBorder="1" applyAlignment="1">
      <alignment horizontal="center" vertical="center" wrapText="1"/>
    </xf>
    <xf numFmtId="0" fontId="34" fillId="0" borderId="0" xfId="0" applyFont="1"/>
    <xf numFmtId="1" fontId="0" fillId="2" borderId="1" xfId="0" applyNumberFormat="1" applyFill="1" applyBorder="1"/>
    <xf numFmtId="0" fontId="6" fillId="0" borderId="0" xfId="0" applyFont="1" applyFill="1"/>
    <xf numFmtId="0" fontId="46" fillId="0" borderId="0" xfId="0" applyFont="1" applyFill="1"/>
    <xf numFmtId="165" fontId="22" fillId="0" borderId="0" xfId="0" applyNumberFormat="1" applyFont="1"/>
    <xf numFmtId="0" fontId="0" fillId="9" borderId="0" xfId="0" applyFill="1"/>
    <xf numFmtId="0" fontId="0" fillId="9" borderId="1" xfId="0" applyFill="1" applyBorder="1" applyAlignment="1">
      <alignment vertical="center" wrapText="1"/>
    </xf>
    <xf numFmtId="0" fontId="7" fillId="9" borderId="0" xfId="0" applyFont="1" applyFill="1"/>
    <xf numFmtId="0" fontId="66" fillId="9" borderId="0" xfId="0" applyFont="1" applyFill="1"/>
    <xf numFmtId="0" fontId="7" fillId="9" borderId="1" xfId="0" applyFont="1" applyFill="1" applyBorder="1"/>
    <xf numFmtId="11" fontId="7" fillId="9" borderId="1" xfId="0" applyNumberFormat="1" applyFont="1" applyFill="1" applyBorder="1"/>
    <xf numFmtId="165" fontId="7" fillId="9" borderId="0" xfId="0" applyNumberFormat="1" applyFont="1" applyFill="1"/>
    <xf numFmtId="2" fontId="7" fillId="9" borderId="1" xfId="0" applyNumberFormat="1" applyFont="1" applyFill="1" applyBorder="1"/>
    <xf numFmtId="1" fontId="0" fillId="9" borderId="0" xfId="0" applyNumberFormat="1" applyFill="1"/>
    <xf numFmtId="165" fontId="0" fillId="9" borderId="0" xfId="0" applyNumberFormat="1" applyFill="1"/>
    <xf numFmtId="2" fontId="0" fillId="9" borderId="0" xfId="0" applyNumberFormat="1" applyFill="1"/>
    <xf numFmtId="166" fontId="7" fillId="9" borderId="0" xfId="0" applyNumberFormat="1" applyFont="1" applyFill="1"/>
    <xf numFmtId="0" fontId="7" fillId="9" borderId="1" xfId="0" applyFont="1" applyFill="1" applyBorder="1" applyAlignment="1">
      <alignment horizontal="left"/>
    </xf>
    <xf numFmtId="168" fontId="7" fillId="9" borderId="1" xfId="0" applyNumberFormat="1" applyFont="1" applyFill="1" applyBorder="1" applyAlignment="1">
      <alignment horizontal="left"/>
    </xf>
    <xf numFmtId="0" fontId="7" fillId="9" borderId="1" xfId="3" applyFont="1" applyFill="1" applyBorder="1" applyAlignment="1">
      <alignment horizontal="left"/>
    </xf>
    <xf numFmtId="0" fontId="7" fillId="9" borderId="19" xfId="0" applyFont="1" applyFill="1" applyBorder="1" applyAlignment="1">
      <alignment horizontal="left"/>
    </xf>
    <xf numFmtId="0" fontId="7" fillId="9" borderId="22" xfId="0" applyFont="1" applyFill="1" applyBorder="1" applyAlignment="1">
      <alignment horizontal="left"/>
    </xf>
    <xf numFmtId="0" fontId="15" fillId="9" borderId="15" xfId="1" applyFill="1" applyBorder="1"/>
    <xf numFmtId="0" fontId="15" fillId="9" borderId="25" xfId="1" applyFill="1" applyBorder="1"/>
    <xf numFmtId="0" fontId="62" fillId="9" borderId="0" xfId="0" applyFont="1" applyFill="1" applyBorder="1"/>
    <xf numFmtId="0" fontId="48" fillId="9" borderId="0" xfId="0" applyFont="1" applyFill="1" applyBorder="1"/>
    <xf numFmtId="0" fontId="48" fillId="9" borderId="0" xfId="1" applyFont="1" applyFill="1" applyBorder="1"/>
    <xf numFmtId="164" fontId="10" fillId="3" borderId="1" xfId="0" applyNumberFormat="1" applyFont="1" applyFill="1" applyBorder="1"/>
    <xf numFmtId="11" fontId="66" fillId="9" borderId="1" xfId="0" applyNumberFormat="1" applyFont="1" applyFill="1" applyBorder="1" applyProtection="1"/>
    <xf numFmtId="0" fontId="66" fillId="9" borderId="0" xfId="0" applyFont="1" applyFill="1" applyProtection="1"/>
    <xf numFmtId="0" fontId="66" fillId="9" borderId="0" xfId="0" applyFont="1" applyFill="1" applyProtection="1">
      <protection locked="0"/>
    </xf>
    <xf numFmtId="11" fontId="66" fillId="9" borderId="0" xfId="0" applyNumberFormat="1" applyFont="1" applyFill="1" applyProtection="1">
      <protection locked="0"/>
    </xf>
    <xf numFmtId="0" fontId="1" fillId="9" borderId="0" xfId="0" applyFont="1" applyFill="1"/>
    <xf numFmtId="48" fontId="67" fillId="9" borderId="1" xfId="0" applyNumberFormat="1" applyFont="1" applyFill="1" applyBorder="1"/>
    <xf numFmtId="0" fontId="18" fillId="9" borderId="0" xfId="0" applyFont="1" applyFill="1"/>
    <xf numFmtId="0" fontId="6" fillId="9" borderId="0" xfId="0" applyFont="1" applyFill="1"/>
    <xf numFmtId="0" fontId="41" fillId="9" borderId="0" xfId="0" applyFont="1" applyFill="1"/>
    <xf numFmtId="2" fontId="7" fillId="9" borderId="0" xfId="0" applyNumberFormat="1" applyFont="1" applyFill="1"/>
    <xf numFmtId="0" fontId="8" fillId="9" borderId="0" xfId="0" applyFont="1" applyFill="1"/>
    <xf numFmtId="0" fontId="10" fillId="9" borderId="0" xfId="0" applyFont="1" applyFill="1"/>
    <xf numFmtId="169" fontId="0" fillId="0" borderId="0" xfId="0" applyNumberFormat="1" applyFill="1"/>
    <xf numFmtId="0" fontId="36" fillId="0" borderId="0" xfId="0" applyFont="1"/>
    <xf numFmtId="2" fontId="0" fillId="0" borderId="0" xfId="0" applyNumberFormat="1" applyAlignment="1">
      <alignment horizontal="right"/>
    </xf>
    <xf numFmtId="0" fontId="0" fillId="3" borderId="1" xfId="0" applyFont="1" applyFill="1" applyBorder="1"/>
    <xf numFmtId="0" fontId="12" fillId="3" borderId="1" xfId="0" applyFont="1" applyFill="1" applyBorder="1"/>
    <xf numFmtId="0" fontId="0" fillId="2" borderId="1" xfId="0" applyFont="1" applyFill="1" applyBorder="1"/>
    <xf numFmtId="0" fontId="68" fillId="0" borderId="0" xfId="0" applyFont="1"/>
    <xf numFmtId="0" fontId="66" fillId="0" borderId="0" xfId="0" applyFont="1"/>
    <xf numFmtId="0" fontId="69" fillId="0" borderId="0" xfId="0" applyFont="1"/>
    <xf numFmtId="165" fontId="19" fillId="2" borderId="37" xfId="0" applyNumberFormat="1" applyFont="1" applyFill="1" applyBorder="1"/>
    <xf numFmtId="0" fontId="0" fillId="0" borderId="38" xfId="0" applyFont="1" applyBorder="1"/>
    <xf numFmtId="0" fontId="0" fillId="0" borderId="39" xfId="0" applyFont="1" applyBorder="1"/>
    <xf numFmtId="0" fontId="0" fillId="0" borderId="40" xfId="0" applyFont="1" applyBorder="1"/>
    <xf numFmtId="0" fontId="4" fillId="0" borderId="0" xfId="0" applyFont="1" applyFill="1" applyBorder="1"/>
    <xf numFmtId="2" fontId="50" fillId="2" borderId="1" xfId="0" applyNumberFormat="1" applyFont="1" applyFill="1" applyBorder="1"/>
    <xf numFmtId="0" fontId="20" fillId="0" borderId="0" xfId="0" applyFont="1" applyFill="1" applyBorder="1"/>
    <xf numFmtId="0" fontId="0" fillId="0" borderId="0" xfId="0" applyFont="1" applyAlignment="1">
      <alignment wrapText="1"/>
    </xf>
    <xf numFmtId="2" fontId="19" fillId="2" borderId="1" xfId="0" applyNumberFormat="1" applyFont="1" applyFill="1" applyBorder="1"/>
    <xf numFmtId="165" fontId="5" fillId="3" borderId="1" xfId="0" applyNumberFormat="1" applyFont="1" applyFill="1" applyBorder="1"/>
    <xf numFmtId="2" fontId="11" fillId="3" borderId="1" xfId="0" applyNumberFormat="1" applyFont="1" applyFill="1" applyBorder="1"/>
    <xf numFmtId="0" fontId="5" fillId="0" borderId="0" xfId="0" applyFont="1" applyAlignment="1"/>
    <xf numFmtId="0" fontId="0" fillId="0" borderId="0" xfId="0" applyFill="1" applyBorder="1" applyAlignment="1">
      <alignment wrapText="1"/>
    </xf>
    <xf numFmtId="0" fontId="19" fillId="9" borderId="1" xfId="0" applyFont="1" applyFill="1" applyBorder="1"/>
    <xf numFmtId="0" fontId="0" fillId="7" borderId="0" xfId="0" applyFill="1" applyBorder="1"/>
    <xf numFmtId="0" fontId="0" fillId="0" borderId="41" xfId="0" applyFill="1" applyBorder="1" applyAlignment="1"/>
    <xf numFmtId="2" fontId="22" fillId="9" borderId="21" xfId="0" applyNumberFormat="1" applyFont="1" applyFill="1" applyBorder="1" applyAlignment="1">
      <alignment horizontal="right"/>
    </xf>
    <xf numFmtId="166" fontId="22" fillId="9" borderId="21" xfId="0" applyNumberFormat="1" applyFont="1" applyFill="1" applyBorder="1" applyAlignment="1">
      <alignment horizontal="right"/>
    </xf>
    <xf numFmtId="165" fontId="27" fillId="9" borderId="1" xfId="0" applyNumberFormat="1" applyFont="1" applyFill="1" applyBorder="1" applyAlignment="1">
      <alignment horizontal="right"/>
    </xf>
    <xf numFmtId="0" fontId="26" fillId="9" borderId="1" xfId="0" applyFont="1" applyFill="1" applyBorder="1" applyAlignment="1">
      <alignment horizontal="center"/>
    </xf>
    <xf numFmtId="0" fontId="26" fillId="0" borderId="18" xfId="0" applyFont="1" applyFill="1" applyBorder="1" applyAlignment="1">
      <alignment horizontal="center"/>
    </xf>
    <xf numFmtId="0" fontId="1" fillId="2" borderId="0" xfId="0" applyFont="1" applyFill="1"/>
    <xf numFmtId="0" fontId="70" fillId="0" borderId="0" xfId="0" applyFont="1"/>
    <xf numFmtId="2" fontId="70" fillId="0" borderId="0" xfId="0" applyNumberFormat="1" applyFont="1" applyAlignment="1">
      <alignment horizontal="right"/>
    </xf>
    <xf numFmtId="0" fontId="70" fillId="0" borderId="0" xfId="0" applyFont="1" applyAlignment="1">
      <alignment horizontal="right"/>
    </xf>
    <xf numFmtId="2" fontId="1" fillId="3" borderId="18" xfId="0" applyNumberFormat="1" applyFont="1" applyFill="1" applyBorder="1" applyAlignment="1">
      <alignment horizontal="right"/>
    </xf>
    <xf numFmtId="166" fontId="71" fillId="0" borderId="0" xfId="0" applyNumberFormat="1" applyFont="1" applyAlignment="1">
      <alignment horizontal="right"/>
    </xf>
    <xf numFmtId="0" fontId="5" fillId="0" borderId="0" xfId="0" applyFont="1" applyFill="1" applyBorder="1"/>
    <xf numFmtId="0" fontId="0" fillId="0" borderId="0" xfId="0" applyFont="1" applyFill="1" applyBorder="1"/>
    <xf numFmtId="2" fontId="0" fillId="0" borderId="0" xfId="0" applyNumberFormat="1" applyFill="1" applyBorder="1"/>
    <xf numFmtId="0" fontId="12" fillId="0" borderId="0" xfId="0" applyFont="1" applyFill="1" applyBorder="1"/>
    <xf numFmtId="0" fontId="72" fillId="0" borderId="0" xfId="0" applyFont="1"/>
    <xf numFmtId="48" fontId="7" fillId="3" borderId="1" xfId="0" applyNumberFormat="1" applyFont="1" applyFill="1" applyBorder="1"/>
    <xf numFmtId="0" fontId="63" fillId="0" borderId="0" xfId="0" applyFont="1" applyFill="1"/>
    <xf numFmtId="0" fontId="0" fillId="0" borderId="0" xfId="0" applyFill="1" applyAlignment="1">
      <alignment horizontal="center"/>
    </xf>
    <xf numFmtId="0" fontId="73" fillId="0" borderId="0" xfId="0" applyFont="1" applyFill="1"/>
    <xf numFmtId="0" fontId="11" fillId="0" borderId="0" xfId="0" applyFont="1" applyFill="1"/>
    <xf numFmtId="164" fontId="0" fillId="2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48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70" fontId="0" fillId="0" borderId="0" xfId="0" applyNumberFormat="1"/>
    <xf numFmtId="164" fontId="0" fillId="3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9" borderId="1" xfId="0" applyNumberFormat="1" applyFill="1" applyBorder="1"/>
    <xf numFmtId="170" fontId="20" fillId="0" borderId="0" xfId="0" applyNumberFormat="1" applyFont="1" applyFill="1" applyBorder="1" applyAlignment="1">
      <alignment horizontal="left"/>
    </xf>
    <xf numFmtId="0" fontId="77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48" fontId="20" fillId="0" borderId="0" xfId="0" applyNumberFormat="1" applyFont="1" applyFill="1" applyBorder="1" applyAlignment="1">
      <alignment horizontal="left"/>
    </xf>
    <xf numFmtId="0" fontId="19" fillId="0" borderId="1" xfId="0" applyFont="1" applyBorder="1" applyAlignment="1">
      <alignment wrapText="1"/>
    </xf>
    <xf numFmtId="0" fontId="50" fillId="0" borderId="1" xfId="0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horizontal="right"/>
    </xf>
    <xf numFmtId="0" fontId="1" fillId="9" borderId="0" xfId="0" applyFont="1" applyFill="1" applyAlignment="1" applyProtection="1">
      <alignment vertical="center"/>
      <protection locked="0"/>
    </xf>
    <xf numFmtId="0" fontId="1" fillId="9" borderId="0" xfId="0" applyFont="1" applyFill="1" applyProtection="1">
      <protection locked="0"/>
    </xf>
    <xf numFmtId="0" fontId="0" fillId="9" borderId="0" xfId="0" applyFont="1" applyFill="1" applyProtection="1">
      <protection locked="0"/>
    </xf>
    <xf numFmtId="0" fontId="0" fillId="9" borderId="0" xfId="0" applyFont="1" applyFill="1" applyAlignment="1" applyProtection="1">
      <alignment vertical="center"/>
      <protection locked="0"/>
    </xf>
    <xf numFmtId="0" fontId="7" fillId="3" borderId="1" xfId="0" applyNumberFormat="1" applyFont="1" applyFill="1" applyBorder="1" applyAlignment="1">
      <alignment horizontal="right"/>
    </xf>
    <xf numFmtId="0" fontId="20" fillId="0" borderId="0" xfId="0" applyFont="1" applyAlignment="1">
      <alignment horizontal="left"/>
    </xf>
    <xf numFmtId="2" fontId="4" fillId="3" borderId="1" xfId="0" applyNumberFormat="1" applyFont="1" applyFill="1" applyBorder="1" applyAlignment="1" applyProtection="1">
      <alignment vertical="center"/>
    </xf>
    <xf numFmtId="0" fontId="7" fillId="2" borderId="1" xfId="0" applyFont="1" applyFill="1" applyBorder="1"/>
    <xf numFmtId="0" fontId="0" fillId="9" borderId="1" xfId="0" applyFill="1" applyBorder="1"/>
    <xf numFmtId="2" fontId="1" fillId="0" borderId="0" xfId="0" applyNumberFormat="1" applyFont="1" applyFill="1" applyBorder="1"/>
    <xf numFmtId="0" fontId="0" fillId="10" borderId="0" xfId="0" applyFill="1"/>
    <xf numFmtId="0" fontId="1" fillId="10" borderId="0" xfId="0" applyFont="1" applyFill="1"/>
    <xf numFmtId="0" fontId="8" fillId="0" borderId="0" xfId="0" applyFont="1" applyFill="1"/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78" fillId="9" borderId="0" xfId="0" applyFont="1" applyFill="1" applyProtection="1">
      <protection locked="0"/>
    </xf>
    <xf numFmtId="0" fontId="79" fillId="0" borderId="0" xfId="0" applyFont="1" applyProtection="1"/>
    <xf numFmtId="165" fontId="0" fillId="3" borderId="1" xfId="0" applyNumberFormat="1" applyFill="1" applyBorder="1"/>
    <xf numFmtId="2" fontId="7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68" fillId="9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0" fontId="60" fillId="9" borderId="1" xfId="0" applyFont="1" applyFill="1" applyBorder="1"/>
    <xf numFmtId="0" fontId="22" fillId="0" borderId="0" xfId="0" applyFont="1" applyAlignment="1">
      <alignment horizontal="center"/>
    </xf>
    <xf numFmtId="11" fontId="22" fillId="9" borderId="1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60" fillId="0" borderId="0" xfId="0" applyFont="1" applyFill="1" applyBorder="1"/>
    <xf numFmtId="0" fontId="60" fillId="0" borderId="0" xfId="0" applyFont="1" applyFill="1"/>
    <xf numFmtId="164" fontId="22" fillId="9" borderId="1" xfId="0" applyNumberFormat="1" applyFont="1" applyFill="1" applyBorder="1"/>
    <xf numFmtId="165" fontId="22" fillId="9" borderId="1" xfId="0" applyNumberFormat="1" applyFont="1" applyFill="1" applyBorder="1"/>
    <xf numFmtId="2" fontId="22" fillId="9" borderId="1" xfId="0" applyNumberFormat="1" applyFont="1" applyFill="1" applyBorder="1"/>
    <xf numFmtId="48" fontId="22" fillId="0" borderId="0" xfId="0" applyNumberFormat="1" applyFont="1" applyFill="1" applyBorder="1"/>
    <xf numFmtId="48" fontId="22" fillId="0" borderId="0" xfId="0" applyNumberFormat="1" applyFont="1"/>
    <xf numFmtId="48" fontId="22" fillId="9" borderId="1" xfId="0" applyNumberFormat="1" applyFont="1" applyFill="1" applyBorder="1"/>
    <xf numFmtId="0" fontId="22" fillId="0" borderId="0" xfId="0" applyFont="1" applyFill="1" applyBorder="1"/>
    <xf numFmtId="0" fontId="22" fillId="0" borderId="0" xfId="0" applyFont="1" applyAlignment="1">
      <alignment horizontal="left"/>
    </xf>
    <xf numFmtId="0" fontId="7" fillId="0" borderId="20" xfId="0" applyFont="1" applyFill="1" applyBorder="1"/>
    <xf numFmtId="165" fontId="10" fillId="3" borderId="21" xfId="0" applyNumberFormat="1" applyFont="1" applyFill="1" applyBorder="1" applyAlignment="1">
      <alignment horizontal="right"/>
    </xf>
    <xf numFmtId="0" fontId="80" fillId="0" borderId="21" xfId="0" applyFont="1" applyFill="1" applyBorder="1" applyAlignment="1">
      <alignment horizontal="left"/>
    </xf>
    <xf numFmtId="0" fontId="81" fillId="0" borderId="0" xfId="0" applyFont="1"/>
    <xf numFmtId="0" fontId="83" fillId="0" borderId="0" xfId="0" applyFont="1" applyFill="1"/>
    <xf numFmtId="0" fontId="7" fillId="0" borderId="1" xfId="0" applyFont="1" applyBorder="1"/>
    <xf numFmtId="0" fontId="7" fillId="3" borderId="42" xfId="0" applyNumberFormat="1" applyFont="1" applyFill="1" applyBorder="1"/>
    <xf numFmtId="0" fontId="7" fillId="3" borderId="42" xfId="0" applyNumberFormat="1" applyFont="1" applyFill="1" applyBorder="1" applyAlignment="1">
      <alignment horizontal="right"/>
    </xf>
    <xf numFmtId="0" fontId="7" fillId="9" borderId="42" xfId="0" applyNumberFormat="1" applyFont="1" applyFill="1" applyBorder="1"/>
    <xf numFmtId="2" fontId="0" fillId="9" borderId="42" xfId="0" applyNumberFormat="1" applyFill="1" applyBorder="1"/>
    <xf numFmtId="166" fontId="7" fillId="3" borderId="42" xfId="0" applyNumberFormat="1" applyFont="1" applyFill="1" applyBorder="1"/>
    <xf numFmtId="165" fontId="5" fillId="9" borderId="21" xfId="0" applyNumberFormat="1" applyFont="1" applyFill="1" applyBorder="1" applyAlignment="1">
      <alignment horizontal="right"/>
    </xf>
    <xf numFmtId="0" fontId="1" fillId="0" borderId="21" xfId="0" applyFont="1" applyFill="1" applyBorder="1" applyAlignment="1">
      <alignment horizontal="left"/>
    </xf>
    <xf numFmtId="0" fontId="87" fillId="0" borderId="0" xfId="0" applyFont="1" applyBorder="1" applyAlignment="1">
      <alignment horizontal="left"/>
    </xf>
    <xf numFmtId="0" fontId="30" fillId="5" borderId="30" xfId="2" applyFont="1" applyBorder="1" applyAlignment="1">
      <alignment horizontal="center"/>
    </xf>
    <xf numFmtId="0" fontId="30" fillId="5" borderId="31" xfId="2" applyFont="1" applyBorder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1" fillId="9" borderId="8" xfId="3" applyFont="1" applyFill="1" applyBorder="1" applyAlignment="1">
      <alignment horizontal="center"/>
    </xf>
    <xf numFmtId="0" fontId="1" fillId="9" borderId="9" xfId="3" applyFont="1" applyFill="1" applyBorder="1" applyAlignment="1">
      <alignment horizontal="center"/>
    </xf>
    <xf numFmtId="0" fontId="1" fillId="9" borderId="10" xfId="3" applyFont="1" applyFill="1" applyBorder="1" applyAlignment="1">
      <alignment horizontal="center"/>
    </xf>
    <xf numFmtId="0" fontId="0" fillId="9" borderId="11" xfId="3" applyFont="1" applyFill="1" applyBorder="1" applyAlignment="1">
      <alignment horizontal="center"/>
    </xf>
    <xf numFmtId="0" fontId="0" fillId="9" borderId="12" xfId="3" applyFont="1" applyFill="1" applyBorder="1" applyAlignment="1">
      <alignment horizontal="center"/>
    </xf>
    <xf numFmtId="0" fontId="0" fillId="9" borderId="14" xfId="3" applyFont="1" applyFill="1" applyBorder="1" applyAlignment="1">
      <alignment horizontal="center"/>
    </xf>
    <xf numFmtId="0" fontId="0" fillId="9" borderId="15" xfId="3" applyFont="1" applyFill="1" applyBorder="1" applyAlignment="1">
      <alignment horizontal="center"/>
    </xf>
    <xf numFmtId="0" fontId="15" fillId="9" borderId="12" xfId="1" applyFill="1" applyBorder="1" applyAlignment="1">
      <alignment horizontal="center"/>
    </xf>
    <xf numFmtId="0" fontId="16" fillId="5" borderId="13" xfId="2" applyBorder="1" applyAlignment="1">
      <alignment horizontal="center" wrapText="1"/>
    </xf>
    <xf numFmtId="0" fontId="16" fillId="5" borderId="16" xfId="2" applyBorder="1" applyAlignment="1">
      <alignment horizontal="center" wrapText="1"/>
    </xf>
    <xf numFmtId="0" fontId="15" fillId="9" borderId="14" xfId="1" applyFill="1" applyBorder="1" applyAlignment="1">
      <alignment horizontal="center" textRotation="90"/>
    </xf>
    <xf numFmtId="0" fontId="15" fillId="9" borderId="24" xfId="1" applyFill="1" applyBorder="1" applyAlignment="1">
      <alignment horizontal="center" textRotation="90"/>
    </xf>
  </cellXfs>
  <cellStyles count="5">
    <cellStyle name="Calculation" xfId="2" builtinId="22"/>
    <cellStyle name="Hyperlink" xfId="4" builtinId="8"/>
    <cellStyle name="Input" xfId="1" builtinId="20"/>
    <cellStyle name="Normal" xfId="0" builtinId="0"/>
    <cellStyle name="Note" xfId="3" builtinId="10"/>
  </cellStyles>
  <dxfs count="34">
    <dxf>
      <font>
        <color rgb="FFFF0000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00FF"/>
      <color rgb="FFFFE285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0336671103063"/>
          <c:y val="5.6378946132176207E-2"/>
          <c:w val="0.80260002043662015"/>
          <c:h val="0.84329296539910104"/>
        </c:manualLayout>
      </c:layout>
      <c:scatterChart>
        <c:scatterStyle val="lineMarker"/>
        <c:varyColors val="0"/>
        <c:ser>
          <c:idx val="9"/>
          <c:order val="7"/>
          <c:tx>
            <c:v>Parasitic Region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'LDC Operating Region'!$C$26:$C$30</c:f>
            </c:numRef>
          </c:xVal>
          <c:yVal>
            <c:numRef>
              <c:f>'LDC Operating Region'!$D$26:$D$30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4928"/>
        <c:axId val="183646848"/>
      </c:scatterChart>
      <c:scatterChart>
        <c:scatterStyle val="smoothMarker"/>
        <c:varyColors val="0"/>
        <c:ser>
          <c:idx val="0"/>
          <c:order val="0"/>
          <c:tx>
            <c:strRef>
              <c:f>'LDC Operating Region'!$D$10</c:f>
              <c:strCache>
                <c:ptCount val="1"/>
                <c:pt idx="0">
                  <c:v>F= 5kHz</c:v>
                </c:pt>
              </c:strCache>
            </c:strRef>
          </c:tx>
          <c:spPr>
            <a:ln w="19050"/>
          </c:spPr>
          <c:marker>
            <c:symbol val="none"/>
          </c:marker>
          <c:dLbls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Region'!$D$11:$D$14</c:f>
              <c:numCache>
                <c:formatCode>##0.0E+0</c:formatCode>
                <c:ptCount val="2"/>
                <c:pt idx="0">
                  <c:v>1013211836.4233775</c:v>
                </c:pt>
                <c:pt idx="1">
                  <c:v>1013.2118364233777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'LDC Operating Region'!$E$10</c:f>
              <c:strCache>
                <c:ptCount val="1"/>
                <c:pt idx="0">
                  <c:v>F= 10kHz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3"/>
              <c:delete val="1"/>
            </c:dLbl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Region'!$E$11:$E$14</c:f>
              <c:numCache>
                <c:formatCode>##0.0E+0</c:formatCode>
                <c:ptCount val="2"/>
                <c:pt idx="0">
                  <c:v>253302959.10584438</c:v>
                </c:pt>
                <c:pt idx="1">
                  <c:v>253.30295910584442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'LDC Operating Region'!$F$10</c:f>
              <c:strCache>
                <c:ptCount val="1"/>
                <c:pt idx="0">
                  <c:v>F= 100kHz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Region'!$F$11:$F$14</c:f>
              <c:numCache>
                <c:formatCode>##0.0E+0</c:formatCode>
                <c:ptCount val="2"/>
                <c:pt idx="0">
                  <c:v>2533029.5910584447</c:v>
                </c:pt>
                <c:pt idx="1">
                  <c:v>2.5330295910584444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'LDC Operating Region'!$G$10</c:f>
              <c:strCache>
                <c:ptCount val="1"/>
                <c:pt idx="0">
                  <c:v>F= 1MHz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Region'!$G$11:$G$14</c:f>
              <c:numCache>
                <c:formatCode>##0.0E+0</c:formatCode>
                <c:ptCount val="2"/>
                <c:pt idx="0">
                  <c:v>25330.295910584438</c:v>
                </c:pt>
                <c:pt idx="1">
                  <c:v>2.533029591058444E-2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'LDC Operating Region'!$H$10</c:f>
              <c:strCache>
                <c:ptCount val="1"/>
                <c:pt idx="0">
                  <c:v>F= 5MHz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spPr/>
              <c:txPr>
                <a:bodyPr/>
                <a:lstStyle/>
                <a:p>
                  <a:pPr>
                    <a:defRPr sz="1100" baseline="0"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Region'!$C$11:$C$14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Region'!$H$11:$H$14</c:f>
              <c:numCache>
                <c:formatCode>##0.0E+0</c:formatCode>
                <c:ptCount val="2"/>
                <c:pt idx="0">
                  <c:v>1013.2118364233775</c:v>
                </c:pt>
                <c:pt idx="1">
                  <c:v>1.0132118364233776E-3</c:v>
                </c:pt>
              </c:numCache>
            </c:numRef>
          </c:yVal>
          <c:smooth val="1"/>
        </c:ser>
        <c:ser>
          <c:idx val="5"/>
          <c:order val="5"/>
          <c:tx>
            <c:v>Parasitic Cap</c:v>
          </c:tx>
          <c:spPr>
            <a:ln w="12700"/>
          </c:spPr>
          <c:marker>
            <c:symbol val="none"/>
          </c:marker>
          <c:xVal>
            <c:numRef>
              <c:f>'LDC Operating Region'!$C$17:$C$18</c:f>
            </c:numRef>
          </c:xVal>
          <c:yVal>
            <c:numRef>
              <c:f>'LDC Operating Region'!$D$17:$D$18</c:f>
            </c:numRef>
          </c:yVal>
          <c:smooth val="1"/>
        </c:ser>
        <c:ser>
          <c:idx val="6"/>
          <c:order val="6"/>
          <c:tx>
            <c:v>Largest Cap</c:v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22225">
                <a:solidFill>
                  <a:srgbClr val="FF0000"/>
                </a:solidFill>
              </a:ln>
            </c:spPr>
          </c:dPt>
          <c:xVal>
            <c:numRef>
              <c:f>'LDC Operating Region'!$C$20:$C$21</c:f>
            </c:numRef>
          </c:xVal>
          <c:yVal>
            <c:numRef>
              <c:f>'LDC Operating Region'!$D$20:$D$21</c:f>
            </c:numRef>
          </c:yVal>
          <c:smooth val="1"/>
        </c:ser>
        <c:ser>
          <c:idx val="7"/>
          <c:order val="8"/>
          <c:tx>
            <c:strRef>
              <c:f>'LDC Operating Region'!$F$35</c:f>
              <c:strCache>
                <c:ptCount val="1"/>
                <c:pt idx="0">
                  <c:v>Q=25, RP=798Ω</c:v>
                </c:pt>
              </c:strCache>
            </c:strRef>
          </c:tx>
          <c:spPr>
            <a:ln w="22225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layout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100"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Region'!$C$35:$C$36</c:f>
              <c:numCache>
                <c:formatCode>0.00</c:formatCode>
                <c:ptCount val="2"/>
                <c:pt idx="0">
                  <c:v>0.99721142288154963</c:v>
                </c:pt>
                <c:pt idx="1">
                  <c:v>997.21142288154977</c:v>
                </c:pt>
              </c:numCache>
            </c:numRef>
          </c:xVal>
          <c:yVal>
            <c:numRef>
              <c:f>'LDC Operating Region'!$D$35:$D$36</c:f>
              <c:numCache>
                <c:formatCode>0.000</c:formatCode>
                <c:ptCount val="2"/>
                <c:pt idx="0">
                  <c:v>1.0160451566986599</c:v>
                </c:pt>
                <c:pt idx="1">
                  <c:v>1016.0451566986599</c:v>
                </c:pt>
              </c:numCache>
            </c:numRef>
          </c:yVal>
          <c:smooth val="1"/>
        </c:ser>
        <c:ser>
          <c:idx val="8"/>
          <c:order val="9"/>
          <c:tx>
            <c:strRef>
              <c:f>'LDC Operating Region'!$F$39</c:f>
              <c:strCache>
                <c:ptCount val="1"/>
                <c:pt idx="0">
                  <c:v>Q=5, RP=798Ω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10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Region'!$C$39:$C$40</c:f>
              <c:numCache>
                <c:formatCode>0.00</c:formatCode>
                <c:ptCount val="2"/>
                <c:pt idx="0">
                  <c:v>0.19944228457630997</c:v>
                </c:pt>
                <c:pt idx="1">
                  <c:v>199.44228457630996</c:v>
                </c:pt>
              </c:numCache>
            </c:numRef>
          </c:xVal>
          <c:yVal>
            <c:numRef>
              <c:f>'LDC Operating Region'!$D$39:$D$40</c:f>
              <c:numCache>
                <c:formatCode>0.000</c:formatCode>
                <c:ptCount val="2"/>
                <c:pt idx="0">
                  <c:v>5.0802257834932991</c:v>
                </c:pt>
                <c:pt idx="1">
                  <c:v>5080.2257834932989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44928"/>
        <c:axId val="183646848"/>
      </c:scatterChart>
      <c:valAx>
        <c:axId val="183644928"/>
        <c:scaling>
          <c:logBase val="10"/>
          <c:orientation val="minMax"/>
          <c:max val="1000"/>
          <c:min val="1.0000000000000002E-3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Capacitance (nF)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83646848"/>
        <c:crossesAt val="0.1"/>
        <c:crossBetween val="midCat"/>
      </c:valAx>
      <c:valAx>
        <c:axId val="183646848"/>
        <c:scaling>
          <c:logBase val="10"/>
          <c:orientation val="minMax"/>
          <c:max val="10000"/>
          <c:min val="0.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Inductance</a:t>
                </a:r>
                <a:r>
                  <a:rPr lang="en-US" sz="1050" baseline="0"/>
                  <a:t> (µH)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3421162693433709E-2"/>
              <c:y val="0.3959000729304441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83644928"/>
        <c:crossesAt val="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0336671103063"/>
          <c:y val="5.6378946132176207E-2"/>
          <c:w val="0.80260002043662015"/>
          <c:h val="0.84329296539910104"/>
        </c:manualLayout>
      </c:layout>
      <c:scatterChart>
        <c:scatterStyle val="lineMarker"/>
        <c:varyColors val="0"/>
        <c:ser>
          <c:idx val="9"/>
          <c:order val="7"/>
          <c:tx>
            <c:v>Parasitic Region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'LDC Operating Region'!$C$26:$C$30</c:f>
            </c:numRef>
          </c:xVal>
          <c:yVal>
            <c:numRef>
              <c:f>'LDC Operating Region'!$D$26:$D$30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7760"/>
        <c:axId val="183479680"/>
      </c:scatterChart>
      <c:scatterChart>
        <c:scatterStyle val="smoothMarker"/>
        <c:varyColors val="0"/>
        <c:ser>
          <c:idx val="0"/>
          <c:order val="0"/>
          <c:tx>
            <c:strRef>
              <c:f>'LDC Operating Region'!$D$74</c:f>
              <c:strCache>
                <c:ptCount val="1"/>
                <c:pt idx="0">
                  <c:v>F= 10kHz</c:v>
                </c:pt>
              </c:strCache>
            </c:strRef>
          </c:tx>
          <c:spPr>
            <a:ln w="19050"/>
          </c:spPr>
          <c:marker>
            <c:symbol val="none"/>
          </c:marker>
          <c:dLbls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Region'!$D$75:$D$78</c:f>
              <c:numCache>
                <c:formatCode>##0.0E+0</c:formatCode>
                <c:ptCount val="2"/>
                <c:pt idx="0">
                  <c:v>1013211836.4233775</c:v>
                </c:pt>
                <c:pt idx="1">
                  <c:v>1013.2118364233777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'LDC Operating Region'!$E$74</c:f>
              <c:strCache>
                <c:ptCount val="1"/>
                <c:pt idx="0">
                  <c:v>F= 10kHz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3"/>
              <c:delete val="1"/>
            </c:dLbl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Region'!$E$75:$E$78</c:f>
              <c:numCache>
                <c:formatCode>##0.0E+0</c:formatCode>
                <c:ptCount val="2"/>
                <c:pt idx="0">
                  <c:v>253302959.10584438</c:v>
                </c:pt>
                <c:pt idx="1">
                  <c:v>253.30295910584442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'LDC Operating Region'!$F$74</c:f>
              <c:strCache>
                <c:ptCount val="1"/>
                <c:pt idx="0">
                  <c:v>F= 100kHz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Region'!$F$75:$F$78</c:f>
              <c:numCache>
                <c:formatCode>##0.0E+0</c:formatCode>
                <c:ptCount val="2"/>
                <c:pt idx="0">
                  <c:v>2533029.5910584447</c:v>
                </c:pt>
                <c:pt idx="1">
                  <c:v>2.5330295910584444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'LDC Operating Region'!$G$74</c:f>
              <c:strCache>
                <c:ptCount val="1"/>
                <c:pt idx="0">
                  <c:v>F= 1MHz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1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100" baseline="0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Region'!$G$75:$G$78</c:f>
              <c:numCache>
                <c:formatCode>##0.0E+0</c:formatCode>
                <c:ptCount val="2"/>
                <c:pt idx="0">
                  <c:v>25330.295910584438</c:v>
                </c:pt>
                <c:pt idx="1">
                  <c:v>2.533029591058444E-2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'LDC Operating Region'!$H$74</c:f>
              <c:strCache>
                <c:ptCount val="1"/>
                <c:pt idx="0">
                  <c:v>F= 10MHz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spPr/>
              <c:txPr>
                <a:bodyPr/>
                <a:lstStyle/>
                <a:p>
                  <a:pPr>
                    <a:defRPr sz="1100" baseline="0"/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Region'!$C$75:$C$78</c:f>
              <c:numCache>
                <c:formatCode>General</c:formatCode>
                <c:ptCount val="2"/>
                <c:pt idx="0">
                  <c:v>1E-3</c:v>
                </c:pt>
                <c:pt idx="1">
                  <c:v>1000</c:v>
                </c:pt>
              </c:numCache>
            </c:numRef>
          </c:xVal>
          <c:yVal>
            <c:numRef>
              <c:f>'LDC Operating Region'!$H$75:$H$78</c:f>
              <c:numCache>
                <c:formatCode>##0.0E+0</c:formatCode>
                <c:ptCount val="2"/>
                <c:pt idx="0">
                  <c:v>1013.2118364233775</c:v>
                </c:pt>
                <c:pt idx="1">
                  <c:v>1.0132118364233776E-3</c:v>
                </c:pt>
              </c:numCache>
            </c:numRef>
          </c:yVal>
          <c:smooth val="1"/>
        </c:ser>
        <c:ser>
          <c:idx val="5"/>
          <c:order val="5"/>
          <c:tx>
            <c:v>Parasitic Cap</c:v>
          </c:tx>
          <c:spPr>
            <a:ln w="12700"/>
          </c:spPr>
          <c:marker>
            <c:symbol val="none"/>
          </c:marker>
          <c:xVal>
            <c:numRef>
              <c:f>'LDC Operating Region'!$C$17:$C$18</c:f>
            </c:numRef>
          </c:xVal>
          <c:yVal>
            <c:numRef>
              <c:f>'LDC Operating Region'!$D$17:$D$18</c:f>
            </c:numRef>
          </c:yVal>
          <c:smooth val="1"/>
        </c:ser>
        <c:ser>
          <c:idx val="6"/>
          <c:order val="6"/>
          <c:tx>
            <c:v>Largest Cap</c:v>
          </c:tx>
          <c:spPr>
            <a:ln w="12700"/>
          </c:spPr>
          <c:marker>
            <c:symbol val="none"/>
          </c:marker>
          <c:dPt>
            <c:idx val="1"/>
            <c:bubble3D val="0"/>
            <c:spPr>
              <a:ln w="22225">
                <a:solidFill>
                  <a:srgbClr val="FF0000"/>
                </a:solidFill>
              </a:ln>
            </c:spPr>
          </c:dPt>
          <c:xVal>
            <c:numRef>
              <c:f>'LDC Operating Region'!$C$20:$C$21</c:f>
            </c:numRef>
          </c:xVal>
          <c:yVal>
            <c:numRef>
              <c:f>'LDC Operating Region'!$D$20:$D$21</c:f>
            </c:numRef>
          </c:yVal>
          <c:smooth val="1"/>
        </c:ser>
        <c:ser>
          <c:idx val="7"/>
          <c:order val="8"/>
          <c:tx>
            <c:strRef>
              <c:f>'LDC Operating Region'!$F$99</c:f>
              <c:strCache>
                <c:ptCount val="1"/>
                <c:pt idx="0">
                  <c:v>Q=25, RP=1000Ω</c:v>
                </c:pt>
              </c:strCache>
            </c:strRef>
          </c:tx>
          <c:spPr>
            <a:ln w="22225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dLbls>
            <c:dLbl>
              <c:idx val="0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txPr>
              <a:bodyPr/>
              <a:lstStyle/>
              <a:p>
                <a:pPr>
                  <a:defRPr sz="1100" baseline="0"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Region'!$C$99:$C$100</c:f>
              <c:numCache>
                <c:formatCode>0.00</c:formatCode>
                <c:ptCount val="2"/>
                <c:pt idx="0">
                  <c:v>0.79577471545947664</c:v>
                </c:pt>
                <c:pt idx="1">
                  <c:v>795.77471545947662</c:v>
                </c:pt>
              </c:numCache>
            </c:numRef>
          </c:xVal>
          <c:yVal>
            <c:numRef>
              <c:f>'LDC Operating Region'!$D$99:$D$100</c:f>
              <c:numCache>
                <c:formatCode>0.000</c:formatCode>
                <c:ptCount val="2"/>
                <c:pt idx="0">
                  <c:v>1.2732395447351628</c:v>
                </c:pt>
                <c:pt idx="1">
                  <c:v>1273.2395447351628</c:v>
                </c:pt>
              </c:numCache>
            </c:numRef>
          </c:yVal>
          <c:smooth val="1"/>
        </c:ser>
        <c:ser>
          <c:idx val="8"/>
          <c:order val="9"/>
          <c:tx>
            <c:strRef>
              <c:f>'LDC Operating Region'!$F$103</c:f>
              <c:strCache>
                <c:ptCount val="1"/>
                <c:pt idx="0">
                  <c:v>Q=5, RP=1000Ω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dLbls>
            <c:dLbl>
              <c:idx val="0"/>
              <c:spPr/>
              <c:txPr>
                <a:bodyPr/>
                <a:lstStyle/>
                <a:p>
                  <a:pPr>
                    <a:defRPr sz="1100" baseline="0"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'LDC Operating Region'!$C$103:$C$104</c:f>
              <c:numCache>
                <c:formatCode>0.00</c:formatCode>
                <c:ptCount val="2"/>
                <c:pt idx="0">
                  <c:v>0.15915494309189537</c:v>
                </c:pt>
                <c:pt idx="1">
                  <c:v>159.15494309189538</c:v>
                </c:pt>
              </c:numCache>
            </c:numRef>
          </c:xVal>
          <c:yVal>
            <c:numRef>
              <c:f>'LDC Operating Region'!$D$103:$D$104</c:f>
              <c:numCache>
                <c:formatCode>0.000</c:formatCode>
                <c:ptCount val="2"/>
                <c:pt idx="0">
                  <c:v>6.3661977236758132</c:v>
                </c:pt>
                <c:pt idx="1">
                  <c:v>6366.197723675813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77760"/>
        <c:axId val="183479680"/>
      </c:scatterChart>
      <c:valAx>
        <c:axId val="183477760"/>
        <c:scaling>
          <c:logBase val="10"/>
          <c:orientation val="minMax"/>
          <c:max val="1000"/>
          <c:min val="1.0000000000000002E-3"/>
        </c:scaling>
        <c:delete val="0"/>
        <c:axPos val="b"/>
        <c:majorGridlines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sz="1000"/>
                  <a:t>Capacitance (nF)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83479680"/>
        <c:crossesAt val="0.1"/>
        <c:crossBetween val="midCat"/>
      </c:valAx>
      <c:valAx>
        <c:axId val="183479680"/>
        <c:scaling>
          <c:logBase val="10"/>
          <c:orientation val="minMax"/>
          <c:max val="10000"/>
          <c:min val="0.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Inductance</a:t>
                </a:r>
                <a:r>
                  <a:rPr lang="en-US" sz="1050" baseline="0"/>
                  <a:t> (µH)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2.3421162693433709E-2"/>
              <c:y val="0.3959000729304441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83477760"/>
        <c:crossesAt val="1.0000000000000002E-3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4</xdr:row>
      <xdr:rowOff>28575</xdr:rowOff>
    </xdr:from>
    <xdr:to>
      <xdr:col>1</xdr:col>
      <xdr:colOff>1914525</xdr:colOff>
      <xdr:row>12</xdr:row>
      <xdr:rowOff>180280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1" y="819150"/>
          <a:ext cx="1885949" cy="16757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1943100</xdr:colOff>
      <xdr:row>4</xdr:row>
      <xdr:rowOff>23310</xdr:rowOff>
    </xdr:from>
    <xdr:to>
      <xdr:col>3</xdr:col>
      <xdr:colOff>476200</xdr:colOff>
      <xdr:row>12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90775" y="813885"/>
          <a:ext cx="1952575" cy="1634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4</xdr:row>
      <xdr:rowOff>66675</xdr:rowOff>
    </xdr:from>
    <xdr:to>
      <xdr:col>8</xdr:col>
      <xdr:colOff>334475</xdr:colOff>
      <xdr:row>17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857250"/>
          <a:ext cx="3934925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8</xdr:row>
      <xdr:rowOff>38100</xdr:rowOff>
    </xdr:from>
    <xdr:to>
      <xdr:col>11</xdr:col>
      <xdr:colOff>400050</xdr:colOff>
      <xdr:row>21</xdr:row>
      <xdr:rowOff>171450</xdr:rowOff>
    </xdr:to>
    <xdr:pic>
      <xdr:nvPicPr>
        <xdr:cNvPr id="3" name="Picture 2" descr="Skin Depth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1657350"/>
          <a:ext cx="3514725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42</xdr:row>
      <xdr:rowOff>0</xdr:rowOff>
    </xdr:from>
    <xdr:to>
      <xdr:col>9</xdr:col>
      <xdr:colOff>457200</xdr:colOff>
      <xdr:row>46</xdr:row>
      <xdr:rowOff>70520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7524750"/>
          <a:ext cx="3676650" cy="84204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285750</xdr:colOff>
          <xdr:row>13</xdr:row>
          <xdr:rowOff>28575</xdr:rowOff>
        </xdr:from>
        <xdr:to>
          <xdr:col>8</xdr:col>
          <xdr:colOff>152400</xdr:colOff>
          <xdr:row>31</xdr:row>
          <xdr:rowOff>161925</xdr:rowOff>
        </xdr:to>
        <xdr:sp macro="" textlink="">
          <xdr:nvSpPr>
            <xdr:cNvPr id="8197" name="Object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14951</xdr:colOff>
      <xdr:row>33</xdr:row>
      <xdr:rowOff>15352</xdr:rowOff>
    </xdr:from>
    <xdr:to>
      <xdr:col>13</xdr:col>
      <xdr:colOff>404606</xdr:colOff>
      <xdr:row>59</xdr:row>
      <xdr:rowOff>168965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891252</xdr:colOff>
      <xdr:row>78</xdr:row>
      <xdr:rowOff>161925</xdr:rowOff>
    </xdr:from>
    <xdr:to>
      <xdr:col>12</xdr:col>
      <xdr:colOff>485776</xdr:colOff>
      <xdr:row>118</xdr:row>
      <xdr:rowOff>64190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e2e.ti.com/blogs_/b/analogwire/archive/2014/11/21/inductive-sensing-sensor-frequency-constrain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37"/>
  <sheetViews>
    <sheetView showGridLines="0" tabSelected="1" workbookViewId="0">
      <selection activeCell="C13" sqref="C13"/>
    </sheetView>
  </sheetViews>
  <sheetFormatPr defaultRowHeight="15" x14ac:dyDescent="0.25"/>
  <cols>
    <col min="2" max="2" width="5.140625" customWidth="1"/>
    <col min="3" max="3" width="23" customWidth="1"/>
    <col min="4" max="4" width="9.5703125" bestFit="1" customWidth="1"/>
    <col min="8" max="8" width="27.140625" customWidth="1"/>
  </cols>
  <sheetData>
    <row r="2" spans="2:5" ht="18.75" x14ac:dyDescent="0.3">
      <c r="B2" s="15" t="s">
        <v>127</v>
      </c>
      <c r="E2" t="s">
        <v>501</v>
      </c>
    </row>
    <row r="3" spans="2:5" x14ac:dyDescent="0.25">
      <c r="B3" s="198" t="s">
        <v>363</v>
      </c>
    </row>
    <row r="4" spans="2:5" x14ac:dyDescent="0.25">
      <c r="B4" t="s">
        <v>344</v>
      </c>
    </row>
    <row r="5" spans="2:5" x14ac:dyDescent="0.25">
      <c r="C5" s="84" t="s">
        <v>424</v>
      </c>
    </row>
    <row r="6" spans="2:5" x14ac:dyDescent="0.25">
      <c r="C6" s="84" t="s">
        <v>362</v>
      </c>
    </row>
    <row r="7" spans="2:5" x14ac:dyDescent="0.25">
      <c r="C7" s="84" t="s">
        <v>353</v>
      </c>
    </row>
    <row r="8" spans="2:5" x14ac:dyDescent="0.25">
      <c r="C8" s="84" t="s">
        <v>128</v>
      </c>
    </row>
    <row r="9" spans="2:5" x14ac:dyDescent="0.25">
      <c r="C9" s="84" t="s">
        <v>364</v>
      </c>
    </row>
    <row r="10" spans="2:5" x14ac:dyDescent="0.25">
      <c r="C10" s="84" t="s">
        <v>340</v>
      </c>
    </row>
    <row r="11" spans="2:5" x14ac:dyDescent="0.25">
      <c r="C11" s="84" t="s">
        <v>206</v>
      </c>
    </row>
    <row r="12" spans="2:5" x14ac:dyDescent="0.25">
      <c r="C12" s="84" t="s">
        <v>315</v>
      </c>
    </row>
    <row r="13" spans="2:5" x14ac:dyDescent="0.25">
      <c r="C13" s="84" t="s">
        <v>419</v>
      </c>
    </row>
    <row r="15" spans="2:5" ht="15.75" x14ac:dyDescent="0.25">
      <c r="C15" s="189" t="s">
        <v>345</v>
      </c>
      <c r="D15" s="50"/>
      <c r="E15" s="50"/>
    </row>
    <row r="16" spans="2:5" x14ac:dyDescent="0.25">
      <c r="C16" s="96" t="str">
        <f>IF(C18="L","fsensor","L")</f>
        <v>L</v>
      </c>
      <c r="D16" s="95">
        <v>20</v>
      </c>
      <c r="E16" s="191" t="str">
        <f>IF(C16="fsensor","MHz","µH")</f>
        <v>µH</v>
      </c>
    </row>
    <row r="17" spans="2:5" x14ac:dyDescent="0.25">
      <c r="C17" s="96" t="str">
        <f>IF(C18="C","fsensor","C")</f>
        <v>C</v>
      </c>
      <c r="D17" s="95">
        <v>500</v>
      </c>
      <c r="E17" s="192" t="str">
        <f>IF(C17="fsensor","MHz","pF")</f>
        <v>pF</v>
      </c>
    </row>
    <row r="18" spans="2:5" x14ac:dyDescent="0.25">
      <c r="C18" s="76" t="s">
        <v>283</v>
      </c>
      <c r="D18" s="94">
        <f>IF(C18="fsensor",0.000001/(2*PI()*SQRT(D16*0.000001*D17*0.000000000001)),IF(C18="C",1000000000000/((D16*0.000001)*(2*PI()*D17*1000000)^2),1000000/((D17*0.000000000001)*(2*PI()*D16*1000000)^2)))</f>
        <v>1.5915494309189533</v>
      </c>
      <c r="E18" s="96" t="str">
        <f>IF(C18="fsensor","MHz",IF(C18="L","µH","pF"))</f>
        <v>MHz</v>
      </c>
    </row>
    <row r="19" spans="2:5" x14ac:dyDescent="0.25">
      <c r="C19" s="190"/>
    </row>
    <row r="20" spans="2:5" ht="15.75" x14ac:dyDescent="0.25">
      <c r="C20" s="189" t="s">
        <v>352</v>
      </c>
    </row>
    <row r="21" spans="2:5" x14ac:dyDescent="0.25">
      <c r="C21" s="241" t="s">
        <v>94</v>
      </c>
      <c r="D21" s="86">
        <v>5.47</v>
      </c>
      <c r="E21" s="242" t="s">
        <v>145</v>
      </c>
    </row>
    <row r="22" spans="2:5" x14ac:dyDescent="0.25">
      <c r="C22" s="241" t="s">
        <v>29</v>
      </c>
      <c r="D22" s="86">
        <v>270</v>
      </c>
      <c r="E22" s="96" t="s">
        <v>30</v>
      </c>
    </row>
    <row r="23" spans="2:5" x14ac:dyDescent="0.25">
      <c r="C23" s="241" t="str">
        <f>IF(C24="Rp","Rs","Rp")</f>
        <v>Rs</v>
      </c>
      <c r="D23" s="86">
        <v>3.2</v>
      </c>
      <c r="E23" s="242" t="str">
        <f>IF(C24="Rp","Ω","kΩ")</f>
        <v>Ω</v>
      </c>
    </row>
    <row r="24" spans="2:5" x14ac:dyDescent="0.25">
      <c r="C24" s="243" t="s">
        <v>112</v>
      </c>
      <c r="D24" s="106">
        <f>1000/D23*D21/D22</f>
        <v>6.3310185185185182</v>
      </c>
      <c r="E24" s="96" t="str">
        <f>IF(C24="Rp","kΩ","Ω")</f>
        <v>kΩ</v>
      </c>
    </row>
    <row r="25" spans="2:5" x14ac:dyDescent="0.25">
      <c r="C25" s="241" t="s">
        <v>283</v>
      </c>
      <c r="D25" s="323">
        <f>(0.000001/(2*PI()*SQRT(D21*0.000001*D22*0.000000000001)))</f>
        <v>4.1413752756377997</v>
      </c>
      <c r="E25" s="96" t="s">
        <v>0</v>
      </c>
    </row>
    <row r="26" spans="2:5" x14ac:dyDescent="0.25">
      <c r="C26" s="241" t="s">
        <v>114</v>
      </c>
      <c r="D26" s="169">
        <f>IF(C24="Rs",(1000/D24)*SQRT(D21/D22),(1000/D23)*SQRT(D21/D22))</f>
        <v>44.479695221944105</v>
      </c>
      <c r="E26" s="261"/>
    </row>
    <row r="28" spans="2:5" ht="15.75" x14ac:dyDescent="0.25">
      <c r="B28" s="4"/>
      <c r="C28" s="258" t="s">
        <v>342</v>
      </c>
    </row>
    <row r="29" spans="2:5" ht="45" x14ac:dyDescent="0.25">
      <c r="C29" s="99" t="s">
        <v>378</v>
      </c>
    </row>
    <row r="30" spans="2:5" ht="45" x14ac:dyDescent="0.25">
      <c r="C30" s="100" t="s">
        <v>379</v>
      </c>
    </row>
    <row r="31" spans="2:5" ht="45" x14ac:dyDescent="0.25">
      <c r="C31" s="204" t="s">
        <v>380</v>
      </c>
    </row>
    <row r="34" spans="8:8" x14ac:dyDescent="0.25">
      <c r="H34" s="73"/>
    </row>
    <row r="35" spans="8:8" x14ac:dyDescent="0.25">
      <c r="H35" s="73"/>
    </row>
    <row r="36" spans="8:8" x14ac:dyDescent="0.25">
      <c r="H36" s="73"/>
    </row>
    <row r="37" spans="8:8" x14ac:dyDescent="0.25">
      <c r="H37" s="71"/>
    </row>
  </sheetData>
  <dataValidations count="5">
    <dataValidation type="list" allowBlank="1" showInputMessage="1" showErrorMessage="1" sqref="C18">
      <formula1>"fsensor,L,C"</formula1>
    </dataValidation>
    <dataValidation type="list" allowBlank="1" showInputMessage="1" showErrorMessage="1" sqref="C24">
      <formula1>"Rs,Rp"</formula1>
    </dataValidation>
    <dataValidation type="decimal" operator="greaterThan" allowBlank="1" showInputMessage="1" showErrorMessage="1" sqref="D21:D23">
      <formula1>0</formula1>
    </dataValidation>
    <dataValidation type="decimal" errorStyle="warning" allowBlank="1" showInputMessage="1" showErrorMessage="1" errorTitle="Extreme Value" error="Please verify the value is correct, note the units are μH, pF, and MHz." sqref="D16:D17">
      <formula1>0.001</formula1>
      <formula2>1000000</formula2>
    </dataValidation>
    <dataValidation allowBlank="1" showDropDown="1" showInputMessage="1" showErrorMessage="1" sqref="C25"/>
  </dataValidations>
  <hyperlinks>
    <hyperlink ref="C6" location="Spiral_Inductor_Designer!A1" display="Spiral Inductor Designer"/>
    <hyperlink ref="C5" location="'Spring Sensor'!A1" display="Spring Sensor Calculator Tool"/>
    <hyperlink ref="C8" location="'Remote Coil Length'!A1" display="Remote Coil Maximum Distance Calculator"/>
    <hyperlink ref="C9" location="'LDC Operating Region'!A1" display="Sensor Region Graph"/>
    <hyperlink ref="C10" location="'Output Code Calculator'!A1" display="Inductance&amp;Frequency from Output Code"/>
    <hyperlink ref="C11" location="SkinDepth!A1" display="Skin Depth Calculation"/>
    <hyperlink ref="C12" location="LDC131x_Current!A1" display="LDC161x/LDC131x Current Consumption Estimator"/>
    <hyperlink ref="C7" location="SampleRateCalc!A1" display="Sample Rate Calculator"/>
    <hyperlink ref="C13" location="LDC1101_RP_Config!A1" display="LDC1101 RP Configuration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4" tint="0.59999389629810485"/>
  </sheetPr>
  <dimension ref="A2:H112"/>
  <sheetViews>
    <sheetView showGridLines="0" showRowColHeaders="0" zoomScaleNormal="100" workbookViewId="0">
      <selection activeCell="G2" sqref="G2"/>
    </sheetView>
  </sheetViews>
  <sheetFormatPr defaultRowHeight="15" x14ac:dyDescent="0.25"/>
  <cols>
    <col min="2" max="2" width="13.42578125" customWidth="1"/>
    <col min="3" max="3" width="12.85546875" bestFit="1" customWidth="1"/>
    <col min="4" max="4" width="14.140625" customWidth="1"/>
    <col min="5" max="5" width="13.85546875" bestFit="1" customWidth="1"/>
    <col min="6" max="6" width="11.7109375" bestFit="1" customWidth="1"/>
    <col min="7" max="7" width="12.42578125" customWidth="1"/>
    <col min="8" max="8" width="11.85546875" customWidth="1"/>
  </cols>
  <sheetData>
    <row r="2" spans="1:8" ht="18.75" x14ac:dyDescent="0.3">
      <c r="B2" s="15" t="s">
        <v>233</v>
      </c>
      <c r="G2" s="84" t="s">
        <v>250</v>
      </c>
    </row>
    <row r="3" spans="1:8" ht="15.75" x14ac:dyDescent="0.25">
      <c r="A3" s="18"/>
      <c r="B3" s="16" t="s">
        <v>248</v>
      </c>
    </row>
    <row r="4" spans="1:8" ht="15.75" x14ac:dyDescent="0.25">
      <c r="A4" s="18"/>
      <c r="B4" s="16" t="s">
        <v>252</v>
      </c>
    </row>
    <row r="5" spans="1:8" ht="15.75" x14ac:dyDescent="0.25">
      <c r="A5" s="18"/>
      <c r="B5" s="16" t="s">
        <v>253</v>
      </c>
    </row>
    <row r="6" spans="1:8" ht="15.75" x14ac:dyDescent="0.25">
      <c r="A6" s="18"/>
      <c r="B6" s="16" t="s">
        <v>254</v>
      </c>
    </row>
    <row r="7" spans="1:8" ht="15.75" x14ac:dyDescent="0.25">
      <c r="B7" s="87" t="s">
        <v>347</v>
      </c>
      <c r="F7" s="84" t="s">
        <v>348</v>
      </c>
    </row>
    <row r="8" spans="1:8" x14ac:dyDescent="0.25">
      <c r="D8" s="81" t="s">
        <v>249</v>
      </c>
    </row>
    <row r="9" spans="1:8" x14ac:dyDescent="0.25">
      <c r="C9" s="21" t="s">
        <v>130</v>
      </c>
      <c r="D9" s="75">
        <v>5000</v>
      </c>
      <c r="E9" s="75">
        <v>10000</v>
      </c>
      <c r="F9" s="75">
        <v>100000</v>
      </c>
      <c r="G9" s="75">
        <v>1000000</v>
      </c>
      <c r="H9" s="75">
        <v>5000000</v>
      </c>
    </row>
    <row r="10" spans="1:8" x14ac:dyDescent="0.25">
      <c r="C10" s="21" t="s">
        <v>131</v>
      </c>
      <c r="D10" s="230" t="str">
        <f>"F= " &amp; IF( D9&gt;999000,D9/1000000 &amp; "M",D9/1000 &amp;"k") &amp; "Hz"</f>
        <v>F= 5kHz</v>
      </c>
      <c r="E10" s="230" t="str">
        <f t="shared" ref="E10:H10" si="0">"F= " &amp; IF( E9&gt;999000,E9/1000000 &amp; "M",E9/1000 &amp;"k") &amp; "Hz"</f>
        <v>F= 10kHz</v>
      </c>
      <c r="F10" s="230" t="str">
        <f t="shared" si="0"/>
        <v>F= 100kHz</v>
      </c>
      <c r="G10" s="230" t="str">
        <f t="shared" si="0"/>
        <v>F= 1MHz</v>
      </c>
      <c r="H10" s="230" t="str">
        <f t="shared" si="0"/>
        <v>F= 5MHz</v>
      </c>
    </row>
    <row r="11" spans="1:8" x14ac:dyDescent="0.25">
      <c r="C11" s="76">
        <v>1E-3</v>
      </c>
      <c r="D11" s="167">
        <f>1000000/($C11*0.000000001*(2*PI()*D$9)*(2*PI()*D$9))</f>
        <v>1013211836.4233775</v>
      </c>
      <c r="E11" s="167">
        <f t="shared" ref="E11:H14" si="1">1000000/($C11*0.000000001*(2*PI()*E$9)*(2*PI()*E$9))</f>
        <v>253302959.10584438</v>
      </c>
      <c r="F11" s="167">
        <f t="shared" si="1"/>
        <v>2533029.5910584447</v>
      </c>
      <c r="G11" s="167">
        <f t="shared" si="1"/>
        <v>25330.295910584438</v>
      </c>
      <c r="H11" s="167">
        <f t="shared" si="1"/>
        <v>1013.2118364233775</v>
      </c>
    </row>
    <row r="12" spans="1:8" hidden="1" x14ac:dyDescent="0.25">
      <c r="C12" s="207">
        <f>C11*100</f>
        <v>0.1</v>
      </c>
      <c r="D12" s="231">
        <f>1000000/($C12*0.000000001*(2*PI()*D$9)*(2*PI()*D$9))</f>
        <v>10132118.364233775</v>
      </c>
      <c r="E12" s="231">
        <f t="shared" si="1"/>
        <v>2533029.5910584438</v>
      </c>
      <c r="F12" s="231">
        <f t="shared" si="1"/>
        <v>25330.295910584446</v>
      </c>
      <c r="G12" s="231">
        <f t="shared" si="1"/>
        <v>253.30295910584442</v>
      </c>
      <c r="H12" s="231">
        <f t="shared" si="1"/>
        <v>10.132118364233776</v>
      </c>
    </row>
    <row r="13" spans="1:8" hidden="1" x14ac:dyDescent="0.25">
      <c r="C13" s="207">
        <f>C14/100</f>
        <v>10</v>
      </c>
      <c r="D13" s="231">
        <f>1000000/($C13*0.000000001*(2*PI()*D$9)*(2*PI()*D$9))</f>
        <v>101321.18364233778</v>
      </c>
      <c r="E13" s="231">
        <f t="shared" si="1"/>
        <v>25330.295910584446</v>
      </c>
      <c r="F13" s="231">
        <f t="shared" si="1"/>
        <v>253.30295910584451</v>
      </c>
      <c r="G13" s="231">
        <f t="shared" si="1"/>
        <v>2.5330295910584444</v>
      </c>
      <c r="H13" s="231">
        <f t="shared" si="1"/>
        <v>0.10132118364233776</v>
      </c>
    </row>
    <row r="14" spans="1:8" x14ac:dyDescent="0.25">
      <c r="C14" s="76">
        <v>1000</v>
      </c>
      <c r="D14" s="167">
        <f>1000000/($C14*0.000000001*(2*PI()*D$9)*(2*PI()*D$9))</f>
        <v>1013.2118364233777</v>
      </c>
      <c r="E14" s="167">
        <f t="shared" si="1"/>
        <v>253.30295910584442</v>
      </c>
      <c r="F14" s="167">
        <f t="shared" si="1"/>
        <v>2.5330295910584444</v>
      </c>
      <c r="G14" s="167">
        <f t="shared" si="1"/>
        <v>2.533029591058444E-2</v>
      </c>
      <c r="H14" s="167">
        <f t="shared" si="1"/>
        <v>1.0132118364233776E-3</v>
      </c>
    </row>
    <row r="15" spans="1:8" x14ac:dyDescent="0.25">
      <c r="C15" s="50"/>
    </row>
    <row r="16" spans="1:8" hidden="1" x14ac:dyDescent="0.25">
      <c r="C16" s="21" t="s">
        <v>132</v>
      </c>
      <c r="D16" s="21" t="s">
        <v>133</v>
      </c>
    </row>
    <row r="17" spans="1:5" hidden="1" x14ac:dyDescent="0.25">
      <c r="B17" s="21" t="s">
        <v>134</v>
      </c>
      <c r="C17" s="70">
        <v>0.05</v>
      </c>
      <c r="D17" s="73">
        <f>1000000/($C17*0.000000001*(2*PI()*D$9)*(2*PI()*D$9))</f>
        <v>20264236.72846755</v>
      </c>
    </row>
    <row r="18" spans="1:5" hidden="1" x14ac:dyDescent="0.25">
      <c r="C18" s="77">
        <f>C17</f>
        <v>0.05</v>
      </c>
      <c r="D18" s="73">
        <f>1000000/($C18*0.000000001*(2*PI()*H$9)*(2*PI()*H$9))</f>
        <v>20.264236728467552</v>
      </c>
    </row>
    <row r="19" spans="1:5" hidden="1" x14ac:dyDescent="0.25">
      <c r="C19" s="21" t="s">
        <v>135</v>
      </c>
      <c r="D19" s="21" t="s">
        <v>136</v>
      </c>
    </row>
    <row r="20" spans="1:5" hidden="1" x14ac:dyDescent="0.25">
      <c r="B20" s="21" t="s">
        <v>137</v>
      </c>
      <c r="C20" s="70">
        <v>470</v>
      </c>
      <c r="D20" s="73">
        <f>1000000/($C20*0.000000001*(2*PI()*D$9)*(2*PI()*D$9))</f>
        <v>2155.7698647305906</v>
      </c>
    </row>
    <row r="21" spans="1:5" hidden="1" x14ac:dyDescent="0.25">
      <c r="C21" s="77">
        <f>C20</f>
        <v>470</v>
      </c>
      <c r="D21" s="73">
        <f>1000000/($C21*0.000000001*(2*PI()*H$9)*(2*PI()*H$9))</f>
        <v>2.1557698647305906E-3</v>
      </c>
    </row>
    <row r="22" spans="1:5" hidden="1" x14ac:dyDescent="0.25"/>
    <row r="23" spans="1:5" hidden="1" x14ac:dyDescent="0.25"/>
    <row r="24" spans="1:5" hidden="1" x14ac:dyDescent="0.25">
      <c r="B24" s="21" t="s">
        <v>138</v>
      </c>
    </row>
    <row r="25" spans="1:5" hidden="1" x14ac:dyDescent="0.25">
      <c r="C25" s="21" t="s">
        <v>29</v>
      </c>
      <c r="D25" s="21" t="s">
        <v>94</v>
      </c>
    </row>
    <row r="26" spans="1:5" hidden="1" x14ac:dyDescent="0.25">
      <c r="B26" s="78" t="s">
        <v>139</v>
      </c>
      <c r="C26" s="78">
        <v>1.01E-3</v>
      </c>
      <c r="D26" s="79">
        <v>95000</v>
      </c>
      <c r="E26" s="79"/>
    </row>
    <row r="27" spans="1:5" hidden="1" x14ac:dyDescent="0.25">
      <c r="B27" s="78" t="s">
        <v>140</v>
      </c>
      <c r="C27" s="78">
        <f>C17</f>
        <v>0.05</v>
      </c>
      <c r="D27" s="79">
        <f>D26</f>
        <v>95000</v>
      </c>
    </row>
    <row r="28" spans="1:5" hidden="1" x14ac:dyDescent="0.25">
      <c r="B28" s="78" t="s">
        <v>141</v>
      </c>
      <c r="C28" s="78">
        <f>C27</f>
        <v>0.05</v>
      </c>
      <c r="D28" s="79">
        <f>1000000/($C28*0.000000001*(2*PI()*H$9)*(2*PI()*H$9))</f>
        <v>20.264236728467552</v>
      </c>
    </row>
    <row r="29" spans="1:5" hidden="1" x14ac:dyDescent="0.25">
      <c r="B29" s="78" t="s">
        <v>142</v>
      </c>
      <c r="C29" s="78">
        <f>C26</f>
        <v>1.01E-3</v>
      </c>
      <c r="D29" s="79">
        <f>1000000/($C29*0.000000001*(2*PI()*H$9)*(2*PI()*H$9))</f>
        <v>1003.18003606275</v>
      </c>
    </row>
    <row r="30" spans="1:5" hidden="1" x14ac:dyDescent="0.25">
      <c r="B30" s="78"/>
      <c r="C30" s="78">
        <f>C26</f>
        <v>1.01E-3</v>
      </c>
      <c r="D30" s="79">
        <f>D26</f>
        <v>95000</v>
      </c>
    </row>
    <row r="31" spans="1:5" hidden="1" x14ac:dyDescent="0.25">
      <c r="D31" s="73"/>
    </row>
    <row r="32" spans="1:5" ht="17.25" hidden="1" x14ac:dyDescent="0.3">
      <c r="A32" s="80" t="s">
        <v>143</v>
      </c>
      <c r="D32" s="73"/>
    </row>
    <row r="33" spans="1:6" ht="17.25" hidden="1" x14ac:dyDescent="0.3">
      <c r="A33" s="80" t="s">
        <v>144</v>
      </c>
    </row>
    <row r="34" spans="1:6" x14ac:dyDescent="0.25">
      <c r="A34" s="21" t="s">
        <v>114</v>
      </c>
      <c r="B34" s="21" t="s">
        <v>112</v>
      </c>
      <c r="C34" s="175" t="s">
        <v>135</v>
      </c>
      <c r="D34" s="175" t="s">
        <v>133</v>
      </c>
      <c r="E34" s="50"/>
      <c r="F34" s="50"/>
    </row>
    <row r="35" spans="1:6" x14ac:dyDescent="0.25">
      <c r="A35" s="76">
        <v>25</v>
      </c>
      <c r="B35" s="76">
        <v>798</v>
      </c>
      <c r="C35" s="235">
        <f>1000000000/(D35*0.000001*(2*PI()*$H$9)^2)</f>
        <v>0.99721142288154963</v>
      </c>
      <c r="D35" s="209">
        <f>1000000*B35/(2*PI()*H$9*A35)</f>
        <v>1.0160451566986599</v>
      </c>
      <c r="E35" s="236" t="str">
        <f>H10</f>
        <v>F= 5MHz</v>
      </c>
      <c r="F35" s="237" t="str">
        <f>"Q="&amp;A35&amp;", RP="&amp;B35&amp;"Ω"</f>
        <v>Q=25, RP=798Ω</v>
      </c>
    </row>
    <row r="36" spans="1:6" x14ac:dyDescent="0.25">
      <c r="A36" s="205">
        <f>A35</f>
        <v>25</v>
      </c>
      <c r="B36" s="205">
        <f>B35</f>
        <v>798</v>
      </c>
      <c r="C36" s="235">
        <f>1000000000/(D36*0.000001*(2*PI()*$D$9)^2)</f>
        <v>997.21142288154977</v>
      </c>
      <c r="D36" s="209">
        <f>1000000*B36/(2*PI()*D$9*A36)</f>
        <v>1016.0451566986599</v>
      </c>
      <c r="E36" s="236" t="str">
        <f>D10</f>
        <v>F= 5kHz</v>
      </c>
      <c r="F36" s="205"/>
    </row>
    <row r="37" spans="1:6" x14ac:dyDescent="0.25">
      <c r="C37" s="50"/>
      <c r="D37" s="238"/>
      <c r="E37" s="200"/>
      <c r="F37" s="50"/>
    </row>
    <row r="38" spans="1:6" x14ac:dyDescent="0.25">
      <c r="A38" s="21" t="s">
        <v>114</v>
      </c>
      <c r="B38" s="21" t="s">
        <v>112</v>
      </c>
      <c r="C38" s="175" t="s">
        <v>135</v>
      </c>
      <c r="D38" s="175" t="s">
        <v>133</v>
      </c>
      <c r="E38" s="200"/>
      <c r="F38" s="50"/>
    </row>
    <row r="39" spans="1:6" x14ac:dyDescent="0.25">
      <c r="A39" s="76">
        <v>5</v>
      </c>
      <c r="B39" s="76">
        <v>798</v>
      </c>
      <c r="C39" s="213">
        <f>1000000000/(D39*0.000001*(2*PI()*$H$9)^2)</f>
        <v>0.19944228457630997</v>
      </c>
      <c r="D39" s="209">
        <f>1000000*B39/(2*PI()*H$9*A39)</f>
        <v>5.0802257834932991</v>
      </c>
      <c r="E39" s="233" t="str">
        <f>H10</f>
        <v>F= 5MHz</v>
      </c>
      <c r="F39" s="234" t="str">
        <f>"Q="&amp;A39&amp;", RP="&amp;B39&amp;"Ω"</f>
        <v>Q=5, RP=798Ω</v>
      </c>
    </row>
    <row r="40" spans="1:6" x14ac:dyDescent="0.25">
      <c r="A40" s="232">
        <f>A39</f>
        <v>5</v>
      </c>
      <c r="B40" s="232">
        <f>B39</f>
        <v>798</v>
      </c>
      <c r="C40" s="213">
        <f>1000000000/(D40*0.000001*(2*PI()*$D$9)^2)</f>
        <v>199.44228457630996</v>
      </c>
      <c r="D40" s="209">
        <f>1000000*B40/(2*PI()*D$9*A40)</f>
        <v>5080.2257834932989</v>
      </c>
      <c r="E40" s="233" t="str">
        <f>D10</f>
        <v>F= 5kHz</v>
      </c>
      <c r="F40" s="203"/>
    </row>
    <row r="44" spans="1:6" x14ac:dyDescent="0.25">
      <c r="B44" s="30"/>
      <c r="C44" s="30"/>
      <c r="D44" s="30"/>
    </row>
    <row r="45" spans="1:6" x14ac:dyDescent="0.25">
      <c r="D45" s="82"/>
    </row>
    <row r="46" spans="1:6" x14ac:dyDescent="0.25">
      <c r="B46" s="30"/>
      <c r="C46" s="30"/>
      <c r="D46" s="83"/>
    </row>
    <row r="47" spans="1:6" x14ac:dyDescent="0.25">
      <c r="B47" s="30"/>
      <c r="C47" s="30"/>
      <c r="D47" s="83"/>
    </row>
    <row r="48" spans="1:6" x14ac:dyDescent="0.25">
      <c r="C48" s="71"/>
    </row>
    <row r="66" spans="1:8" ht="18.75" x14ac:dyDescent="0.3">
      <c r="B66" s="15" t="s">
        <v>317</v>
      </c>
      <c r="G66" s="84" t="s">
        <v>250</v>
      </c>
    </row>
    <row r="67" spans="1:8" ht="15.75" x14ac:dyDescent="0.25">
      <c r="A67" s="18"/>
      <c r="B67" s="16" t="s">
        <v>248</v>
      </c>
    </row>
    <row r="68" spans="1:8" ht="15.75" x14ac:dyDescent="0.25">
      <c r="A68" s="18"/>
      <c r="B68" s="16" t="s">
        <v>318</v>
      </c>
    </row>
    <row r="69" spans="1:8" ht="15.75" x14ac:dyDescent="0.25">
      <c r="A69" s="18"/>
      <c r="B69" s="16" t="s">
        <v>319</v>
      </c>
    </row>
    <row r="70" spans="1:8" ht="15.75" x14ac:dyDescent="0.25">
      <c r="A70" s="18"/>
      <c r="B70" s="16" t="s">
        <v>320</v>
      </c>
    </row>
    <row r="71" spans="1:8" ht="15.75" x14ac:dyDescent="0.25">
      <c r="B71" s="87"/>
    </row>
    <row r="72" spans="1:8" x14ac:dyDescent="0.25">
      <c r="D72" s="81" t="s">
        <v>249</v>
      </c>
    </row>
    <row r="73" spans="1:8" x14ac:dyDescent="0.25">
      <c r="C73" s="21" t="s">
        <v>130</v>
      </c>
      <c r="D73" s="75">
        <v>10000</v>
      </c>
      <c r="E73" s="75">
        <v>10000</v>
      </c>
      <c r="F73" s="75">
        <v>100000</v>
      </c>
      <c r="G73" s="75">
        <v>1000000</v>
      </c>
      <c r="H73" s="75">
        <v>10000000</v>
      </c>
    </row>
    <row r="74" spans="1:8" x14ac:dyDescent="0.25">
      <c r="C74" s="21" t="s">
        <v>131</v>
      </c>
      <c r="D74" s="230" t="str">
        <f>"F= " &amp; IF( D73&gt;999000,D73/1000000 &amp; "M",D73/1000 &amp;"k") &amp; "Hz"</f>
        <v>F= 10kHz</v>
      </c>
      <c r="E74" s="230" t="str">
        <f t="shared" ref="E74:H74" si="2">"F= " &amp; IF( E73&gt;999000,E73/1000000 &amp; "M",E73/1000 &amp;"k") &amp; "Hz"</f>
        <v>F= 10kHz</v>
      </c>
      <c r="F74" s="230" t="str">
        <f t="shared" si="2"/>
        <v>F= 100kHz</v>
      </c>
      <c r="G74" s="230" t="str">
        <f t="shared" si="2"/>
        <v>F= 1MHz</v>
      </c>
      <c r="H74" s="230" t="str">
        <f t="shared" si="2"/>
        <v>F= 10MHz</v>
      </c>
    </row>
    <row r="75" spans="1:8" x14ac:dyDescent="0.25">
      <c r="C75" s="76">
        <v>1E-3</v>
      </c>
      <c r="D75" s="167">
        <f>1000000/($C75*0.000000001*(2*PI()*D$9)*(2*PI()*D$9))</f>
        <v>1013211836.4233775</v>
      </c>
      <c r="E75" s="167">
        <f t="shared" ref="E75:H78" si="3">1000000/($C75*0.000000001*(2*PI()*E$9)*(2*PI()*E$9))</f>
        <v>253302959.10584438</v>
      </c>
      <c r="F75" s="167">
        <f t="shared" si="3"/>
        <v>2533029.5910584447</v>
      </c>
      <c r="G75" s="167">
        <f t="shared" si="3"/>
        <v>25330.295910584438</v>
      </c>
      <c r="H75" s="167">
        <f t="shared" si="3"/>
        <v>1013.2118364233775</v>
      </c>
    </row>
    <row r="76" spans="1:8" hidden="1" x14ac:dyDescent="0.25">
      <c r="C76" s="207">
        <f>C75*100</f>
        <v>0.1</v>
      </c>
      <c r="D76" s="231">
        <f>1000000/($C76*0.000000001*(2*PI()*D$9)*(2*PI()*D$9))</f>
        <v>10132118.364233775</v>
      </c>
      <c r="E76" s="231">
        <f t="shared" si="3"/>
        <v>2533029.5910584438</v>
      </c>
      <c r="F76" s="231">
        <f t="shared" si="3"/>
        <v>25330.295910584446</v>
      </c>
      <c r="G76" s="231">
        <f t="shared" si="3"/>
        <v>253.30295910584442</v>
      </c>
      <c r="H76" s="231">
        <f t="shared" si="3"/>
        <v>10.132118364233776</v>
      </c>
    </row>
    <row r="77" spans="1:8" hidden="1" x14ac:dyDescent="0.25">
      <c r="C77" s="207">
        <f>C78/100</f>
        <v>10</v>
      </c>
      <c r="D77" s="231">
        <f>1000000/($C77*0.000000001*(2*PI()*D$9)*(2*PI()*D$9))</f>
        <v>101321.18364233778</v>
      </c>
      <c r="E77" s="231">
        <f t="shared" si="3"/>
        <v>25330.295910584446</v>
      </c>
      <c r="F77" s="231">
        <f t="shared" si="3"/>
        <v>253.30295910584451</v>
      </c>
      <c r="G77" s="231">
        <f t="shared" si="3"/>
        <v>2.5330295910584444</v>
      </c>
      <c r="H77" s="231">
        <f t="shared" si="3"/>
        <v>0.10132118364233776</v>
      </c>
    </row>
    <row r="78" spans="1:8" x14ac:dyDescent="0.25">
      <c r="C78" s="76">
        <v>1000</v>
      </c>
      <c r="D78" s="167">
        <f>1000000/($C78*0.000000001*(2*PI()*D$9)*(2*PI()*D$9))</f>
        <v>1013.2118364233777</v>
      </c>
      <c r="E78" s="167">
        <f t="shared" si="3"/>
        <v>253.30295910584442</v>
      </c>
      <c r="F78" s="167">
        <f t="shared" si="3"/>
        <v>2.5330295910584444</v>
      </c>
      <c r="G78" s="167">
        <f t="shared" si="3"/>
        <v>2.533029591058444E-2</v>
      </c>
      <c r="H78" s="167">
        <f t="shared" si="3"/>
        <v>1.0132118364233776E-3</v>
      </c>
    </row>
    <row r="79" spans="1:8" x14ac:dyDescent="0.25">
      <c r="C79" s="50"/>
    </row>
    <row r="80" spans="1:8" hidden="1" x14ac:dyDescent="0.25">
      <c r="C80" s="21" t="s">
        <v>132</v>
      </c>
      <c r="D80" s="21" t="s">
        <v>133</v>
      </c>
    </row>
    <row r="81" spans="1:5" hidden="1" x14ac:dyDescent="0.25">
      <c r="B81" s="21" t="s">
        <v>134</v>
      </c>
      <c r="C81" s="70">
        <v>0.05</v>
      </c>
      <c r="D81" s="73">
        <f>1000000/($C81*0.000000001*(2*PI()*D$9)*(2*PI()*D$9))</f>
        <v>20264236.72846755</v>
      </c>
    </row>
    <row r="82" spans="1:5" hidden="1" x14ac:dyDescent="0.25">
      <c r="C82" s="77">
        <f>C81</f>
        <v>0.05</v>
      </c>
      <c r="D82" s="73">
        <f>1000000/($C82*0.000000001*(2*PI()*H$9)*(2*PI()*H$9))</f>
        <v>20.264236728467552</v>
      </c>
    </row>
    <row r="83" spans="1:5" hidden="1" x14ac:dyDescent="0.25">
      <c r="C83" s="21" t="s">
        <v>135</v>
      </c>
      <c r="D83" s="21" t="s">
        <v>136</v>
      </c>
    </row>
    <row r="84" spans="1:5" hidden="1" x14ac:dyDescent="0.25">
      <c r="B84" s="21" t="s">
        <v>137</v>
      </c>
      <c r="C84" s="70">
        <v>470</v>
      </c>
      <c r="D84" s="73">
        <f>1000000/($C84*0.000000001*(2*PI()*D$9)*(2*PI()*D$9))</f>
        <v>2155.7698647305906</v>
      </c>
    </row>
    <row r="85" spans="1:5" hidden="1" x14ac:dyDescent="0.25">
      <c r="C85" s="77">
        <f>C84</f>
        <v>470</v>
      </c>
      <c r="D85" s="73">
        <f>1000000/($C85*0.000000001*(2*PI()*H$9)*(2*PI()*H$9))</f>
        <v>2.1557698647305906E-3</v>
      </c>
    </row>
    <row r="86" spans="1:5" ht="15.75" hidden="1" customHeight="1" x14ac:dyDescent="0.25"/>
    <row r="87" spans="1:5" hidden="1" x14ac:dyDescent="0.25"/>
    <row r="88" spans="1:5" hidden="1" x14ac:dyDescent="0.25">
      <c r="B88" s="21" t="s">
        <v>138</v>
      </c>
    </row>
    <row r="89" spans="1:5" hidden="1" x14ac:dyDescent="0.25">
      <c r="C89" s="21" t="s">
        <v>29</v>
      </c>
      <c r="D89" s="21" t="s">
        <v>94</v>
      </c>
    </row>
    <row r="90" spans="1:5" hidden="1" x14ac:dyDescent="0.25">
      <c r="B90" s="78" t="s">
        <v>139</v>
      </c>
      <c r="C90" s="78">
        <v>1.01E-3</v>
      </c>
      <c r="D90" s="79">
        <v>95000</v>
      </c>
      <c r="E90" s="79"/>
    </row>
    <row r="91" spans="1:5" hidden="1" x14ac:dyDescent="0.25">
      <c r="B91" s="78" t="s">
        <v>140</v>
      </c>
      <c r="C91" s="78">
        <f>C81</f>
        <v>0.05</v>
      </c>
      <c r="D91" s="79">
        <f>D90</f>
        <v>95000</v>
      </c>
    </row>
    <row r="92" spans="1:5" hidden="1" x14ac:dyDescent="0.25">
      <c r="B92" s="78" t="s">
        <v>141</v>
      </c>
      <c r="C92" s="78">
        <f>C91</f>
        <v>0.05</v>
      </c>
      <c r="D92" s="79">
        <f>1000000/($C92*0.000000001*(2*PI()*H$9)*(2*PI()*H$9))</f>
        <v>20.264236728467552</v>
      </c>
    </row>
    <row r="93" spans="1:5" hidden="1" x14ac:dyDescent="0.25">
      <c r="B93" s="78" t="s">
        <v>142</v>
      </c>
      <c r="C93" s="78">
        <f>C90</f>
        <v>1.01E-3</v>
      </c>
      <c r="D93" s="79">
        <f>1000000/($C93*0.000000001*(2*PI()*H$9)*(2*PI()*H$9))</f>
        <v>1003.18003606275</v>
      </c>
    </row>
    <row r="94" spans="1:5" hidden="1" x14ac:dyDescent="0.25">
      <c r="B94" s="78"/>
      <c r="C94" s="78">
        <f>C90</f>
        <v>1.01E-3</v>
      </c>
      <c r="D94" s="79">
        <f>D90</f>
        <v>95000</v>
      </c>
    </row>
    <row r="95" spans="1:5" x14ac:dyDescent="0.25">
      <c r="D95" s="73"/>
    </row>
    <row r="96" spans="1:5" ht="17.25" x14ac:dyDescent="0.3">
      <c r="A96" s="80" t="s">
        <v>143</v>
      </c>
      <c r="D96" s="73"/>
    </row>
    <row r="97" spans="1:6" ht="17.25" x14ac:dyDescent="0.3">
      <c r="A97" s="80" t="s">
        <v>144</v>
      </c>
    </row>
    <row r="98" spans="1:6" x14ac:dyDescent="0.25">
      <c r="A98" s="21" t="s">
        <v>114</v>
      </c>
      <c r="B98" s="21" t="s">
        <v>112</v>
      </c>
      <c r="C98" s="175" t="s">
        <v>135</v>
      </c>
      <c r="D98" s="175" t="s">
        <v>133</v>
      </c>
      <c r="E98" s="50"/>
      <c r="F98" s="50"/>
    </row>
    <row r="99" spans="1:6" x14ac:dyDescent="0.25">
      <c r="A99" s="76">
        <v>25</v>
      </c>
      <c r="B99" s="76">
        <v>1000</v>
      </c>
      <c r="C99" s="213">
        <f>1000000000/(D99*0.000001*(2*PI()*$H$9)^2)</f>
        <v>0.79577471545947664</v>
      </c>
      <c r="D99" s="209">
        <f>1000000*B99/(2*PI()*H$9*A99)</f>
        <v>1.2732395447351628</v>
      </c>
      <c r="E99" s="233" t="str">
        <f>H74</f>
        <v>F= 10MHz</v>
      </c>
      <c r="F99" s="234" t="str">
        <f>"Q="&amp;A99&amp;", RP="&amp;B99&amp;"Ω"</f>
        <v>Q=25, RP=1000Ω</v>
      </c>
    </row>
    <row r="100" spans="1:6" x14ac:dyDescent="0.25">
      <c r="A100" s="205">
        <f>A99</f>
        <v>25</v>
      </c>
      <c r="B100" s="205">
        <f>B99</f>
        <v>1000</v>
      </c>
      <c r="C100" s="213">
        <f>1000000000/(D100*0.000001*(2*PI()*$D$9)^2)</f>
        <v>795.77471545947662</v>
      </c>
      <c r="D100" s="209">
        <f>1000000*B100/(2*PI()*D$9*A100)</f>
        <v>1273.2395447351628</v>
      </c>
      <c r="E100" s="233" t="str">
        <f>D74</f>
        <v>F= 10kHz</v>
      </c>
      <c r="F100" s="203"/>
    </row>
    <row r="101" spans="1:6" x14ac:dyDescent="0.25">
      <c r="C101" s="50"/>
      <c r="D101" s="238"/>
      <c r="E101" s="200"/>
      <c r="F101" s="50"/>
    </row>
    <row r="102" spans="1:6" x14ac:dyDescent="0.25">
      <c r="A102" s="21" t="s">
        <v>114</v>
      </c>
      <c r="B102" s="21" t="s">
        <v>112</v>
      </c>
      <c r="C102" s="175" t="s">
        <v>135</v>
      </c>
      <c r="D102" s="175" t="s">
        <v>133</v>
      </c>
      <c r="E102" s="200"/>
      <c r="F102" s="50"/>
    </row>
    <row r="103" spans="1:6" x14ac:dyDescent="0.25">
      <c r="A103" s="76">
        <v>5</v>
      </c>
      <c r="B103" s="76">
        <v>1000</v>
      </c>
      <c r="C103" s="213">
        <f>1000000000/(D103*0.000001*(2*PI()*$H$9)^2)</f>
        <v>0.15915494309189537</v>
      </c>
      <c r="D103" s="209">
        <f>1000000*B103/(2*PI()*H$9*A103)</f>
        <v>6.3661977236758132</v>
      </c>
      <c r="E103" s="233" t="str">
        <f>H74</f>
        <v>F= 10MHz</v>
      </c>
      <c r="F103" s="234" t="str">
        <f>"Q="&amp;A103&amp;", RP="&amp;B103&amp;"Ω"</f>
        <v>Q=5, RP=1000Ω</v>
      </c>
    </row>
    <row r="104" spans="1:6" x14ac:dyDescent="0.25">
      <c r="A104" s="205">
        <f>A103</f>
        <v>5</v>
      </c>
      <c r="B104" s="205">
        <f>B103</f>
        <v>1000</v>
      </c>
      <c r="C104" s="213">
        <f>1000000000/(D104*0.000001*(2*PI()*$D$9)^2)</f>
        <v>159.15494309189538</v>
      </c>
      <c r="D104" s="209">
        <f>1000000*B104/(2*PI()*D$9*A104)</f>
        <v>6366.197723675813</v>
      </c>
      <c r="E104" s="233" t="str">
        <f>D74</f>
        <v>F= 10kHz</v>
      </c>
      <c r="F104" s="203"/>
    </row>
    <row r="108" spans="1:6" x14ac:dyDescent="0.25">
      <c r="B108" s="30"/>
      <c r="C108" s="30"/>
      <c r="D108" s="30"/>
    </row>
    <row r="109" spans="1:6" x14ac:dyDescent="0.25">
      <c r="D109" s="82"/>
    </row>
    <row r="110" spans="1:6" x14ac:dyDescent="0.25">
      <c r="B110" s="30"/>
      <c r="C110" s="30"/>
      <c r="D110" s="83"/>
    </row>
    <row r="111" spans="1:6" x14ac:dyDescent="0.25">
      <c r="B111" s="30"/>
      <c r="C111" s="30"/>
      <c r="D111" s="83"/>
    </row>
    <row r="112" spans="1:6" x14ac:dyDescent="0.25">
      <c r="C112" s="71"/>
    </row>
  </sheetData>
  <dataValidations disablePrompts="1" count="7">
    <dataValidation type="decimal" allowBlank="1" showInputMessage="1" showErrorMessage="1" sqref="D9:H9">
      <formula1>5000</formula1>
      <formula2>5000000</formula2>
    </dataValidation>
    <dataValidation type="decimal" operator="greaterThan" allowBlank="1" showInputMessage="1" showErrorMessage="1" sqref="A35 A39 A99 A103">
      <formula1>0</formula1>
    </dataValidation>
    <dataValidation type="decimal" errorStyle="warning" operator="greaterThanOrEqual" allowBlank="1" showInputMessage="1" showErrorMessage="1" errorTitle="RP too Low" error="The minimum RP spec for the LDC1000/LDC1041/LDC1051 is 798ohms." sqref="B35">
      <formula1>798</formula1>
    </dataValidation>
    <dataValidation type="decimal" errorStyle="warning" operator="greaterThanOrEqual" allowBlank="1" showInputMessage="1" showErrorMessage="1" errorTitle="RP too low" error="The Minimum RP value for the LDC1000/LDC1041/LDC1051 is 798ohms." sqref="B39">
      <formula1>798</formula1>
    </dataValidation>
    <dataValidation type="decimal" allowBlank="1" showInputMessage="1" showErrorMessage="1" sqref="D73:H73">
      <formula1>10000</formula1>
      <formula2>10000000</formula2>
    </dataValidation>
    <dataValidation type="decimal" errorStyle="warning" operator="greaterThanOrEqual" allowBlank="1" showInputMessage="1" showErrorMessage="1" errorTitle="RP too Low" error="The minimum RP spec for the LDC131x/161x is 1000ohms; the high drive mode on channel 0 can support 250ohms." sqref="B99">
      <formula1>1000</formula1>
    </dataValidation>
    <dataValidation type="decimal" errorStyle="warning" operator="greaterThanOrEqual" allowBlank="1" showInputMessage="1" showErrorMessage="1" errorTitle="RP too low" error="The minimum RP spec for the LDC131x/161x is 1000ohms; the high drive mode on channel 0 can support 250ohms." sqref="B103">
      <formula1>1000</formula1>
    </dataValidation>
  </dataValidations>
  <hyperlinks>
    <hyperlink ref="G2" location="Contents!A1" display="Return to Main Page"/>
    <hyperlink ref="G66" location="Contents!A1" display="Return to Main Page"/>
    <hyperlink ref="F7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59999389629810485"/>
  </sheetPr>
  <dimension ref="B2:U69"/>
  <sheetViews>
    <sheetView showGridLines="0" showRowColHeaders="0" zoomScaleNormal="100" workbookViewId="0">
      <selection activeCell="G2" sqref="G2"/>
    </sheetView>
  </sheetViews>
  <sheetFormatPr defaultRowHeight="15" x14ac:dyDescent="0.25"/>
  <cols>
    <col min="1" max="1" width="6.7109375" customWidth="1"/>
    <col min="2" max="2" width="42.140625" customWidth="1"/>
    <col min="4" max="4" width="13.7109375" style="22" customWidth="1"/>
    <col min="5" max="5" width="8.5703125" style="22" customWidth="1"/>
    <col min="6" max="6" width="21.140625" style="22" hidden="1" customWidth="1"/>
    <col min="7" max="7" width="44.85546875" style="23" customWidth="1"/>
    <col min="10" max="10" width="3.140625" customWidth="1"/>
    <col min="11" max="11" width="3.85546875" customWidth="1"/>
    <col min="12" max="12" width="8.5703125" customWidth="1"/>
    <col min="13" max="13" width="8.85546875" customWidth="1"/>
    <col min="14" max="14" width="7.42578125" customWidth="1"/>
    <col min="15" max="15" width="8.28515625" customWidth="1"/>
    <col min="16" max="16" width="8" customWidth="1"/>
    <col min="17" max="17" width="8.140625" customWidth="1"/>
    <col min="18" max="18" width="9" customWidth="1"/>
    <col min="19" max="19" width="9.140625" customWidth="1"/>
    <col min="20" max="20" width="8.5703125" customWidth="1"/>
    <col min="21" max="21" width="11.42578125" customWidth="1"/>
  </cols>
  <sheetData>
    <row r="2" spans="2:8" ht="18.75" x14ac:dyDescent="0.3">
      <c r="B2" s="15" t="s">
        <v>339</v>
      </c>
      <c r="G2" s="160" t="s">
        <v>251</v>
      </c>
      <c r="H2" t="s">
        <v>117</v>
      </c>
    </row>
    <row r="3" spans="2:8" x14ac:dyDescent="0.25">
      <c r="B3" s="24" t="s">
        <v>20</v>
      </c>
    </row>
    <row r="4" spans="2:8" ht="18.75" x14ac:dyDescent="0.3">
      <c r="G4" s="25" t="s">
        <v>21</v>
      </c>
    </row>
    <row r="16" spans="2:8" x14ac:dyDescent="0.25">
      <c r="B16" s="268" t="s">
        <v>22</v>
      </c>
      <c r="C16" s="70"/>
    </row>
    <row r="17" spans="2:21" x14ac:dyDescent="0.25">
      <c r="B17" s="26" t="s">
        <v>23</v>
      </c>
      <c r="C17" s="27"/>
    </row>
    <row r="18" spans="2:21" ht="15.75" thickBot="1" x14ac:dyDescent="0.3"/>
    <row r="19" spans="2:21" ht="16.5" thickTop="1" x14ac:dyDescent="0.25">
      <c r="B19" s="362" t="s">
        <v>24</v>
      </c>
      <c r="C19" s="363"/>
      <c r="D19" s="363"/>
      <c r="E19" s="363"/>
      <c r="F19" s="364"/>
      <c r="G19" s="365"/>
    </row>
    <row r="20" spans="2:21" ht="15.75" x14ac:dyDescent="0.25">
      <c r="B20" s="28" t="s">
        <v>25</v>
      </c>
      <c r="C20" s="28" t="s">
        <v>26</v>
      </c>
      <c r="D20" s="147">
        <v>25</v>
      </c>
      <c r="E20" s="154" t="s">
        <v>27</v>
      </c>
      <c r="F20" s="28"/>
      <c r="G20" s="29" t="s">
        <v>28</v>
      </c>
    </row>
    <row r="21" spans="2:21" ht="18.75" x14ac:dyDescent="0.3">
      <c r="B21" s="28" t="s">
        <v>460</v>
      </c>
      <c r="C21" s="28" t="s">
        <v>29</v>
      </c>
      <c r="D21" s="148">
        <v>290</v>
      </c>
      <c r="E21" s="154" t="s">
        <v>30</v>
      </c>
      <c r="F21" s="28"/>
      <c r="G21" s="29" t="s">
        <v>31</v>
      </c>
      <c r="I21" s="30"/>
    </row>
    <row r="22" spans="2:21" ht="18.75" x14ac:dyDescent="0.3">
      <c r="B22" s="31" t="s">
        <v>32</v>
      </c>
      <c r="C22" s="31" t="s">
        <v>33</v>
      </c>
      <c r="D22" s="149">
        <v>2</v>
      </c>
      <c r="E22" s="154" t="s">
        <v>32</v>
      </c>
      <c r="F22" s="28"/>
      <c r="G22" s="29" t="s">
        <v>34</v>
      </c>
    </row>
    <row r="23" spans="2:21" ht="18.75" x14ac:dyDescent="0.3">
      <c r="B23" s="32" t="s">
        <v>35</v>
      </c>
      <c r="C23" s="32" t="s">
        <v>36</v>
      </c>
      <c r="D23" s="150">
        <v>23</v>
      </c>
      <c r="E23" s="155" t="s">
        <v>35</v>
      </c>
      <c r="F23" s="33"/>
      <c r="G23" s="34" t="s">
        <v>37</v>
      </c>
    </row>
    <row r="24" spans="2:21" ht="18.75" x14ac:dyDescent="0.3">
      <c r="B24" s="32" t="s">
        <v>38</v>
      </c>
      <c r="C24" s="32" t="s">
        <v>39</v>
      </c>
      <c r="D24" s="305">
        <v>14</v>
      </c>
      <c r="E24" s="151" t="s">
        <v>40</v>
      </c>
      <c r="F24" s="215"/>
      <c r="G24" s="34" t="s">
        <v>41</v>
      </c>
    </row>
    <row r="25" spans="2:21" ht="18.75" hidden="1" x14ac:dyDescent="0.3">
      <c r="B25" s="32" t="s">
        <v>374</v>
      </c>
      <c r="C25" s="32"/>
      <c r="D25" s="265">
        <f>IF(E24="mm",D24,D24*0.0254)</f>
        <v>14</v>
      </c>
      <c r="E25" s="266" t="s">
        <v>40</v>
      </c>
      <c r="F25" s="215"/>
      <c r="G25" s="34"/>
    </row>
    <row r="26" spans="2:21" ht="18.75" x14ac:dyDescent="0.3">
      <c r="B26" s="32" t="s">
        <v>44</v>
      </c>
      <c r="C26" s="32" t="s">
        <v>45</v>
      </c>
      <c r="D26" s="152">
        <v>4</v>
      </c>
      <c r="E26" s="151" t="s">
        <v>46</v>
      </c>
      <c r="F26" s="215">
        <f t="shared" ref="F26:F34" si="0">IF(E26="mm",D26,D26*0.0254)</f>
        <v>0.1016</v>
      </c>
      <c r="G26" s="34" t="s">
        <v>47</v>
      </c>
    </row>
    <row r="27" spans="2:21" ht="18.75" x14ac:dyDescent="0.3">
      <c r="B27" s="32" t="s">
        <v>48</v>
      </c>
      <c r="C27" s="32" t="s">
        <v>49</v>
      </c>
      <c r="D27" s="152">
        <v>4</v>
      </c>
      <c r="E27" s="151" t="s">
        <v>46</v>
      </c>
      <c r="F27" s="215">
        <f t="shared" si="0"/>
        <v>0.1016</v>
      </c>
      <c r="G27" s="34" t="s">
        <v>50</v>
      </c>
    </row>
    <row r="28" spans="2:21" x14ac:dyDescent="0.25">
      <c r="B28" s="32" t="s">
        <v>234</v>
      </c>
      <c r="C28" s="32" t="s">
        <v>241</v>
      </c>
      <c r="D28" s="35">
        <v>8</v>
      </c>
      <c r="E28" s="151" t="s">
        <v>46</v>
      </c>
      <c r="F28" s="215">
        <f t="shared" si="0"/>
        <v>0.20319999999999999</v>
      </c>
      <c r="G28" s="34" t="s">
        <v>51</v>
      </c>
    </row>
    <row r="29" spans="2:21" x14ac:dyDescent="0.25">
      <c r="B29" s="32" t="s">
        <v>235</v>
      </c>
      <c r="C29" s="32" t="s">
        <v>242</v>
      </c>
      <c r="D29" s="35">
        <v>40</v>
      </c>
      <c r="E29" s="151" t="s">
        <v>46</v>
      </c>
      <c r="F29" s="215">
        <f t="shared" si="0"/>
        <v>1.016</v>
      </c>
      <c r="G29" s="34" t="s">
        <v>52</v>
      </c>
    </row>
    <row r="30" spans="2:21" x14ac:dyDescent="0.25">
      <c r="B30" s="32" t="s">
        <v>236</v>
      </c>
      <c r="C30" s="32" t="s">
        <v>243</v>
      </c>
      <c r="D30" s="35">
        <v>8</v>
      </c>
      <c r="E30" s="151" t="s">
        <v>46</v>
      </c>
      <c r="F30" s="215">
        <f t="shared" si="0"/>
        <v>0.20319999999999999</v>
      </c>
      <c r="G30" s="34" t="s">
        <v>53</v>
      </c>
    </row>
    <row r="31" spans="2:21" ht="15.75" thickBot="1" x14ac:dyDescent="0.3">
      <c r="B31" s="32" t="s">
        <v>237</v>
      </c>
      <c r="C31" s="32" t="s">
        <v>244</v>
      </c>
      <c r="D31" s="35">
        <v>8</v>
      </c>
      <c r="E31" s="151" t="s">
        <v>40</v>
      </c>
      <c r="F31" s="215">
        <f t="shared" si="0"/>
        <v>8</v>
      </c>
      <c r="G31" s="34" t="s">
        <v>54</v>
      </c>
    </row>
    <row r="32" spans="2:21" ht="16.5" thickTop="1" thickBot="1" x14ac:dyDescent="0.3">
      <c r="B32" s="32" t="s">
        <v>238</v>
      </c>
      <c r="C32" s="32" t="s">
        <v>245</v>
      </c>
      <c r="D32" s="35">
        <v>8</v>
      </c>
      <c r="E32" s="151" t="s">
        <v>40</v>
      </c>
      <c r="F32" s="215">
        <f t="shared" si="0"/>
        <v>8</v>
      </c>
      <c r="G32" s="34" t="s">
        <v>55</v>
      </c>
      <c r="J32" s="366" t="s">
        <v>56</v>
      </c>
      <c r="K32" s="367"/>
      <c r="L32" s="367"/>
      <c r="M32" s="367"/>
      <c r="N32" s="367"/>
      <c r="O32" s="367"/>
      <c r="P32" s="367"/>
      <c r="Q32" s="367"/>
      <c r="R32" s="367"/>
      <c r="S32" s="367"/>
      <c r="T32" s="367"/>
      <c r="U32" s="368"/>
    </row>
    <row r="33" spans="2:21" ht="16.5" thickTop="1" thickBot="1" x14ac:dyDescent="0.3">
      <c r="B33" s="32" t="s">
        <v>239</v>
      </c>
      <c r="C33" s="32" t="s">
        <v>246</v>
      </c>
      <c r="D33" s="35">
        <f t="shared" ref="D33:D34" si="1">62*0.0254</f>
        <v>1.5748</v>
      </c>
      <c r="E33" s="151" t="s">
        <v>40</v>
      </c>
      <c r="F33" s="215">
        <f t="shared" si="0"/>
        <v>1.5748</v>
      </c>
      <c r="G33" s="34" t="s">
        <v>57</v>
      </c>
      <c r="J33" s="369" t="s">
        <v>58</v>
      </c>
      <c r="K33" s="370"/>
      <c r="L33" s="370"/>
      <c r="M33" s="373" t="s">
        <v>59</v>
      </c>
      <c r="N33" s="373"/>
      <c r="O33" s="373"/>
      <c r="P33" s="373"/>
      <c r="Q33" s="373"/>
      <c r="R33" s="373"/>
      <c r="S33" s="373"/>
      <c r="T33" s="373"/>
      <c r="U33" s="374" t="s">
        <v>60</v>
      </c>
    </row>
    <row r="34" spans="2:21" ht="15.75" thickBot="1" x14ac:dyDescent="0.3">
      <c r="B34" s="32" t="s">
        <v>240</v>
      </c>
      <c r="C34" s="32" t="s">
        <v>247</v>
      </c>
      <c r="D34" s="35">
        <f t="shared" si="1"/>
        <v>1.5748</v>
      </c>
      <c r="E34" s="151" t="s">
        <v>40</v>
      </c>
      <c r="F34" s="215">
        <f t="shared" si="0"/>
        <v>1.5748</v>
      </c>
      <c r="G34" s="34" t="s">
        <v>61</v>
      </c>
      <c r="J34" s="371"/>
      <c r="K34" s="372"/>
      <c r="L34" s="372"/>
      <c r="M34" s="220" t="s">
        <v>62</v>
      </c>
      <c r="N34" s="220" t="s">
        <v>63</v>
      </c>
      <c r="O34" s="220" t="s">
        <v>64</v>
      </c>
      <c r="P34" s="220" t="s">
        <v>65</v>
      </c>
      <c r="Q34" s="220" t="s">
        <v>66</v>
      </c>
      <c r="R34" s="220" t="s">
        <v>67</v>
      </c>
      <c r="S34" s="220" t="s">
        <v>68</v>
      </c>
      <c r="T34" s="220" t="s">
        <v>69</v>
      </c>
      <c r="U34" s="375"/>
    </row>
    <row r="35" spans="2:21" ht="15.75" thickBot="1" x14ac:dyDescent="0.3">
      <c r="B35" s="32" t="s">
        <v>70</v>
      </c>
      <c r="C35" s="32" t="s">
        <v>71</v>
      </c>
      <c r="D35" s="153">
        <v>1</v>
      </c>
      <c r="E35" s="151" t="s">
        <v>72</v>
      </c>
      <c r="F35" s="216">
        <f>IF(E35="mm",D35, IF(E35="mil",D35*0.0254,D35*0.0347))</f>
        <v>3.4700000000000002E-2</v>
      </c>
      <c r="G35" s="34" t="s">
        <v>73</v>
      </c>
      <c r="J35" s="371"/>
      <c r="K35" s="372"/>
      <c r="L35" s="372"/>
      <c r="M35" s="220">
        <v>0</v>
      </c>
      <c r="N35" s="220">
        <f>M35+F28</f>
        <v>0.20319999999999999</v>
      </c>
      <c r="O35" s="220">
        <f>N35+F29</f>
        <v>1.2192000000000001</v>
      </c>
      <c r="P35" s="220">
        <f>O35+F30</f>
        <v>1.4224000000000001</v>
      </c>
      <c r="Q35" s="220">
        <f>P35+F31</f>
        <v>9.4223999999999997</v>
      </c>
      <c r="R35" s="220">
        <f>Q35+F32</f>
        <v>17.4224</v>
      </c>
      <c r="S35" s="220">
        <f>R35+F33</f>
        <v>18.997199999999999</v>
      </c>
      <c r="T35" s="220">
        <f>S35+F34</f>
        <v>20.571999999999999</v>
      </c>
      <c r="U35" s="375"/>
    </row>
    <row r="36" spans="2:21" ht="15.75" thickBot="1" x14ac:dyDescent="0.3">
      <c r="B36" s="134" t="s">
        <v>74</v>
      </c>
      <c r="C36" s="134" t="s">
        <v>75</v>
      </c>
      <c r="D36" s="157">
        <v>1.6800000000000002E-8</v>
      </c>
      <c r="E36" s="135" t="s">
        <v>76</v>
      </c>
      <c r="F36" s="217"/>
      <c r="G36" s="133"/>
      <c r="J36" s="376" t="s">
        <v>77</v>
      </c>
      <c r="K36" s="220" t="s">
        <v>62</v>
      </c>
      <c r="L36" s="220">
        <f>M35</f>
        <v>0</v>
      </c>
      <c r="M36" s="36">
        <f>IF($D$22&gt;0,1,0)</f>
        <v>1</v>
      </c>
      <c r="N36" s="36">
        <f>IF($D$22&gt;1,1.5625*$D$23^2/((0.184*ABS(N$35-$L36)^3-0.525*(N$35-$L36)^2+1.038*ABS(N$35-$L36)+1.001)*(1.67*$D$23^2-5.84*$D$23+65)),0)</f>
        <v>0.85190976118556161</v>
      </c>
      <c r="O36" s="36">
        <f>IF($D$22&gt;2,1.5625*$D$23^2/((0.184*ABS(O$35-$L36)^3-0.525*(O$35-$L36)^2+1.038*ABS(O$35-$L36)+1.001)*(1.67*$D$23^2-5.84*$D$23+65)),0)</f>
        <v>0</v>
      </c>
      <c r="P36" s="36">
        <f>IF($D$22&gt;3,1.5625*$D$23^2/((0.184*ABS(P$35-$L36)^3-0.525*(P$35-$L36)^2+1.038*ABS(P$35-$L36)+1.001)*(1.67*$D$23^2-5.84*$D$23+65)),0)</f>
        <v>0</v>
      </c>
      <c r="Q36" s="36">
        <f>IF($D$22&gt;4,1.5625*$D$23^2/((0.184*ABS(Q$35-$L36)^3-0.525*(Q$35-$L36)^2+1.038*ABS(Q$35-$L36)+1.001)*(1.67*$D$23^2-5.84*$D$23+65)),0)</f>
        <v>0</v>
      </c>
      <c r="R36" s="36">
        <f>IF($D$22&gt;5,1.5625*$D$23^2/((0.184*ABS(R$35-$L36)^3-0.525*(R$35-$L36)^2+1.038*ABS(R$35-$L36)+1.001)*(1.67*$D$23^2-5.84*$D$23+65)),0)</f>
        <v>0</v>
      </c>
      <c r="S36" s="36">
        <f t="shared" ref="S36:S41" si="2">IF($D$22&gt;6,1.5625*$D$23^2/((0.184*ABS(S$35-$L36)^3-0.525*(S$35-$L36)^2+1.038*ABS(S$35-$L36)+1.001)*(1.67*$D$23^2-5.84*$D$23+65)),0)</f>
        <v>0</v>
      </c>
      <c r="T36" s="36">
        <f t="shared" ref="T36:T42" si="3">IF($D$22&gt;7,1.5625*$D$23^2/((0.184*ABS(T$35-$L36)^3-0.525*(T$35-$L36)^2+1.038*ABS(T$35-$L36)+1.001)*(1.67*$D$23^2-5.84*$D$23+65)),0)</f>
        <v>0</v>
      </c>
      <c r="U36" s="37">
        <f>SUM(M36:T36)*$D$45</f>
        <v>11.071241106180569</v>
      </c>
    </row>
    <row r="37" spans="2:21" ht="15.75" thickBot="1" x14ac:dyDescent="0.3">
      <c r="B37" s="134" t="s">
        <v>322</v>
      </c>
      <c r="C37" s="134" t="s">
        <v>78</v>
      </c>
      <c r="D37" s="158">
        <v>0.39300000000000002</v>
      </c>
      <c r="E37" s="135" t="s">
        <v>79</v>
      </c>
      <c r="F37" s="217"/>
      <c r="G37" s="133"/>
      <c r="J37" s="376"/>
      <c r="K37" s="220" t="s">
        <v>63</v>
      </c>
      <c r="L37" s="220">
        <f>N35</f>
        <v>0.20319999999999999</v>
      </c>
      <c r="M37" s="36">
        <f>IF($D$22&gt;1,1.5625*$D$23^2/((0.184*ABS(M$35-$L37)^3-0.525*(M$35-$L37)^2+1.038*ABS(M$35-$L37)+1.001)*(1.67*$D$23^2-5.84*$D$23+65)),0)</f>
        <v>0.85190976118556161</v>
      </c>
      <c r="N37" s="36">
        <f>IF($D$22&gt;1,1,0)</f>
        <v>1</v>
      </c>
      <c r="O37" s="36">
        <f>IF($D$22&gt;2,1.5625*$D$23^2/((0.184*ABS(O$35-$L37)^3-0.525*(O$35-$L37)^2+1.038*ABS(O$35-$L37)+1.001)*(1.67*$D$23^2-5.84*$D$23+65)),0)</f>
        <v>0</v>
      </c>
      <c r="P37" s="36">
        <f>IF($D$22&gt;3,1.5625*$D$23^2/((0.184*ABS(P$35-$L37)^3-0.525*(P$35-$L37)^2+1.038*ABS(P$35-$L37)+1.001)*(1.67*$D$23^2-5.84*$D$23+65)),0)</f>
        <v>0</v>
      </c>
      <c r="Q37" s="36">
        <f>IF($D$22&gt;4,1.5625*$D$23^2/((0.184*ABS(Q$35-$L37)^3-0.525*(Q$35-$L37)^2+1.038*ABS(Q$35-$L37)+1.001)*(1.67*$D$23^2-5.84*$D$23+65)),0)</f>
        <v>0</v>
      </c>
      <c r="R37" s="36">
        <f>IF($D$22&gt;5,1.5625*$D$23^2/((0.184*ABS(R$35-$L37)^3-0.525*(R$35-$L37)^2+1.038*ABS(R$35-$L37)+1.001)*(1.67*$D$23^2-5.84*$D$23+65)),0)</f>
        <v>0</v>
      </c>
      <c r="S37" s="36">
        <f t="shared" si="2"/>
        <v>0</v>
      </c>
      <c r="T37" s="36">
        <f t="shared" si="3"/>
        <v>0</v>
      </c>
      <c r="U37" s="37">
        <f t="shared" ref="U37:U43" si="4">SUM(M37:T37)*$D$45</f>
        <v>11.071241106180569</v>
      </c>
    </row>
    <row r="38" spans="2:21" ht="15.75" thickBot="1" x14ac:dyDescent="0.3">
      <c r="B38" s="134" t="s">
        <v>80</v>
      </c>
      <c r="C38" s="134" t="s">
        <v>81</v>
      </c>
      <c r="D38" s="173">
        <v>1</v>
      </c>
      <c r="E38" s="135"/>
      <c r="F38" s="217"/>
      <c r="G38" s="133"/>
      <c r="J38" s="376"/>
      <c r="K38" s="220" t="s">
        <v>64</v>
      </c>
      <c r="L38" s="220">
        <f>O35</f>
        <v>1.2192000000000001</v>
      </c>
      <c r="M38" s="36">
        <f>IF($D$22&gt;2,1.5625*$D$23^2/((0.184*ABS(M$35-$L38)^3-0.525*(M$35-$L38)^2+1.038*ABS(M$35-$L38)+1.001)*(1.67*$D$23^2-5.84*$D$23+65)),0)</f>
        <v>0</v>
      </c>
      <c r="N38" s="36">
        <f>IF($D$22&gt;2,1.5625*$D$23^2/((0.184*ABS(N$35-$L38)^3-0.525*(N$35-$L38)^2+1.038*ABS(N$35-$L38)+1.001)*(1.67*$D$23^2-5.84*$D$23+65)),0)</f>
        <v>0</v>
      </c>
      <c r="O38" s="36">
        <f>IF($D$22&gt;2,1,0)</f>
        <v>0</v>
      </c>
      <c r="P38" s="36">
        <f>IF($D$22&gt;3,1.5625*$D$23^2/((0.184*ABS(P$35-$L38)^3-0.525*(P$35-$L38)^2+1.038*ABS(P$35-$L38)+1.001)*(1.67*$D$23^2-5.84*$D$23+65)),0)</f>
        <v>0</v>
      </c>
      <c r="Q38" s="36">
        <f>IF($D$22&gt;4,1.5625*$D$23^2/((0.184*ABS(Q$35-$L38)^3-0.525*(Q$35-$L38)^2+1.038*ABS(Q$35-$L38)+1.001)*(1.67*$D$23^2-5.84*$D$23+65)),0)</f>
        <v>0</v>
      </c>
      <c r="R38" s="36">
        <f>IF($D$22&gt;5,1.5625*$D$23^2/((0.184*ABS(R$35-$L38)^3-0.525*(R$35-$L38)^2+1.038*ABS(R$35-$L38)+1.001)*(1.67*$D$23^2-5.84*$D$23+65)),0)</f>
        <v>0</v>
      </c>
      <c r="S38" s="36">
        <f t="shared" si="2"/>
        <v>0</v>
      </c>
      <c r="T38" s="36">
        <f t="shared" si="3"/>
        <v>0</v>
      </c>
      <c r="U38" s="37">
        <f t="shared" si="4"/>
        <v>0</v>
      </c>
    </row>
    <row r="39" spans="2:21" ht="15.75" thickBot="1" x14ac:dyDescent="0.3">
      <c r="B39" s="134" t="s">
        <v>82</v>
      </c>
      <c r="C39" s="134" t="s">
        <v>83</v>
      </c>
      <c r="D39" s="159">
        <v>4</v>
      </c>
      <c r="E39" s="135" t="s">
        <v>30</v>
      </c>
      <c r="F39" s="217"/>
      <c r="G39" s="133" t="s">
        <v>84</v>
      </c>
      <c r="J39" s="376"/>
      <c r="K39" s="220" t="s">
        <v>65</v>
      </c>
      <c r="L39" s="220">
        <f>P35</f>
        <v>1.4224000000000001</v>
      </c>
      <c r="M39" s="36">
        <f>IF($D$22&gt;3,1.5625*$D$23^2/((0.184*ABS(M$35-$L39)^3-0.525*(M$35-$L39)^2+1.038*ABS(M$35-$L39)+1.001)*(1.67*$D$23^2-5.84*$D$23+65)),0)</f>
        <v>0</v>
      </c>
      <c r="N39" s="36">
        <f>IF($D$22&gt;3,1.5625*$D$23^2/((0.184*ABS(N$35-$L39)^3-0.525*(N$35-$L39)^2+1.038*ABS(N$35-$L39)+1.001)*(1.67*$D$23^2-5.84*$D$23+65)),0)</f>
        <v>0</v>
      </c>
      <c r="O39" s="36">
        <f>IF($D$22&gt;3,1.5625*$D$23^2/((0.184*ABS(O$35-$L39)^3-0.525*(O$35-$L39)^2+1.038*ABS(O$35-$L39)+1.001)*(1.67*$D$23^2-5.84*$D$23+65)),0)</f>
        <v>0</v>
      </c>
      <c r="P39" s="36">
        <f>IF($D$22&gt;3,1,0)</f>
        <v>0</v>
      </c>
      <c r="Q39" s="36">
        <f>IF($D$22&gt;4,1.5625*$D$23^2/((0.184*ABS(Q$35-$L39)^3-0.525*(Q$35-$L39)^2+1.038*ABS(Q$35-$L39)+1.001)*(1.67*$D$23^2-5.84*$D$23+65)),0)</f>
        <v>0</v>
      </c>
      <c r="R39" s="36">
        <f>IF($D$22&gt;5,1.5625*$D$23^2/((0.184*ABS(R$35-$L39)^3-0.525*(R$35-$L39)^2+1.038*ABS(R$35-$L39)+1.001)*(1.67*$D$23^2-5.84*$D$23+65)),0)</f>
        <v>0</v>
      </c>
      <c r="S39" s="36">
        <f t="shared" si="2"/>
        <v>0</v>
      </c>
      <c r="T39" s="36">
        <f t="shared" si="3"/>
        <v>0</v>
      </c>
      <c r="U39" s="37">
        <f t="shared" si="4"/>
        <v>0</v>
      </c>
    </row>
    <row r="40" spans="2:21" ht="15.75" thickBot="1" x14ac:dyDescent="0.3">
      <c r="B40" s="38" t="s">
        <v>85</v>
      </c>
      <c r="C40" s="38" t="s">
        <v>86</v>
      </c>
      <c r="D40" s="130">
        <f>D36*(1+(D37/100)*(D20-20))</f>
        <v>1.713012E-8</v>
      </c>
      <c r="E40" s="39" t="s">
        <v>87</v>
      </c>
      <c r="F40" s="215"/>
      <c r="G40" s="40"/>
      <c r="J40" s="376"/>
      <c r="K40" s="220" t="s">
        <v>66</v>
      </c>
      <c r="L40" s="220">
        <f>Q35</f>
        <v>9.4223999999999997</v>
      </c>
      <c r="M40" s="36">
        <f>IF($D$22&gt;4,1.5625*$D$23^2/((0.184*ABS(M$35-$L40)^3-0.525*(M$35-$L40)^2+1.038*ABS(M$35-$L40)+1.001)*(1.67*$D$23^2-5.84*$D$23+65)),0)</f>
        <v>0</v>
      </c>
      <c r="N40" s="36">
        <f>IF($D$22&gt;4,1.5625*$D$23^2/((0.184*ABS(N$35-$L40)^3-0.525*(N$35-$L40)^2+1.038*ABS(N$35-$L40)+1.001)*(1.67*$D$23^2-5.84*$D$23+65)),0)</f>
        <v>0</v>
      </c>
      <c r="O40" s="36">
        <f>IF($D$22&gt;4,1.5625*$D$23^2/((0.184*ABS(O$35-$L40)^3-0.525*(O$35-$L40)^2+1.038*ABS(O$35-$L40)+1.001)*(1.67*$D$23^2-5.84*$D$23+65)),0)</f>
        <v>0</v>
      </c>
      <c r="P40" s="36">
        <f>IF($D$22&gt;4,1.5625*$D$23^2/((0.184*ABS(P$35-$L40)^3-0.525*(P$35-$L40)^2+1.038*ABS(P$35-$L40)+1.001)*(1.67*$D$23^2-5.84*$D$23+65)),0)</f>
        <v>0</v>
      </c>
      <c r="Q40" s="36">
        <f>IF($D$22&gt;4,1,0)</f>
        <v>0</v>
      </c>
      <c r="R40" s="36">
        <f>IF($D$22&gt;5,1.5625*$D$23^2/((0.184*ABS(R$35-$L40)^3-0.525*(R$35-$L40)^2+1.038*ABS(R$35-$L40)+1.001)*(1.67*$D$23^2-5.84*$D$23+65)),0)</f>
        <v>0</v>
      </c>
      <c r="S40" s="36">
        <f t="shared" si="2"/>
        <v>0</v>
      </c>
      <c r="T40" s="36">
        <f t="shared" si="3"/>
        <v>0</v>
      </c>
      <c r="U40" s="37">
        <f t="shared" si="4"/>
        <v>0</v>
      </c>
    </row>
    <row r="41" spans="2:21" ht="15.75" thickBot="1" x14ac:dyDescent="0.3">
      <c r="B41" s="41" t="s">
        <v>373</v>
      </c>
      <c r="C41" s="42" t="s">
        <v>375</v>
      </c>
      <c r="D41" s="272">
        <f>F44/D25</f>
        <v>0.33234285714285716</v>
      </c>
      <c r="E41" s="267"/>
      <c r="F41" s="218"/>
      <c r="G41" s="262" t="s">
        <v>425</v>
      </c>
      <c r="J41" s="376"/>
      <c r="K41" s="220" t="s">
        <v>67</v>
      </c>
      <c r="L41" s="220">
        <f>R35</f>
        <v>17.4224</v>
      </c>
      <c r="M41" s="36">
        <f>IF($D$22&gt;5,1.5625*$D$23^2/((0.184*ABS(M$35-$L41)^3-0.525*(M$35-$L41)^2+1.038*ABS(M$35-$L41)+1.001)*(1.67*$D$23^2-5.84*$D$23+65)),0)</f>
        <v>0</v>
      </c>
      <c r="N41" s="36">
        <f>IF($D$22&gt;5,1.5625*$D$23^2/((0.184*ABS(N$35-$L41)^3-0.525*(N$35-$L41)^2+1.038*ABS(N$35-$L41)+1.001)*(1.67*$D$23^2-5.84*$D$23+65)),0)</f>
        <v>0</v>
      </c>
      <c r="O41" s="36">
        <f>IF($D$22&gt;5,1.5625*$D$23^2/((0.184*ABS(O$35-$L41)^3-0.525*(O$35-$L41)^2+1.038*ABS(O$35-$L41)+1.001)*(1.67*$D$23^2-5.84*$D$23+65)),0)</f>
        <v>0</v>
      </c>
      <c r="P41" s="36">
        <f>IF($D$22&gt;5,1.5625*$D$23^2/((0.184*ABS(P$35-$L41)^3-0.525*(P$35-$L41)^2+1.038*ABS(P$35-$L41)+1.001)*(1.67*$D$23^2-5.84*$D$23+65)),0)</f>
        <v>0</v>
      </c>
      <c r="Q41" s="36">
        <f>IF($D$22&gt;5,1.5625*$D$23^2/((0.184*ABS(Q$35-$L41)^3-0.525*(Q$35-$L41)^2+1.038*ABS(Q$35-$L41)+1.001)*(1.67*$D$23^2-5.84*$D$23+65)),0)</f>
        <v>0</v>
      </c>
      <c r="R41" s="36">
        <f>IF($D$22&gt;5,1,0)</f>
        <v>0</v>
      </c>
      <c r="S41" s="36">
        <f t="shared" si="2"/>
        <v>0</v>
      </c>
      <c r="T41" s="36">
        <f t="shared" si="3"/>
        <v>0</v>
      </c>
      <c r="U41" s="37">
        <f t="shared" si="4"/>
        <v>0</v>
      </c>
    </row>
    <row r="42" spans="2:21" ht="15.75" hidden="1" thickBot="1" x14ac:dyDescent="0.3">
      <c r="B42" s="43" t="s">
        <v>88</v>
      </c>
      <c r="C42" s="44" t="s">
        <v>89</v>
      </c>
      <c r="D42" s="263">
        <f>(F44+D25)/2</f>
        <v>9.3263999999999996</v>
      </c>
      <c r="E42" s="45" t="s">
        <v>40</v>
      </c>
      <c r="F42" s="219"/>
      <c r="G42" s="47"/>
      <c r="J42" s="376"/>
      <c r="K42" s="220" t="s">
        <v>68</v>
      </c>
      <c r="L42" s="220">
        <f>S35</f>
        <v>18.997199999999999</v>
      </c>
      <c r="M42" s="36">
        <f t="shared" ref="M42:R42" si="5">IF($D$22&gt;6,1.5625*$D$23^2/((0.184*ABS(M$35-$L42)^3-0.525*(M$35-$L42)^2+1.038*ABS(M$35-$L42)+1.001)*(1.67*$D$23^2-5.84*$D$23+65)),0)</f>
        <v>0</v>
      </c>
      <c r="N42" s="36">
        <f t="shared" si="5"/>
        <v>0</v>
      </c>
      <c r="O42" s="36">
        <f t="shared" si="5"/>
        <v>0</v>
      </c>
      <c r="P42" s="36">
        <f t="shared" si="5"/>
        <v>0</v>
      </c>
      <c r="Q42" s="36">
        <f t="shared" si="5"/>
        <v>0</v>
      </c>
      <c r="R42" s="36">
        <f t="shared" si="5"/>
        <v>0</v>
      </c>
      <c r="S42" s="36">
        <f>IF($D$22&gt;6,1,0)</f>
        <v>0</v>
      </c>
      <c r="T42" s="36">
        <f t="shared" si="3"/>
        <v>0</v>
      </c>
      <c r="U42" s="37">
        <f t="shared" si="4"/>
        <v>0</v>
      </c>
    </row>
    <row r="43" spans="2:21" ht="15.75" hidden="1" thickBot="1" x14ac:dyDescent="0.3">
      <c r="B43" s="43" t="s">
        <v>90</v>
      </c>
      <c r="C43" s="44" t="s">
        <v>91</v>
      </c>
      <c r="D43" s="264">
        <f>(D25-F44)/(D25+F44)</f>
        <v>0.50111511408474874</v>
      </c>
      <c r="E43" s="45"/>
      <c r="F43" s="219"/>
      <c r="G43" s="47"/>
      <c r="J43" s="377"/>
      <c r="K43" s="221" t="s">
        <v>69</v>
      </c>
      <c r="L43" s="221">
        <f>T35</f>
        <v>20.571999999999999</v>
      </c>
      <c r="M43" s="48">
        <f t="shared" ref="M43:S43" si="6">IF($D$22&gt;7,1.5625*$D$23^2/((0.184*ABS(M$35-$L43)^3-0.525*(M$35-$L43)^2+1.038*ABS(M$35-$L43)+1.001)*(1.67*$D$23^2-5.84*$D$23+65)),0)</f>
        <v>0</v>
      </c>
      <c r="N43" s="48">
        <f t="shared" si="6"/>
        <v>0</v>
      </c>
      <c r="O43" s="48">
        <f t="shared" si="6"/>
        <v>0</v>
      </c>
      <c r="P43" s="48">
        <f t="shared" si="6"/>
        <v>0</v>
      </c>
      <c r="Q43" s="48">
        <f t="shared" si="6"/>
        <v>0</v>
      </c>
      <c r="R43" s="48">
        <f t="shared" si="6"/>
        <v>0</v>
      </c>
      <c r="S43" s="48">
        <f t="shared" si="6"/>
        <v>0</v>
      </c>
      <c r="T43" s="48">
        <f>IF($D$22&gt;7,1,0)</f>
        <v>0</v>
      </c>
      <c r="U43" s="49">
        <f t="shared" si="4"/>
        <v>0</v>
      </c>
    </row>
    <row r="44" spans="2:21" ht="15.75" thickBot="1" x14ac:dyDescent="0.3">
      <c r="B44" s="43" t="s">
        <v>92</v>
      </c>
      <c r="C44" s="44" t="s">
        <v>42</v>
      </c>
      <c r="D44" s="122">
        <f>IF(E44="mm",F44,F44/0.0254)</f>
        <v>183.18110236220474</v>
      </c>
      <c r="E44" s="156" t="s">
        <v>46</v>
      </c>
      <c r="F44" s="219">
        <f>D25-(2*N+1)*F27-(2*N-1)*F26</f>
        <v>4.6528</v>
      </c>
      <c r="G44" s="34" t="s">
        <v>43</v>
      </c>
      <c r="I44" s="50"/>
      <c r="J44" s="51"/>
      <c r="K44" s="52"/>
      <c r="L44" s="52"/>
      <c r="M44" s="53"/>
      <c r="N44" s="53"/>
      <c r="O44" s="53"/>
      <c r="P44" s="53"/>
      <c r="Q44" s="53"/>
      <c r="R44" s="54"/>
      <c r="S44" s="55"/>
      <c r="T44" s="55"/>
      <c r="U44" s="56"/>
    </row>
    <row r="45" spans="2:21" ht="17.25" thickTop="1" thickBot="1" x14ac:dyDescent="0.3">
      <c r="B45" s="57" t="s">
        <v>93</v>
      </c>
      <c r="C45" s="58" t="s">
        <v>94</v>
      </c>
      <c r="D45" s="123">
        <f>0.5*4.7*PI()*0.0001*D23*D23*D42*(LN(2.46/D43)+0.2*D43*D43)</f>
        <v>5.9782832502016436</v>
      </c>
      <c r="E45" s="59" t="s">
        <v>95</v>
      </c>
      <c r="F45" s="219"/>
      <c r="G45" s="47"/>
      <c r="J45" s="60"/>
      <c r="K45" s="60"/>
      <c r="L45" s="60"/>
      <c r="R45" s="360" t="s">
        <v>96</v>
      </c>
      <c r="S45" s="361"/>
      <c r="T45" s="361"/>
      <c r="U45" s="61">
        <f>SUM(U36:U43)</f>
        <v>22.142482212361138</v>
      </c>
    </row>
    <row r="46" spans="2:21" ht="19.5" thickBot="1" x14ac:dyDescent="0.35">
      <c r="B46" s="137" t="s">
        <v>97</v>
      </c>
      <c r="C46" s="58" t="s">
        <v>98</v>
      </c>
      <c r="D46" s="124">
        <f>IF(D44&gt;0,U45,"Error")</f>
        <v>22.142482212361138</v>
      </c>
      <c r="E46" s="62" t="s">
        <v>99</v>
      </c>
      <c r="F46" s="219"/>
      <c r="G46" s="63" t="str">
        <f>IF(D46="Error","Too many turns or outer diameter too small!","")</f>
        <v/>
      </c>
    </row>
    <row r="47" spans="2:21" ht="16.5" hidden="1" thickBot="1" x14ac:dyDescent="0.3">
      <c r="B47" s="137" t="s">
        <v>100</v>
      </c>
      <c r="C47" s="58"/>
      <c r="D47" s="357">
        <f>1/(2*PI()*SQRT(D46*0.000001*(D21+D39)*0.000000000001))</f>
        <v>1972574.0440645854</v>
      </c>
      <c r="E47" s="62" t="s">
        <v>1</v>
      </c>
      <c r="F47" s="219"/>
      <c r="G47" s="63"/>
    </row>
    <row r="48" spans="2:21" ht="19.5" thickBot="1" x14ac:dyDescent="0.35">
      <c r="B48" s="137" t="s">
        <v>100</v>
      </c>
      <c r="C48" s="58" t="s">
        <v>101</v>
      </c>
      <c r="D48" s="124">
        <f>IF(D47&gt;300000,D47/1000000,D47/1000)</f>
        <v>1.9725740440645854</v>
      </c>
      <c r="E48" s="358" t="str">
        <f>IF(D47&gt;300000,"MHz","kHz")</f>
        <v>MHz</v>
      </c>
      <c r="F48" s="46"/>
      <c r="G48" s="63" t="str">
        <f>IF(D48&gt;(D55*1000),"Sensor Frequency is too high, reduce C","")</f>
        <v/>
      </c>
    </row>
    <row r="49" spans="2:7" ht="15.75" thickBot="1" x14ac:dyDescent="0.3">
      <c r="B49" s="138" t="s">
        <v>103</v>
      </c>
      <c r="C49" s="139" t="s">
        <v>104</v>
      </c>
      <c r="D49" s="140">
        <f>PI()*D23*(D25+F44)/2</f>
        <v>673.89424366211642</v>
      </c>
      <c r="E49" s="141" t="s">
        <v>40</v>
      </c>
      <c r="F49" s="46"/>
      <c r="G49" s="47"/>
    </row>
    <row r="50" spans="2:7" ht="15.75" thickBot="1" x14ac:dyDescent="0.3">
      <c r="B50" s="142" t="s">
        <v>105</v>
      </c>
      <c r="C50" s="143" t="s">
        <v>106</v>
      </c>
      <c r="D50" s="144">
        <f>D40*D49*0.001*D22/(F27*0.001*F35*0.001)</f>
        <v>6.548758345572451</v>
      </c>
      <c r="E50" s="145" t="s">
        <v>107</v>
      </c>
      <c r="F50" s="46"/>
      <c r="G50" s="47"/>
    </row>
    <row r="51" spans="2:7" ht="15.75" thickBot="1" x14ac:dyDescent="0.3">
      <c r="B51" s="142" t="s">
        <v>108</v>
      </c>
      <c r="C51" s="143" t="s">
        <v>109</v>
      </c>
      <c r="D51" s="144">
        <f>SQRT(D36/(3.14*4*3.14*0.0000001*D38*D47))*1000</f>
        <v>4.6470606437823095E-2</v>
      </c>
      <c r="E51" s="146" t="s">
        <v>40</v>
      </c>
      <c r="F51" s="46"/>
      <c r="G51" s="47"/>
    </row>
    <row r="52" spans="2:7" ht="15.75" thickBot="1" x14ac:dyDescent="0.3">
      <c r="B52" s="346" t="s">
        <v>110</v>
      </c>
      <c r="C52" s="143" t="s">
        <v>111</v>
      </c>
      <c r="D52" s="347">
        <f>D50*F35/(D51*(1-EXP(-F35/D51)))</f>
        <v>9.2952592786608594</v>
      </c>
      <c r="E52" s="348" t="s">
        <v>107</v>
      </c>
      <c r="F52" s="46"/>
      <c r="G52" s="47"/>
    </row>
    <row r="53" spans="2:7" ht="19.5" thickBot="1" x14ac:dyDescent="0.35">
      <c r="B53" s="137" t="s">
        <v>350</v>
      </c>
      <c r="C53" s="58" t="s">
        <v>112</v>
      </c>
      <c r="D53" s="132">
        <f>(1/D52)*(D46*0.000001/(D21*0.000000000001))</f>
        <v>8214.2288504486278</v>
      </c>
      <c r="E53" s="136" t="s">
        <v>107</v>
      </c>
      <c r="F53" s="46"/>
      <c r="G53" s="47" t="s">
        <v>351</v>
      </c>
    </row>
    <row r="54" spans="2:7" ht="16.5" thickBot="1" x14ac:dyDescent="0.3">
      <c r="B54" s="137" t="s">
        <v>113</v>
      </c>
      <c r="C54" s="58" t="s">
        <v>114</v>
      </c>
      <c r="D54" s="131">
        <f>(1/D52)*SQRT(D46*0.000001/((D21+D39)*0.000000000001))</f>
        <v>29.524189127969979</v>
      </c>
      <c r="E54" s="59"/>
      <c r="F54" s="46"/>
      <c r="G54" s="47"/>
    </row>
    <row r="55" spans="2:7" ht="15.75" thickBot="1" x14ac:dyDescent="0.3">
      <c r="B55" s="64" t="s">
        <v>115</v>
      </c>
      <c r="C55" s="65" t="s">
        <v>116</v>
      </c>
      <c r="D55" s="125">
        <f>1/(2*PI()*SQRT(D46*0.000001*D39*0.000000000001))/1000000</f>
        <v>16.911299607357872</v>
      </c>
      <c r="E55" s="66" t="s">
        <v>0</v>
      </c>
      <c r="F55" s="67"/>
      <c r="G55" s="68"/>
    </row>
    <row r="56" spans="2:7" ht="15.75" thickTop="1" x14ac:dyDescent="0.25">
      <c r="B56" s="53"/>
      <c r="C56" s="53"/>
      <c r="D56" s="69"/>
      <c r="E56" s="69"/>
      <c r="F56" s="69"/>
      <c r="G56" s="60"/>
    </row>
    <row r="57" spans="2:7" x14ac:dyDescent="0.25">
      <c r="E57" s="240"/>
    </row>
    <row r="58" spans="2:7" x14ac:dyDescent="0.25">
      <c r="B58" s="269"/>
      <c r="C58" s="269"/>
      <c r="D58" s="270"/>
      <c r="E58" s="271"/>
    </row>
    <row r="59" spans="2:7" x14ac:dyDescent="0.25">
      <c r="B59" s="269"/>
      <c r="C59" s="269"/>
      <c r="D59" s="270"/>
      <c r="E59" s="271"/>
    </row>
    <row r="60" spans="2:7" x14ac:dyDescent="0.25">
      <c r="B60" s="269"/>
      <c r="C60" s="269"/>
      <c r="D60" s="273"/>
      <c r="E60" s="271"/>
    </row>
    <row r="61" spans="2:7" x14ac:dyDescent="0.25">
      <c r="B61" s="269"/>
      <c r="C61" s="269"/>
      <c r="D61" s="271"/>
      <c r="E61" s="271"/>
    </row>
    <row r="62" spans="2:7" x14ac:dyDescent="0.25">
      <c r="B62" s="269"/>
      <c r="C62" s="269"/>
      <c r="D62" s="271"/>
      <c r="E62" s="271"/>
    </row>
    <row r="64" spans="2:7" ht="15.75" x14ac:dyDescent="0.25">
      <c r="B64" s="274"/>
      <c r="C64" s="91"/>
      <c r="D64" s="91"/>
      <c r="E64" s="91"/>
    </row>
    <row r="65" spans="2:5" x14ac:dyDescent="0.25">
      <c r="B65" s="275"/>
      <c r="C65" s="276"/>
      <c r="D65" s="277"/>
      <c r="E65" s="91"/>
    </row>
    <row r="66" spans="2:5" x14ac:dyDescent="0.25">
      <c r="B66" s="275"/>
      <c r="C66" s="276"/>
      <c r="D66" s="91"/>
      <c r="E66" s="91"/>
    </row>
    <row r="67" spans="2:5" x14ac:dyDescent="0.25">
      <c r="B67" s="275"/>
      <c r="C67" s="276"/>
      <c r="D67" s="277"/>
      <c r="E67" s="91"/>
    </row>
    <row r="68" spans="2:5" x14ac:dyDescent="0.25">
      <c r="B68" s="275"/>
      <c r="C68" s="276"/>
      <c r="D68" s="91"/>
      <c r="E68" s="91"/>
    </row>
    <row r="69" spans="2:5" x14ac:dyDescent="0.25">
      <c r="B69" s="275"/>
      <c r="C69" s="276"/>
      <c r="D69" s="91"/>
      <c r="E69" s="91"/>
    </row>
  </sheetData>
  <mergeCells count="7">
    <mergeCell ref="R45:T45"/>
    <mergeCell ref="B19:G19"/>
    <mergeCell ref="J32:U32"/>
    <mergeCell ref="J33:L35"/>
    <mergeCell ref="M33:T33"/>
    <mergeCell ref="U33:U35"/>
    <mergeCell ref="J36:J43"/>
  </mergeCells>
  <conditionalFormatting sqref="D28">
    <cfRule type="expression" dxfId="33" priority="16">
      <formula>$D$22&gt;1</formula>
    </cfRule>
  </conditionalFormatting>
  <conditionalFormatting sqref="D29 M38:O38">
    <cfRule type="expression" dxfId="32" priority="15">
      <formula>$D$22&gt;2</formula>
    </cfRule>
  </conditionalFormatting>
  <conditionalFormatting sqref="D30 M39:P39">
    <cfRule type="expression" dxfId="31" priority="14">
      <formula>$D$22&gt;3</formula>
    </cfRule>
  </conditionalFormatting>
  <conditionalFormatting sqref="D31 M40:Q40">
    <cfRule type="expression" dxfId="30" priority="13">
      <formula>$D$22&gt;4</formula>
    </cfRule>
  </conditionalFormatting>
  <conditionalFormatting sqref="D32 M41:R41">
    <cfRule type="expression" dxfId="29" priority="12">
      <formula>$D$22&gt;5</formula>
    </cfRule>
  </conditionalFormatting>
  <conditionalFormatting sqref="D33 M42:S42">
    <cfRule type="expression" dxfId="28" priority="11">
      <formula>$D$22&gt;6</formula>
    </cfRule>
  </conditionalFormatting>
  <conditionalFormatting sqref="D34 M43:T44">
    <cfRule type="expression" dxfId="27" priority="10">
      <formula>$D$22&gt;7</formula>
    </cfRule>
  </conditionalFormatting>
  <conditionalFormatting sqref="M36">
    <cfRule type="expression" dxfId="26" priority="9">
      <formula>$D$22&gt;0</formula>
    </cfRule>
  </conditionalFormatting>
  <conditionalFormatting sqref="N36 M37:N37">
    <cfRule type="expression" dxfId="25" priority="8">
      <formula>$D$22&gt;1</formula>
    </cfRule>
  </conditionalFormatting>
  <conditionalFormatting sqref="O36:O37">
    <cfRule type="expression" dxfId="24" priority="7">
      <formula>$D$22&gt;2</formula>
    </cfRule>
  </conditionalFormatting>
  <conditionalFormatting sqref="P36:P38">
    <cfRule type="expression" dxfId="23" priority="6">
      <formula>$D$22&gt;3</formula>
    </cfRule>
  </conditionalFormatting>
  <conditionalFormatting sqref="Q36:Q39">
    <cfRule type="expression" dxfId="22" priority="5">
      <formula>$D$22&gt;4</formula>
    </cfRule>
  </conditionalFormatting>
  <conditionalFormatting sqref="R36:R40">
    <cfRule type="expression" dxfId="21" priority="4">
      <formula>$D$22&gt;5</formula>
    </cfRule>
  </conditionalFormatting>
  <conditionalFormatting sqref="S36:S41">
    <cfRule type="expression" dxfId="20" priority="3">
      <formula>$D$22&gt;6</formula>
    </cfRule>
  </conditionalFormatting>
  <conditionalFormatting sqref="T36:T42">
    <cfRule type="expression" dxfId="19" priority="2">
      <formula>$D$22&gt;7</formula>
    </cfRule>
  </conditionalFormatting>
  <conditionalFormatting sqref="D44">
    <cfRule type="cellIs" dxfId="18" priority="1" operator="lessThan">
      <formula>0</formula>
    </cfRule>
  </conditionalFormatting>
  <dataValidations count="12">
    <dataValidation showInputMessage="1" showErrorMessage="1" sqref="E41:E42"/>
    <dataValidation type="list" allowBlank="1" showInputMessage="1" showErrorMessage="1" errorTitle="Too Many layers" error="This tool can only calculate up to 8 Layers." sqref="D22">
      <formula1>"1,2,3,4,5,6,7,8"</formula1>
    </dataValidation>
    <dataValidation type="list" showInputMessage="1" showErrorMessage="1" sqref="E35">
      <formula1>"mm,mil,oz-Cu"</formula1>
    </dataValidation>
    <dataValidation type="list" showInputMessage="1" showErrorMessage="1" sqref="E44 E26:E34 E24">
      <formula1>"mm,mil"</formula1>
    </dataValidation>
    <dataValidation type="decimal" operator="greaterThan" allowBlank="1" showInputMessage="1" showErrorMessage="1" sqref="D23">
      <formula1>0.1</formula1>
    </dataValidation>
    <dataValidation type="list" errorStyle="information" allowBlank="1" showInputMessage="1" showErrorMessage="1" errorTitle="Capacitor" error="1.68e-8 is appropriate value for copper traces." sqref="D36">
      <formula1>"1.68e-8"</formula1>
    </dataValidation>
    <dataValidation type="list" errorStyle="information" allowBlank="1" showInputMessage="1" showErrorMessage="1" errorTitle="USe appropriate value" error="PCB traces should use 0.393 for copper." sqref="D37">
      <formula1>"0.393"</formula1>
    </dataValidation>
    <dataValidation type="decimal" operator="greaterThanOrEqual" allowBlank="1" showInputMessage="1" showErrorMessage="1" sqref="D39">
      <formula1>0</formula1>
    </dataValidation>
    <dataValidation type="list" errorStyle="information" allowBlank="1" showInputMessage="1" showErrorMessage="1" errorTitle="Set appropriate vale" error="For Copper PCBs, 1.00 is appropriate value." sqref="D38">
      <formula1>"1.0"</formula1>
    </dataValidation>
    <dataValidation type="list" showInputMessage="1" showErrorMessage="1" sqref="E25">
      <formula1>"mm"</formula1>
    </dataValidation>
    <dataValidation type="decimal" operator="greaterThan" allowBlank="1" showInputMessage="1" showErrorMessage="1" sqref="C65:C67">
      <formula1>0</formula1>
    </dataValidation>
    <dataValidation type="list" allowBlank="1" showInputMessage="1" showErrorMessage="1" sqref="B68">
      <formula1>"Rs,Rp"</formula1>
    </dataValidation>
  </dataValidations>
  <hyperlinks>
    <hyperlink ref="G2" location="Contents!A1" display="Return to Main page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4" tint="0.59999389629810485"/>
  </sheetPr>
  <dimension ref="A2:I111"/>
  <sheetViews>
    <sheetView showGridLines="0" showRowColHeaders="0" workbookViewId="0">
      <selection activeCell="F2" sqref="F2"/>
    </sheetView>
  </sheetViews>
  <sheetFormatPr defaultRowHeight="15" x14ac:dyDescent="0.25"/>
  <cols>
    <col min="1" max="1" width="7.28515625" customWidth="1"/>
    <col min="2" max="2" width="4.7109375" customWidth="1"/>
    <col min="3" max="3" width="23.28515625" customWidth="1"/>
    <col min="4" max="4" width="14.28515625" customWidth="1"/>
    <col min="5" max="5" width="7.7109375" customWidth="1"/>
    <col min="6" max="6" width="43.5703125" customWidth="1"/>
  </cols>
  <sheetData>
    <row r="2" spans="2:7" ht="18.75" x14ac:dyDescent="0.3">
      <c r="B2" s="15" t="s">
        <v>338</v>
      </c>
      <c r="F2" s="84" t="s">
        <v>250</v>
      </c>
    </row>
    <row r="3" spans="2:7" x14ac:dyDescent="0.25">
      <c r="C3" t="s">
        <v>440</v>
      </c>
    </row>
    <row r="4" spans="2:7" x14ac:dyDescent="0.25">
      <c r="E4" s="20"/>
    </row>
    <row r="5" spans="2:7" x14ac:dyDescent="0.25">
      <c r="B5" s="21" t="s">
        <v>438</v>
      </c>
      <c r="E5" s="20"/>
    </row>
    <row r="6" spans="2:7" x14ac:dyDescent="0.25">
      <c r="C6" t="s">
        <v>325</v>
      </c>
      <c r="E6" s="20"/>
    </row>
    <row r="7" spans="2:7" x14ac:dyDescent="0.25">
      <c r="C7" t="s">
        <v>453</v>
      </c>
      <c r="E7" s="20"/>
    </row>
    <row r="8" spans="2:7" x14ac:dyDescent="0.25">
      <c r="E8" s="20"/>
    </row>
    <row r="9" spans="2:7" x14ac:dyDescent="0.25">
      <c r="C9" s="200" t="s">
        <v>336</v>
      </c>
      <c r="D9" s="76" t="s">
        <v>496</v>
      </c>
      <c r="E9" s="20"/>
    </row>
    <row r="10" spans="2:7" x14ac:dyDescent="0.25">
      <c r="C10" s="200" t="s">
        <v>332</v>
      </c>
      <c r="D10" s="76">
        <v>200</v>
      </c>
      <c r="E10" s="20" t="s">
        <v>148</v>
      </c>
      <c r="F10" t="s">
        <v>497</v>
      </c>
    </row>
    <row r="11" spans="2:7" x14ac:dyDescent="0.25">
      <c r="C11" s="200" t="s">
        <v>329</v>
      </c>
      <c r="D11" s="96">
        <f>IF(D9="LDC131x",2^12-1,IF(D9="LDC161x",2^28-1,2^24-1))</f>
        <v>268435455</v>
      </c>
      <c r="E11" s="20"/>
    </row>
    <row r="12" spans="2:7" x14ac:dyDescent="0.25">
      <c r="C12" s="200" t="s">
        <v>330</v>
      </c>
      <c r="D12" s="76">
        <v>0</v>
      </c>
      <c r="E12" s="20"/>
      <c r="F12" t="str">
        <f>IF(D9="LDC131x","Value programmed into OUTPUT_GAIN Field","")</f>
        <v/>
      </c>
    </row>
    <row r="13" spans="2:7" ht="15" customHeight="1" x14ac:dyDescent="0.35">
      <c r="C13" s="200" t="str">
        <f>IF(E13="dec","Output Code","Output Code           0x")</f>
        <v>Output Code           0x</v>
      </c>
      <c r="D13" s="76" t="s">
        <v>495</v>
      </c>
      <c r="E13" s="92" t="s">
        <v>456</v>
      </c>
      <c r="F13" t="str">
        <f>IF(D9="LDC131x","LDC output from Registers [0x00-0x07]",IF(D9="LDC161x","LDC output from Registers [0x00-0x08]","LDC output from Registers [0x38-0x3A]"))</f>
        <v>LDC output from Registers [0x00-0x08]</v>
      </c>
      <c r="G13" s="349"/>
    </row>
    <row r="14" spans="2:7" ht="15" hidden="1" customHeight="1" x14ac:dyDescent="0.35">
      <c r="C14" s="200"/>
      <c r="D14" s="314">
        <f>IF(E13="Hex",HEX2DEC(D13),D13)</f>
        <v>700707</v>
      </c>
      <c r="E14" s="20" t="s">
        <v>479</v>
      </c>
      <c r="G14" s="349"/>
    </row>
    <row r="15" spans="2:7" x14ac:dyDescent="0.25">
      <c r="C15" s="200" t="str">
        <f>IF(E15="dec","Channel Offset","Channel Offset           0x")</f>
        <v>Channel Offset           0x</v>
      </c>
      <c r="D15" s="76">
        <v>0</v>
      </c>
      <c r="E15" s="92" t="s">
        <v>456</v>
      </c>
      <c r="F15" t="s">
        <v>331</v>
      </c>
    </row>
    <row r="16" spans="2:7" hidden="1" x14ac:dyDescent="0.25">
      <c r="C16" s="200"/>
      <c r="D16" s="314">
        <f>IF(E15="Hex",HEX2DEC(D15),D15)</f>
        <v>0</v>
      </c>
      <c r="E16" s="20" t="s">
        <v>479</v>
      </c>
    </row>
    <row r="17" spans="2:9" hidden="1" x14ac:dyDescent="0.25">
      <c r="C17" s="200" t="s">
        <v>452</v>
      </c>
      <c r="D17" s="314">
        <f>IF(D9="LDC1101",16,42)</f>
        <v>42</v>
      </c>
      <c r="E17" s="20" t="s">
        <v>0</v>
      </c>
    </row>
    <row r="18" spans="2:9" x14ac:dyDescent="0.25">
      <c r="C18" s="200" t="s">
        <v>337</v>
      </c>
      <c r="D18" s="115">
        <v>40</v>
      </c>
      <c r="E18" s="20" t="s">
        <v>0</v>
      </c>
      <c r="F18" s="198" t="str">
        <f>IF(D18&gt;D17,"Reference frequency is above maximum spec","")</f>
        <v/>
      </c>
    </row>
    <row r="19" spans="2:9" x14ac:dyDescent="0.25">
      <c r="C19" s="200" t="s">
        <v>334</v>
      </c>
      <c r="D19" s="199">
        <v>1</v>
      </c>
      <c r="E19" s="20"/>
    </row>
    <row r="20" spans="2:9" x14ac:dyDescent="0.25">
      <c r="C20" s="200" t="s">
        <v>335</v>
      </c>
      <c r="D20" s="199">
        <v>1</v>
      </c>
      <c r="E20" s="20"/>
    </row>
    <row r="21" spans="2:9" x14ac:dyDescent="0.25">
      <c r="C21" s="200" t="s">
        <v>2</v>
      </c>
      <c r="D21" s="94">
        <f>IF(D9="LDC131x",D20*(D18/D19)*(D14/(2^(12+D12))+D16/65536),D20*(D18/D19)*(D14/D11+D16/65536))</f>
        <v>0.10441347995554462</v>
      </c>
      <c r="E21" s="202" t="s">
        <v>0</v>
      </c>
      <c r="F21" s="198" t="str">
        <f>IF(D21&gt;10,"Note: This sensor frequency is higher than specified max"," ")</f>
        <v xml:space="preserve"> </v>
      </c>
      <c r="I21" s="73"/>
    </row>
    <row r="22" spans="2:9" hidden="1" x14ac:dyDescent="0.25">
      <c r="C22" s="201"/>
      <c r="D22" s="207">
        <f>D10*0.000000000001</f>
        <v>2.0000000000000001E-10</v>
      </c>
      <c r="E22" s="90" t="s">
        <v>146</v>
      </c>
      <c r="F22" s="78"/>
    </row>
    <row r="23" spans="2:9" hidden="1" x14ac:dyDescent="0.25">
      <c r="C23" s="201"/>
      <c r="D23" s="208">
        <f>1/(D22*(D21*1000000*2*PI())^2)</f>
        <v>1.1617083922964712E-2</v>
      </c>
      <c r="E23" s="90" t="s">
        <v>1</v>
      </c>
      <c r="F23" s="78"/>
    </row>
    <row r="24" spans="2:9" x14ac:dyDescent="0.25">
      <c r="C24" s="200" t="s">
        <v>149</v>
      </c>
      <c r="D24" s="106">
        <f>D23*1000000</f>
        <v>11617.083922964712</v>
      </c>
      <c r="E24" s="89" t="s">
        <v>145</v>
      </c>
      <c r="I24" s="73"/>
    </row>
    <row r="25" spans="2:9" x14ac:dyDescent="0.25">
      <c r="C25" s="200"/>
      <c r="D25" s="315"/>
      <c r="E25" s="89"/>
      <c r="I25" s="73"/>
    </row>
    <row r="27" spans="2:9" x14ac:dyDescent="0.25">
      <c r="B27" s="21" t="s">
        <v>439</v>
      </c>
    </row>
    <row r="28" spans="2:9" ht="15.75" x14ac:dyDescent="0.25">
      <c r="B28" s="87"/>
      <c r="C28" t="s">
        <v>434</v>
      </c>
    </row>
    <row r="29" spans="2:9" ht="15.75" x14ac:dyDescent="0.25">
      <c r="B29" s="87"/>
      <c r="C29" t="s">
        <v>435</v>
      </c>
    </row>
    <row r="30" spans="2:9" ht="15.75" x14ac:dyDescent="0.25">
      <c r="B30" s="87"/>
    </row>
    <row r="31" spans="2:9" ht="15.75" x14ac:dyDescent="0.25">
      <c r="B31" s="87"/>
      <c r="C31" t="s">
        <v>15</v>
      </c>
      <c r="D31" s="313" t="s">
        <v>428</v>
      </c>
    </row>
    <row r="32" spans="2:9" x14ac:dyDescent="0.25">
      <c r="C32" s="200" t="s">
        <v>147</v>
      </c>
      <c r="D32" s="76">
        <v>6144</v>
      </c>
      <c r="F32" t="s">
        <v>480</v>
      </c>
    </row>
    <row r="33" spans="2:6" x14ac:dyDescent="0.25">
      <c r="C33" s="200" t="str">
        <f>IF(E33="decimal","Count Output","Count Output           0x")</f>
        <v>Count Output</v>
      </c>
      <c r="D33" s="76">
        <v>7154</v>
      </c>
      <c r="E33" s="92" t="s">
        <v>483</v>
      </c>
      <c r="F33" t="s">
        <v>216</v>
      </c>
    </row>
    <row r="34" spans="2:6" x14ac:dyDescent="0.25">
      <c r="C34" s="200"/>
      <c r="D34" s="314">
        <f>IF(E33="Hex",HEX2DEC(D33),D33)</f>
        <v>7154</v>
      </c>
      <c r="E34" s="20" t="s">
        <v>479</v>
      </c>
    </row>
    <row r="35" spans="2:6" x14ac:dyDescent="0.25">
      <c r="C35" s="200" t="s">
        <v>436</v>
      </c>
      <c r="D35" s="108">
        <f>IF(D31="LDC1101",16,8)</f>
        <v>16</v>
      </c>
      <c r="E35" s="20" t="s">
        <v>0</v>
      </c>
    </row>
    <row r="36" spans="2:6" x14ac:dyDescent="0.25">
      <c r="C36" s="200" t="s">
        <v>19</v>
      </c>
      <c r="D36" s="115">
        <v>8</v>
      </c>
      <c r="E36" s="20" t="s">
        <v>0</v>
      </c>
      <c r="F36" t="s">
        <v>441</v>
      </c>
    </row>
    <row r="37" spans="2:6" x14ac:dyDescent="0.25">
      <c r="C37" s="200" t="s">
        <v>437</v>
      </c>
      <c r="D37" s="108">
        <f>IF(D31="LDC1101",10,5)</f>
        <v>10</v>
      </c>
      <c r="E37" s="20" t="s">
        <v>0</v>
      </c>
      <c r="F37" s="78"/>
    </row>
    <row r="38" spans="2:6" x14ac:dyDescent="0.25">
      <c r="C38" s="200" t="s">
        <v>2</v>
      </c>
      <c r="D38" s="94">
        <f>D36*D32/(3*D34)</f>
        <v>2.2901873077998323</v>
      </c>
      <c r="E38" s="202" t="s">
        <v>0</v>
      </c>
      <c r="F38" s="198" t="str">
        <f>IF(D38&gt;D37,"Note: This sensor frequency is higher than specified max"," ")</f>
        <v xml:space="preserve"> </v>
      </c>
    </row>
    <row r="39" spans="2:6" x14ac:dyDescent="0.25">
      <c r="C39" s="200" t="s">
        <v>332</v>
      </c>
      <c r="D39" s="76">
        <v>200</v>
      </c>
      <c r="E39" s="20" t="s">
        <v>148</v>
      </c>
      <c r="F39" t="s">
        <v>333</v>
      </c>
    </row>
    <row r="40" spans="2:6" hidden="1" x14ac:dyDescent="0.25">
      <c r="C40" s="201"/>
      <c r="D40" s="207">
        <f>D39*0.000000000001</f>
        <v>2.0000000000000001E-10</v>
      </c>
      <c r="E40" s="90" t="s">
        <v>146</v>
      </c>
      <c r="F40" s="78"/>
    </row>
    <row r="41" spans="2:6" hidden="1" x14ac:dyDescent="0.25">
      <c r="C41" s="201"/>
      <c r="D41" s="208">
        <f>1/(D40*(D38*1000000*2*PI())^2)</f>
        <v>2.4147282371291389E-5</v>
      </c>
      <c r="E41" s="90" t="s">
        <v>1</v>
      </c>
      <c r="F41" s="78"/>
    </row>
    <row r="42" spans="2:6" x14ac:dyDescent="0.25">
      <c r="C42" s="200" t="s">
        <v>149</v>
      </c>
      <c r="D42" s="106">
        <f>D41*1000000</f>
        <v>24.147282371291389</v>
      </c>
      <c r="E42" s="89" t="s">
        <v>145</v>
      </c>
    </row>
    <row r="43" spans="2:6" x14ac:dyDescent="0.25">
      <c r="C43" s="200" t="s">
        <v>324</v>
      </c>
      <c r="D43" s="188">
        <f>1/(D34/D38/1000)</f>
        <v>0.32012682524459496</v>
      </c>
      <c r="E43" s="20" t="s">
        <v>257</v>
      </c>
    </row>
    <row r="44" spans="2:6" x14ac:dyDescent="0.25">
      <c r="E44" s="20"/>
    </row>
    <row r="45" spans="2:6" ht="18" x14ac:dyDescent="0.35">
      <c r="B45" s="21" t="s">
        <v>484</v>
      </c>
    </row>
    <row r="46" spans="2:6" x14ac:dyDescent="0.25">
      <c r="C46" s="181" t="s">
        <v>15</v>
      </c>
      <c r="D46" s="313" t="s">
        <v>428</v>
      </c>
    </row>
    <row r="47" spans="2:6" x14ac:dyDescent="0.25">
      <c r="C47" s="318" t="s">
        <v>443</v>
      </c>
      <c r="D47" s="76">
        <v>1.5</v>
      </c>
      <c r="E47" s="82" t="s">
        <v>447</v>
      </c>
      <c r="F47" t="str">
        <f>IF(D48&lt;D47,"RP Min must be less than Rpmax setting!","Register 0x01")</f>
        <v>Register 0x01</v>
      </c>
    </row>
    <row r="48" spans="2:6" x14ac:dyDescent="0.25">
      <c r="C48" s="318" t="s">
        <v>442</v>
      </c>
      <c r="D48" s="76">
        <v>12</v>
      </c>
      <c r="E48" s="82" t="s">
        <v>447</v>
      </c>
      <c r="F48" t="str">
        <f>IF(D48&lt;D47,"RP Min must be less than Rpmax setting!",IF(D46="LDC1101","Register 0x01", "Register 0x02"))</f>
        <v>Register 0x01</v>
      </c>
    </row>
    <row r="49" spans="1:6" x14ac:dyDescent="0.25">
      <c r="C49" s="318" t="s">
        <v>449</v>
      </c>
      <c r="D49" s="314">
        <f>IF(D46="LDC1041/1051",255,IF(D46="LDC1000",32768,IF(D46="LDC1101",65535)))</f>
        <v>65535</v>
      </c>
      <c r="E49" s="85" t="s">
        <v>479</v>
      </c>
    </row>
    <row r="50" spans="1:6" x14ac:dyDescent="0.25">
      <c r="C50" s="318" t="str">
        <f>IF(E50="Hex","RP Data Output                0x","RP Data Output")</f>
        <v>RP Data Output                0x</v>
      </c>
      <c r="D50" s="76" t="s">
        <v>488</v>
      </c>
      <c r="E50" s="92" t="s">
        <v>456</v>
      </c>
      <c r="F50" t="str">
        <f>IF(D51&gt;D49,"Output Code exceeds maximum for device!",IF(D46="LDC1041/1051","LDC output from Register 0x22","LDC output from Registers [0x21:0x22]"))</f>
        <v>LDC output from Registers [0x21:0x22]</v>
      </c>
    </row>
    <row r="51" spans="1:6" x14ac:dyDescent="0.25">
      <c r="C51" s="318" t="s">
        <v>451</v>
      </c>
      <c r="D51" s="314">
        <f>IF(E50="Decimal",D50,HEX2DEC(D50))</f>
        <v>162</v>
      </c>
      <c r="E51" s="20" t="s">
        <v>479</v>
      </c>
    </row>
    <row r="52" spans="1:6" hidden="1" x14ac:dyDescent="0.25">
      <c r="C52" s="318" t="s">
        <v>450</v>
      </c>
      <c r="D52" s="298">
        <f>(D47*D48*1000)/(D47*1000*(1-D51/D49)+D48*1000*D51/D49)</f>
        <v>11.795887143949964</v>
      </c>
      <c r="E52" s="82" t="s">
        <v>447</v>
      </c>
    </row>
    <row r="53" spans="1:6" hidden="1" x14ac:dyDescent="0.25">
      <c r="C53" s="318" t="s">
        <v>448</v>
      </c>
      <c r="D53" s="298">
        <f>(PI()/2*D47*D48)/(D48*(1-D51/65535)+D47*(D51/65535))</f>
        <v>2.3613019067679817</v>
      </c>
      <c r="E53" s="82" t="s">
        <v>447</v>
      </c>
    </row>
    <row r="54" spans="1:6" ht="18" x14ac:dyDescent="0.35">
      <c r="C54" s="350" t="s">
        <v>485</v>
      </c>
      <c r="D54" s="94">
        <f>IF(D46="LDC1101",(D47*D48)/(D48*(1-D51/65535)+D47*(D51/65535)),(D47*D48*1000)/(D47*1000*(1-D51/D49)+D48*1000*D51/D49))</f>
        <v>1.5032514823777683</v>
      </c>
      <c r="E54" s="82" t="s">
        <v>447</v>
      </c>
    </row>
    <row r="57" spans="1:6" ht="15.75" x14ac:dyDescent="0.25">
      <c r="A57" s="88"/>
      <c r="B57" s="88"/>
      <c r="C57" s="189" t="s">
        <v>345</v>
      </c>
      <c r="D57" s="50"/>
      <c r="E57" s="50"/>
    </row>
    <row r="58" spans="1:6" x14ac:dyDescent="0.25">
      <c r="A58" s="88"/>
      <c r="B58" s="88"/>
      <c r="C58" s="96" t="str">
        <f>IF(C60="L","fsensor","L")</f>
        <v>L</v>
      </c>
      <c r="D58" s="95">
        <v>20</v>
      </c>
      <c r="E58" s="191" t="str">
        <f>IF(C58="fsensor","MHz","µH")</f>
        <v>µH</v>
      </c>
    </row>
    <row r="59" spans="1:6" x14ac:dyDescent="0.25">
      <c r="A59" s="88"/>
      <c r="B59" s="88"/>
      <c r="C59" s="96" t="str">
        <f>IF(C60="C","fsensor","C")</f>
        <v>C</v>
      </c>
      <c r="D59" s="95">
        <v>500</v>
      </c>
      <c r="E59" s="192" t="str">
        <f>IF(C59="fsensor","MHz","pF")</f>
        <v>pF</v>
      </c>
    </row>
    <row r="60" spans="1:6" x14ac:dyDescent="0.25">
      <c r="A60" s="88"/>
      <c r="B60" s="88"/>
      <c r="C60" s="76" t="s">
        <v>283</v>
      </c>
      <c r="D60" s="94">
        <f>IF(C60="fsensor",0.000001/(2*PI()*SQRT(D58*0.000001*D59*0.000000000001)),IF(C60="C",1000000000000/((D58*0.000001)*(2*PI()*D59*1000000)^2),1000000/((D59*0.000000000001)*(2*PI()*D58*1000000)^2)))</f>
        <v>1.5915494309189533</v>
      </c>
      <c r="E60" s="96" t="str">
        <f>IF(C60="fsensor","MHz",IF(C60="L","µH","pF"))</f>
        <v>MHz</v>
      </c>
    </row>
    <row r="61" spans="1:6" x14ac:dyDescent="0.25">
      <c r="A61" s="88"/>
      <c r="B61" s="88"/>
    </row>
    <row r="62" spans="1:6" x14ac:dyDescent="0.25">
      <c r="A62" s="88"/>
      <c r="B62" s="88"/>
    </row>
    <row r="63" spans="1:6" x14ac:dyDescent="0.25">
      <c r="A63" s="88"/>
      <c r="B63" s="88"/>
    </row>
    <row r="64" spans="1:6" x14ac:dyDescent="0.25">
      <c r="A64" s="88"/>
      <c r="B64" s="88"/>
    </row>
    <row r="65" spans="1:5" x14ac:dyDescent="0.25">
      <c r="A65" s="88"/>
      <c r="B65" s="88"/>
    </row>
    <row r="66" spans="1:5" x14ac:dyDescent="0.25">
      <c r="A66" s="88"/>
      <c r="B66" s="88"/>
    </row>
    <row r="67" spans="1:5" x14ac:dyDescent="0.25">
      <c r="A67" s="88"/>
      <c r="B67" s="88"/>
    </row>
    <row r="68" spans="1:5" x14ac:dyDescent="0.25">
      <c r="A68" s="88"/>
      <c r="B68" s="88"/>
    </row>
    <row r="69" spans="1:5" x14ac:dyDescent="0.25">
      <c r="A69" s="88"/>
      <c r="B69" s="88"/>
    </row>
    <row r="70" spans="1:5" x14ac:dyDescent="0.25">
      <c r="A70" s="88"/>
      <c r="B70" s="88"/>
    </row>
    <row r="71" spans="1:5" x14ac:dyDescent="0.25">
      <c r="A71" s="88"/>
      <c r="B71" s="88"/>
    </row>
    <row r="72" spans="1:5" x14ac:dyDescent="0.25">
      <c r="A72" s="88"/>
      <c r="B72" s="88"/>
    </row>
    <row r="73" spans="1:5" x14ac:dyDescent="0.25">
      <c r="A73" s="88"/>
      <c r="B73" s="88"/>
    </row>
    <row r="79" spans="1:5" hidden="1" x14ac:dyDescent="0.25">
      <c r="C79" s="317" t="s">
        <v>446</v>
      </c>
      <c r="D79" s="317" t="s">
        <v>444</v>
      </c>
      <c r="E79" s="317" t="s">
        <v>445</v>
      </c>
    </row>
    <row r="80" spans="1:5" hidden="1" x14ac:dyDescent="0.25">
      <c r="C80" s="316">
        <f>IF(D$46="LDC1101",E80,D80)</f>
        <v>96</v>
      </c>
      <c r="D80" s="316">
        <v>3926.991</v>
      </c>
      <c r="E80" s="316">
        <v>96</v>
      </c>
    </row>
    <row r="81" spans="3:5" hidden="1" x14ac:dyDescent="0.25">
      <c r="C81" s="316">
        <f t="shared" ref="C81:C111" si="0">IF(D$46="LDC1101",E81,D81)</f>
        <v>48</v>
      </c>
      <c r="D81" s="316">
        <v>3141.5929999999998</v>
      </c>
      <c r="E81" s="316">
        <v>48</v>
      </c>
    </row>
    <row r="82" spans="3:5" hidden="1" x14ac:dyDescent="0.25">
      <c r="C82" s="316">
        <f t="shared" si="0"/>
        <v>24</v>
      </c>
      <c r="D82" s="316">
        <v>2243.9949999999999</v>
      </c>
      <c r="E82" s="316">
        <v>24</v>
      </c>
    </row>
    <row r="83" spans="3:5" hidden="1" x14ac:dyDescent="0.25">
      <c r="C83" s="316">
        <f t="shared" si="0"/>
        <v>12</v>
      </c>
      <c r="D83" s="316">
        <v>1745.329</v>
      </c>
      <c r="E83" s="316">
        <v>12</v>
      </c>
    </row>
    <row r="84" spans="3:5" hidden="1" x14ac:dyDescent="0.25">
      <c r="C84" s="316">
        <f t="shared" si="0"/>
        <v>6</v>
      </c>
      <c r="D84" s="316">
        <v>1308.9970000000001</v>
      </c>
      <c r="E84" s="316">
        <v>6</v>
      </c>
    </row>
    <row r="85" spans="3:5" hidden="1" x14ac:dyDescent="0.25">
      <c r="C85" s="316">
        <f t="shared" si="0"/>
        <v>3</v>
      </c>
      <c r="D85" s="316">
        <v>981.74800000000005</v>
      </c>
      <c r="E85" s="316">
        <v>3</v>
      </c>
    </row>
    <row r="86" spans="3:5" hidden="1" x14ac:dyDescent="0.25">
      <c r="C86" s="316">
        <f t="shared" si="0"/>
        <v>1.5</v>
      </c>
      <c r="D86" s="316">
        <v>747.99800000000005</v>
      </c>
      <c r="E86" s="316">
        <v>1.5</v>
      </c>
    </row>
    <row r="87" spans="3:5" hidden="1" x14ac:dyDescent="0.25">
      <c r="C87" s="316">
        <f t="shared" si="0"/>
        <v>0.75</v>
      </c>
      <c r="D87" s="316">
        <v>581.77599999999995</v>
      </c>
      <c r="E87" s="316">
        <v>0.75</v>
      </c>
    </row>
    <row r="88" spans="3:5" hidden="1" x14ac:dyDescent="0.25">
      <c r="C88" s="316">
        <f t="shared" si="0"/>
        <v>0</v>
      </c>
      <c r="D88" s="316">
        <v>436.33199999999999</v>
      </c>
      <c r="E88" s="316"/>
    </row>
    <row r="89" spans="3:5" hidden="1" x14ac:dyDescent="0.25">
      <c r="C89" s="316">
        <f t="shared" si="0"/>
        <v>0</v>
      </c>
      <c r="D89" s="316">
        <v>349.06599999999997</v>
      </c>
      <c r="E89" s="316"/>
    </row>
    <row r="90" spans="3:5" hidden="1" x14ac:dyDescent="0.25">
      <c r="C90" s="316">
        <f t="shared" si="0"/>
        <v>0</v>
      </c>
      <c r="D90" s="316">
        <v>249.333</v>
      </c>
      <c r="E90" s="316"/>
    </row>
    <row r="91" spans="3:5" hidden="1" x14ac:dyDescent="0.25">
      <c r="C91" s="316">
        <f t="shared" si="0"/>
        <v>0</v>
      </c>
      <c r="D91" s="316">
        <v>193.92599999999999</v>
      </c>
      <c r="E91" s="316"/>
    </row>
    <row r="92" spans="3:5" hidden="1" x14ac:dyDescent="0.25">
      <c r="C92" s="316">
        <f t="shared" si="0"/>
        <v>0</v>
      </c>
      <c r="D92" s="316">
        <v>145.44399999999999</v>
      </c>
      <c r="E92" s="316"/>
    </row>
    <row r="93" spans="3:5" hidden="1" x14ac:dyDescent="0.25">
      <c r="C93" s="316">
        <f t="shared" si="0"/>
        <v>0</v>
      </c>
      <c r="D93" s="316">
        <v>109.083</v>
      </c>
      <c r="E93" s="316"/>
    </row>
    <row r="94" spans="3:5" hidden="1" x14ac:dyDescent="0.25">
      <c r="C94" s="316">
        <f t="shared" si="0"/>
        <v>0</v>
      </c>
      <c r="D94" s="316">
        <v>83.111000000000004</v>
      </c>
      <c r="E94" s="316"/>
    </row>
    <row r="95" spans="3:5" hidden="1" x14ac:dyDescent="0.25">
      <c r="C95" s="316">
        <f t="shared" si="0"/>
        <v>0</v>
      </c>
      <c r="D95" s="316">
        <v>64.641999999999996</v>
      </c>
      <c r="E95" s="316"/>
    </row>
    <row r="96" spans="3:5" hidden="1" x14ac:dyDescent="0.25">
      <c r="C96" s="316">
        <f t="shared" si="0"/>
        <v>0</v>
      </c>
      <c r="D96" s="316">
        <v>48.481000000000002</v>
      </c>
      <c r="E96" s="316"/>
    </row>
    <row r="97" spans="3:5" hidden="1" x14ac:dyDescent="0.25">
      <c r="C97" s="316">
        <f t="shared" si="0"/>
        <v>0</v>
      </c>
      <c r="D97" s="316">
        <v>38.784999999999997</v>
      </c>
      <c r="E97" s="316"/>
    </row>
    <row r="98" spans="3:5" hidden="1" x14ac:dyDescent="0.25">
      <c r="C98" s="316">
        <f t="shared" si="0"/>
        <v>0</v>
      </c>
      <c r="D98" s="316">
        <v>27.704000000000001</v>
      </c>
      <c r="E98" s="316"/>
    </row>
    <row r="99" spans="3:5" hidden="1" x14ac:dyDescent="0.25">
      <c r="C99" s="316">
        <f t="shared" si="0"/>
        <v>0</v>
      </c>
      <c r="D99" s="316">
        <v>21.547000000000001</v>
      </c>
      <c r="E99" s="316"/>
    </row>
    <row r="100" spans="3:5" hidden="1" x14ac:dyDescent="0.25">
      <c r="C100" s="316">
        <f t="shared" si="0"/>
        <v>0</v>
      </c>
      <c r="D100" s="316">
        <v>16.16</v>
      </c>
      <c r="E100" s="316"/>
    </row>
    <row r="101" spans="3:5" hidden="1" x14ac:dyDescent="0.25">
      <c r="C101" s="316">
        <f t="shared" si="0"/>
        <v>0</v>
      </c>
      <c r="D101" s="316">
        <v>12.12</v>
      </c>
      <c r="E101" s="316"/>
    </row>
    <row r="102" spans="3:5" hidden="1" x14ac:dyDescent="0.25">
      <c r="C102" s="316">
        <f t="shared" si="0"/>
        <v>0</v>
      </c>
      <c r="D102" s="316">
        <v>9.2349999999999994</v>
      </c>
      <c r="E102" s="316"/>
    </row>
    <row r="103" spans="3:5" hidden="1" x14ac:dyDescent="0.25">
      <c r="C103" s="316">
        <f t="shared" si="0"/>
        <v>0</v>
      </c>
      <c r="D103" s="316">
        <v>7.1820000000000004</v>
      </c>
      <c r="E103" s="316"/>
    </row>
    <row r="104" spans="3:5" hidden="1" x14ac:dyDescent="0.25">
      <c r="C104" s="316">
        <f t="shared" si="0"/>
        <v>0</v>
      </c>
      <c r="D104" s="316">
        <v>5.3869999999999996</v>
      </c>
      <c r="E104" s="316"/>
    </row>
    <row r="105" spans="3:5" hidden="1" x14ac:dyDescent="0.25">
      <c r="C105" s="316">
        <f t="shared" si="0"/>
        <v>0</v>
      </c>
      <c r="D105" s="316">
        <v>4.3090000000000002</v>
      </c>
      <c r="E105" s="316"/>
    </row>
    <row r="106" spans="3:5" hidden="1" x14ac:dyDescent="0.25">
      <c r="C106" s="316">
        <f t="shared" si="0"/>
        <v>0</v>
      </c>
      <c r="D106" s="316">
        <v>3.0779999999999998</v>
      </c>
      <c r="E106" s="316"/>
    </row>
    <row r="107" spans="3:5" hidden="1" x14ac:dyDescent="0.25">
      <c r="C107" s="316">
        <f t="shared" si="0"/>
        <v>0</v>
      </c>
      <c r="D107" s="316">
        <v>2.3940000000000001</v>
      </c>
      <c r="E107" s="316"/>
    </row>
    <row r="108" spans="3:5" hidden="1" x14ac:dyDescent="0.25">
      <c r="C108" s="316">
        <f t="shared" si="0"/>
        <v>0</v>
      </c>
      <c r="D108" s="316">
        <v>1.796</v>
      </c>
      <c r="E108" s="316"/>
    </row>
    <row r="109" spans="3:5" hidden="1" x14ac:dyDescent="0.25">
      <c r="C109" s="316">
        <f t="shared" si="0"/>
        <v>0</v>
      </c>
      <c r="D109" s="316">
        <v>1.347</v>
      </c>
      <c r="E109" s="316"/>
    </row>
    <row r="110" spans="3:5" hidden="1" x14ac:dyDescent="0.25">
      <c r="C110" s="316">
        <f t="shared" si="0"/>
        <v>0</v>
      </c>
      <c r="D110" s="316">
        <v>1.026</v>
      </c>
      <c r="E110" s="316"/>
    </row>
    <row r="111" spans="3:5" hidden="1" x14ac:dyDescent="0.25">
      <c r="C111" s="316">
        <f t="shared" si="0"/>
        <v>0</v>
      </c>
      <c r="D111" s="316">
        <v>0.79800000000000004</v>
      </c>
      <c r="E111" s="316"/>
    </row>
  </sheetData>
  <conditionalFormatting sqref="D12">
    <cfRule type="expression" dxfId="17" priority="5">
      <formula>$D$9&lt;&gt;"LDC131x"</formula>
    </cfRule>
  </conditionalFormatting>
  <conditionalFormatting sqref="D18">
    <cfRule type="cellIs" dxfId="16" priority="2" operator="greaterThan">
      <formula>42</formula>
    </cfRule>
    <cfRule type="cellIs" dxfId="15" priority="4" operator="greaterThan">
      <formula>40</formula>
    </cfRule>
  </conditionalFormatting>
  <conditionalFormatting sqref="D36">
    <cfRule type="cellIs" dxfId="14" priority="3" operator="greaterThan">
      <formula>8</formula>
    </cfRule>
  </conditionalFormatting>
  <dataValidations count="21">
    <dataValidation type="list" allowBlank="1" showInputMessage="1" showErrorMessage="1" sqref="D32">
      <formula1>"192,384,768,1536,3072,6144"</formula1>
    </dataValidation>
    <dataValidation type="decimal" errorStyle="warning" allowBlank="1" showInputMessage="1" showErrorMessage="1" errorTitle="Frequency too High" error="Entered frequency exceeds maximum specified Reference freuqency." sqref="D36">
      <formula1>1</formula1>
      <formula2>D35</formula2>
    </dataValidation>
    <dataValidation type="decimal" errorStyle="information" operator="greaterThan" allowBlank="1" showInputMessage="1" showErrorMessage="1" errorTitle="Low Sensor Capacitance" error="Sensor capacitances which are too low are not recommended, as parasitic effects may influence the measurement." sqref="D10 D39">
      <formula1>80</formula1>
    </dataValidation>
    <dataValidation type="decimal" errorStyle="warning" operator="lessThanOrEqual" allowBlank="1" showInputMessage="1" showErrorMessage="1" errorTitle="Frequency too High" error="This exceeds the maximum CLKIN frequency." sqref="D18">
      <formula1>D17</formula1>
    </dataValidation>
    <dataValidation type="list" allowBlank="1" showInputMessage="1" showErrorMessage="1" sqref="D9">
      <formula1>"LDC131x,LDC161x,LDC1101"</formula1>
    </dataValidation>
    <dataValidation type="decimal" allowBlank="1" showInputMessage="1" showErrorMessage="1" errorTitle="Invalid setting" error="The Offset register programmed value can only be between 0 and 65535." sqref="D15 D17">
      <formula1>0</formula1>
      <formula2>65535</formula2>
    </dataValidation>
    <dataValidation type="decimal" errorStyle="warning" allowBlank="1" showInputMessage="1" showErrorMessage="1" errorTitle="Frequency too High" error="The Multichannel LDC devices have a maximum CLKIN divider 1023." sqref="D19">
      <formula1>1</formula1>
      <formula2>1023</formula2>
    </dataValidation>
    <dataValidation type="list" errorStyle="warning" operator="lessThanOrEqual" allowBlank="1" showInputMessage="1" showErrorMessage="1" errorTitle="Frequency too High" error="The Multichannel LDC devices have a FIN divider between 1 and 15." sqref="D20">
      <formula1>"1,2,3,4,5,6,7,8,9,10,11,12,13,14,15"</formula1>
    </dataValidation>
    <dataValidation type="list" allowBlank="1" showInputMessage="1" showErrorMessage="1" errorTitle="Incorrect Gain Setting" sqref="D12">
      <formula1>"0,2,3,4"</formula1>
    </dataValidation>
    <dataValidation allowBlank="1" showInputMessage="1" showErrorMessage="1" errorTitle="Invalid Output Code" error="The output code must be between 0 and the full-scale output code." sqref="D13"/>
    <dataValidation type="list" allowBlank="1" showInputMessage="1" showErrorMessage="1" sqref="D31">
      <formula1>"LDC1000/10x1,LDC1101"</formula1>
    </dataValidation>
    <dataValidation type="whole" allowBlank="1" showInputMessage="1" showErrorMessage="1" sqref="D33:D35 D37 D16">
      <formula1>0</formula1>
      <formula2>20000000</formula2>
    </dataValidation>
    <dataValidation type="list" allowBlank="1" showInputMessage="1" showErrorMessage="1" sqref="D46">
      <formula1>"LDC1000,LDC1041/1051,LDC1101"</formula1>
    </dataValidation>
    <dataValidation type="list" allowBlank="1" showInputMessage="1" showErrorMessage="1" sqref="D47:D48">
      <formula1>$C$80:$C$111</formula1>
    </dataValidation>
    <dataValidation type="whole" errorStyle="warning" allowBlank="1" showInputMessage="1" showErrorMessage="1" errorTitle="Invalid Output Code" error="The output code entered exceeds the maximum output code for the device." sqref="D51">
      <formula1>0</formula1>
      <formula2>#REF!</formula2>
    </dataValidation>
    <dataValidation type="list" allowBlank="1" showInputMessage="1" showErrorMessage="1" sqref="E50">
      <formula1>"Hex,Decimal"</formula1>
    </dataValidation>
    <dataValidation errorStyle="warning" allowBlank="1" showInputMessage="1" showErrorMessage="1" errorTitle="Invalid Output Code" error="The output code entered exceeds the maximum output code for the device." sqref="D50"/>
    <dataValidation type="decimal" errorStyle="warning" allowBlank="1" showInputMessage="1" showErrorMessage="1" errorTitle="Extreme Value" error="Please verify the value is correct, note the units are μH, pF, and MHz." sqref="D58:D59">
      <formula1>0.001</formula1>
      <formula2>1000000</formula2>
    </dataValidation>
    <dataValidation type="list" allowBlank="1" showInputMessage="1" showErrorMessage="1" sqref="C60">
      <formula1>"fsensor,L,C"</formula1>
    </dataValidation>
    <dataValidation type="list" allowBlank="1" showInputMessage="1" showErrorMessage="1" sqref="E33 E13 E15">
      <formula1>"Hex,decimal"</formula1>
    </dataValidation>
    <dataValidation type="decimal" allowBlank="1" showInputMessage="1" showErrorMessage="1" sqref="D14">
      <formula1>0</formula1>
      <formula2>D11</formula2>
    </dataValidation>
  </dataValidations>
  <hyperlinks>
    <hyperlink ref="F2" location="Contents!A1" display="Return to Main Page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theme="4" tint="0.59999389629810485"/>
  </sheetPr>
  <dimension ref="B2:I127"/>
  <sheetViews>
    <sheetView showGridLines="0" showRowColHeaders="0" workbookViewId="0">
      <selection activeCell="G2" sqref="G2"/>
    </sheetView>
  </sheetViews>
  <sheetFormatPr defaultRowHeight="15" x14ac:dyDescent="0.25"/>
  <cols>
    <col min="1" max="1" width="4.42578125" customWidth="1"/>
    <col min="2" max="2" width="3.42578125" customWidth="1"/>
    <col min="3" max="3" width="21.5703125" customWidth="1"/>
    <col min="4" max="4" width="20.28515625" customWidth="1"/>
    <col min="5" max="5" width="8.5703125" customWidth="1"/>
    <col min="6" max="6" width="11.85546875" customWidth="1"/>
    <col min="9" max="9" width="11.5703125" customWidth="1"/>
  </cols>
  <sheetData>
    <row r="2" spans="2:7" ht="18.75" x14ac:dyDescent="0.3">
      <c r="B2" s="15" t="s">
        <v>152</v>
      </c>
      <c r="G2" s="84" t="s">
        <v>250</v>
      </c>
    </row>
    <row r="3" spans="2:7" ht="18.75" x14ac:dyDescent="0.3">
      <c r="B3" s="15"/>
      <c r="G3" s="84"/>
    </row>
    <row r="4" spans="2:7" x14ac:dyDescent="0.25">
      <c r="C4" s="18" t="s">
        <v>217</v>
      </c>
    </row>
    <row r="5" spans="2:7" x14ac:dyDescent="0.25">
      <c r="C5" s="18" t="s">
        <v>218</v>
      </c>
    </row>
    <row r="6" spans="2:7" x14ac:dyDescent="0.25">
      <c r="C6" s="18" t="s">
        <v>349</v>
      </c>
    </row>
    <row r="7" spans="2:7" x14ac:dyDescent="0.25">
      <c r="C7" s="18" t="s">
        <v>346</v>
      </c>
    </row>
    <row r="8" spans="2:7" x14ac:dyDescent="0.25">
      <c r="C8" s="18" t="s">
        <v>376</v>
      </c>
    </row>
    <row r="9" spans="2:7" x14ac:dyDescent="0.25">
      <c r="C9" s="18"/>
    </row>
    <row r="10" spans="2:7" x14ac:dyDescent="0.25">
      <c r="C10" t="s">
        <v>213</v>
      </c>
      <c r="D10" s="166" t="s">
        <v>154</v>
      </c>
    </row>
    <row r="11" spans="2:7" hidden="1" x14ac:dyDescent="0.25">
      <c r="C11" t="s">
        <v>155</v>
      </c>
      <c r="D11" s="168">
        <f>INDEX(F107:F127,MATCH(D10,C107:C127))</f>
        <v>1.673</v>
      </c>
      <c r="E11" s="89" t="s">
        <v>156</v>
      </c>
    </row>
    <row r="12" spans="2:7" x14ac:dyDescent="0.25">
      <c r="C12" t="s">
        <v>155</v>
      </c>
      <c r="D12" s="279">
        <f>D11/1000000/100</f>
        <v>1.6730000000000002E-8</v>
      </c>
      <c r="E12" s="278" t="s">
        <v>157</v>
      </c>
    </row>
    <row r="13" spans="2:7" x14ac:dyDescent="0.25">
      <c r="C13" t="s">
        <v>158</v>
      </c>
      <c r="D13" s="169">
        <f>IF(D10="Nickel",100,1)</f>
        <v>1</v>
      </c>
      <c r="E13" s="20"/>
    </row>
    <row r="14" spans="2:7" x14ac:dyDescent="0.25">
      <c r="C14" t="s">
        <v>2</v>
      </c>
      <c r="D14" s="95">
        <v>1.7</v>
      </c>
      <c r="E14" s="20" t="s">
        <v>0</v>
      </c>
    </row>
    <row r="15" spans="2:7" hidden="1" x14ac:dyDescent="0.25">
      <c r="D15" s="205">
        <f>D14*1000000</f>
        <v>1700000</v>
      </c>
      <c r="E15" s="90" t="s">
        <v>1</v>
      </c>
    </row>
    <row r="16" spans="2:7" hidden="1" x14ac:dyDescent="0.25">
      <c r="C16" s="78" t="s">
        <v>159</v>
      </c>
      <c r="D16" s="205">
        <f>4*PI()*0.0000001</f>
        <v>1.2566370614359173E-6</v>
      </c>
      <c r="E16" s="90" t="s">
        <v>160</v>
      </c>
    </row>
    <row r="17" spans="3:8" hidden="1" x14ac:dyDescent="0.25">
      <c r="C17" s="78" t="s">
        <v>161</v>
      </c>
      <c r="D17" s="205">
        <f>SQRT((2*D12)/(2*PI()*D16*D13*D15))</f>
        <v>4.992793928335928E-5</v>
      </c>
      <c r="E17" s="90" t="s">
        <v>162</v>
      </c>
    </row>
    <row r="18" spans="3:8" x14ac:dyDescent="0.25">
      <c r="C18" t="s">
        <v>161</v>
      </c>
      <c r="D18" s="108">
        <f>D17*1000000</f>
        <v>49.927939283359279</v>
      </c>
      <c r="E18" s="89" t="s">
        <v>163</v>
      </c>
    </row>
    <row r="19" spans="3:8" x14ac:dyDescent="0.25">
      <c r="C19" t="s">
        <v>164</v>
      </c>
      <c r="D19" s="86">
        <v>500</v>
      </c>
      <c r="E19" s="92" t="s">
        <v>377</v>
      </c>
    </row>
    <row r="20" spans="3:8" ht="14.25" hidden="1" customHeight="1" x14ac:dyDescent="0.25">
      <c r="D20" s="206">
        <f>IF(E19="mm",D19*0.001,IF(E19="um",D19*0.000001,D19*0.0000254))</f>
        <v>5.0000000000000001E-4</v>
      </c>
      <c r="E20" s="109" t="s">
        <v>165</v>
      </c>
      <c r="G20" s="73"/>
    </row>
    <row r="21" spans="3:8" x14ac:dyDescent="0.25">
      <c r="C21" t="s">
        <v>207</v>
      </c>
      <c r="D21" s="106">
        <f>D20/D17</f>
        <v>10.014432944294326</v>
      </c>
      <c r="E21" s="20" t="s">
        <v>167</v>
      </c>
    </row>
    <row r="22" spans="3:8" x14ac:dyDescent="0.25">
      <c r="C22" t="s">
        <v>166</v>
      </c>
      <c r="D22" s="94">
        <f>100*(1-EXP(-1*D21))</f>
        <v>99.995525061893517</v>
      </c>
      <c r="E22" s="20" t="s">
        <v>212</v>
      </c>
    </row>
    <row r="23" spans="3:8" ht="15.75" x14ac:dyDescent="0.25">
      <c r="E23" s="20"/>
      <c r="H23" s="93" t="s">
        <v>214</v>
      </c>
    </row>
    <row r="24" spans="3:8" x14ac:dyDescent="0.25">
      <c r="E24" s="20"/>
    </row>
    <row r="25" spans="3:8" ht="15.75" x14ac:dyDescent="0.25">
      <c r="C25" s="189" t="s">
        <v>255</v>
      </c>
      <c r="D25" s="50"/>
      <c r="E25" s="50"/>
    </row>
    <row r="26" spans="3:8" x14ac:dyDescent="0.25">
      <c r="C26" s="96" t="str">
        <f>IF(C28="L","fsensor","L")</f>
        <v>L</v>
      </c>
      <c r="D26" s="95">
        <v>17.5</v>
      </c>
      <c r="E26" s="191" t="str">
        <f>IF(C26="fsensor","MHz","µH")</f>
        <v>µH</v>
      </c>
    </row>
    <row r="27" spans="3:8" x14ac:dyDescent="0.25">
      <c r="C27" s="96" t="str">
        <f>IF(C28="C","fsensor","C")</f>
        <v>C</v>
      </c>
      <c r="D27" s="95">
        <v>330</v>
      </c>
      <c r="E27" s="192" t="str">
        <f>IF(C27="fsensor","MHz","pF")</f>
        <v>pF</v>
      </c>
    </row>
    <row r="28" spans="3:8" x14ac:dyDescent="0.25">
      <c r="C28" s="76" t="s">
        <v>283</v>
      </c>
      <c r="D28" s="94">
        <f>IF(C28="fsensor",0.000001/(2*PI()*SQRT(D26*0.000001*D27*0.000000000001)),IF(C28="C",1000000000000/((D26*0.000001)*(2*PI()*D27*1000000)^2),1000000/((D27*0.000000000001)*(2*PI()*D26*1000000)^2)))</f>
        <v>2.0943252913707622</v>
      </c>
      <c r="E28" s="96" t="str">
        <f>IF(C28="fsensor","MHz",IF(C28="L","µH","pF"))</f>
        <v>MHz</v>
      </c>
    </row>
    <row r="104" spans="3:9" ht="15.75" x14ac:dyDescent="0.25">
      <c r="C104" s="93" t="s">
        <v>168</v>
      </c>
    </row>
    <row r="105" spans="3:9" ht="38.25" x14ac:dyDescent="0.25">
      <c r="E105" s="197" t="s">
        <v>327</v>
      </c>
      <c r="F105" s="197" t="s">
        <v>169</v>
      </c>
      <c r="G105" s="197" t="s">
        <v>150</v>
      </c>
      <c r="H105" s="197" t="s">
        <v>150</v>
      </c>
      <c r="I105" s="197" t="s">
        <v>323</v>
      </c>
    </row>
    <row r="106" spans="3:9" ht="18" x14ac:dyDescent="0.25">
      <c r="C106" s="193" t="s">
        <v>153</v>
      </c>
      <c r="D106" s="193" t="s">
        <v>328</v>
      </c>
      <c r="E106" s="194" t="s">
        <v>326</v>
      </c>
      <c r="F106" s="195" t="s">
        <v>156</v>
      </c>
      <c r="G106" s="194" t="s">
        <v>170</v>
      </c>
      <c r="H106" s="194" t="s">
        <v>151</v>
      </c>
      <c r="I106" s="194" t="s">
        <v>490</v>
      </c>
    </row>
    <row r="107" spans="3:9" x14ac:dyDescent="0.25">
      <c r="C107" s="196" t="s">
        <v>171</v>
      </c>
      <c r="D107" s="196" t="s">
        <v>172</v>
      </c>
      <c r="E107" s="196">
        <v>4200</v>
      </c>
      <c r="F107" s="196">
        <v>2.65</v>
      </c>
      <c r="G107" s="196">
        <v>660</v>
      </c>
      <c r="H107" s="196">
        <v>1221</v>
      </c>
      <c r="I107" s="196">
        <v>1</v>
      </c>
    </row>
    <row r="108" spans="3:9" x14ac:dyDescent="0.25">
      <c r="C108" s="196" t="s">
        <v>173</v>
      </c>
      <c r="D108" s="196" t="s">
        <v>29</v>
      </c>
      <c r="E108" s="196">
        <v>-500</v>
      </c>
      <c r="F108" s="196">
        <v>3000</v>
      </c>
      <c r="G108" s="196"/>
      <c r="H108" s="196"/>
      <c r="I108" s="96">
        <v>1</v>
      </c>
    </row>
    <row r="109" spans="3:9" x14ac:dyDescent="0.25">
      <c r="C109" s="196" t="s">
        <v>174</v>
      </c>
      <c r="D109" s="196" t="s">
        <v>175</v>
      </c>
      <c r="E109" s="196">
        <v>5900</v>
      </c>
      <c r="F109" s="196">
        <v>18</v>
      </c>
      <c r="G109" s="196">
        <v>1857</v>
      </c>
      <c r="H109" s="196">
        <v>3374.6</v>
      </c>
      <c r="I109" s="196">
        <v>1</v>
      </c>
    </row>
    <row r="110" spans="3:9" x14ac:dyDescent="0.25">
      <c r="C110" s="196" t="s">
        <v>154</v>
      </c>
      <c r="D110" s="196" t="s">
        <v>176</v>
      </c>
      <c r="E110" s="196">
        <v>4300</v>
      </c>
      <c r="F110" s="196">
        <v>1.673</v>
      </c>
      <c r="G110" s="196">
        <v>1083</v>
      </c>
      <c r="H110" s="196">
        <v>1981.4</v>
      </c>
      <c r="I110" s="196">
        <v>1</v>
      </c>
    </row>
    <row r="111" spans="3:9" x14ac:dyDescent="0.25">
      <c r="C111" s="196" t="s">
        <v>177</v>
      </c>
      <c r="D111" s="196" t="s">
        <v>178</v>
      </c>
      <c r="E111" s="196">
        <v>4000</v>
      </c>
      <c r="F111" s="196">
        <v>2.44</v>
      </c>
      <c r="G111" s="196">
        <v>1064</v>
      </c>
      <c r="H111" s="196">
        <v>1947.2</v>
      </c>
      <c r="I111" s="196">
        <v>1</v>
      </c>
    </row>
    <row r="112" spans="3:9" x14ac:dyDescent="0.25">
      <c r="C112" s="196" t="s">
        <v>179</v>
      </c>
      <c r="D112" s="196" t="s">
        <v>180</v>
      </c>
      <c r="E112" s="196">
        <v>6500</v>
      </c>
      <c r="F112" s="196">
        <v>9.66</v>
      </c>
      <c r="G112" s="196">
        <v>1535</v>
      </c>
      <c r="H112" s="196">
        <v>2795</v>
      </c>
      <c r="I112" s="196">
        <v>5000</v>
      </c>
    </row>
    <row r="113" spans="3:9" x14ac:dyDescent="0.25">
      <c r="C113" s="196" t="s">
        <v>181</v>
      </c>
      <c r="D113" s="196" t="s">
        <v>182</v>
      </c>
      <c r="E113" s="196">
        <v>4200</v>
      </c>
      <c r="F113" s="196">
        <v>20.65</v>
      </c>
      <c r="G113" s="196">
        <v>328</v>
      </c>
      <c r="H113" s="196">
        <v>622.4</v>
      </c>
      <c r="I113" s="196">
        <v>1</v>
      </c>
    </row>
    <row r="114" spans="3:9" x14ac:dyDescent="0.25">
      <c r="C114" s="196" t="s">
        <v>183</v>
      </c>
      <c r="D114" s="196" t="s">
        <v>184</v>
      </c>
      <c r="E114" s="196"/>
      <c r="F114" s="196">
        <v>4.2</v>
      </c>
      <c r="G114" s="196"/>
      <c r="H114" s="196"/>
      <c r="I114" s="196">
        <v>1</v>
      </c>
    </row>
    <row r="115" spans="3:9" x14ac:dyDescent="0.25">
      <c r="C115" s="196" t="s">
        <v>185</v>
      </c>
      <c r="D115" s="196" t="s">
        <v>186</v>
      </c>
      <c r="E115" s="196">
        <v>6800</v>
      </c>
      <c r="F115" s="196">
        <v>8.7070000000000007</v>
      </c>
      <c r="G115" s="196">
        <v>1453</v>
      </c>
      <c r="H115" s="196">
        <v>2647.4</v>
      </c>
      <c r="I115" s="196">
        <v>100</v>
      </c>
    </row>
    <row r="116" spans="3:9" x14ac:dyDescent="0.25">
      <c r="C116" s="196" t="s">
        <v>187</v>
      </c>
      <c r="D116" s="196" t="s">
        <v>188</v>
      </c>
      <c r="E116" s="196" t="s">
        <v>189</v>
      </c>
      <c r="F116" s="196">
        <v>110</v>
      </c>
      <c r="G116" s="196"/>
      <c r="H116" s="196"/>
      <c r="I116" s="196">
        <v>1</v>
      </c>
    </row>
    <row r="117" spans="3:9" x14ac:dyDescent="0.25">
      <c r="C117" s="196" t="s">
        <v>190</v>
      </c>
      <c r="D117" s="196" t="s">
        <v>191</v>
      </c>
      <c r="E117" s="196">
        <v>4100</v>
      </c>
      <c r="F117" s="196">
        <v>1.59</v>
      </c>
      <c r="G117" s="196">
        <v>962</v>
      </c>
      <c r="H117" s="196">
        <v>1763.6</v>
      </c>
      <c r="I117" s="196">
        <v>1</v>
      </c>
    </row>
    <row r="118" spans="3:9" x14ac:dyDescent="0.25">
      <c r="C118" s="196" t="s">
        <v>489</v>
      </c>
      <c r="D118" s="196" t="s">
        <v>491</v>
      </c>
      <c r="E118" s="196">
        <v>8010</v>
      </c>
      <c r="F118" s="196">
        <v>74</v>
      </c>
      <c r="G118" s="196">
        <v>1371</v>
      </c>
      <c r="H118" s="196"/>
      <c r="I118" s="196">
        <v>1.0029999999999999</v>
      </c>
    </row>
    <row r="119" spans="3:9" x14ac:dyDescent="0.25">
      <c r="C119" s="196" t="s">
        <v>498</v>
      </c>
      <c r="D119" s="196"/>
      <c r="E119" s="196"/>
      <c r="F119" s="196">
        <v>23.68</v>
      </c>
      <c r="G119" s="196"/>
      <c r="H119" s="196"/>
      <c r="I119" s="196">
        <v>409</v>
      </c>
    </row>
    <row r="120" spans="3:9" x14ac:dyDescent="0.25">
      <c r="C120" s="196" t="s">
        <v>499</v>
      </c>
      <c r="D120" s="196"/>
      <c r="E120" s="196"/>
      <c r="F120" s="196">
        <v>17.239999999999998</v>
      </c>
      <c r="G120" s="196"/>
      <c r="H120" s="196"/>
      <c r="I120" s="196">
        <v>1404</v>
      </c>
    </row>
    <row r="121" spans="3:9" x14ac:dyDescent="0.25">
      <c r="C121" s="196" t="s">
        <v>192</v>
      </c>
      <c r="D121" s="196" t="s">
        <v>193</v>
      </c>
      <c r="E121" s="196"/>
      <c r="F121" s="196">
        <v>15.52</v>
      </c>
      <c r="G121" s="196">
        <v>2996</v>
      </c>
      <c r="H121" s="196">
        <v>5424.8</v>
      </c>
      <c r="I121" s="196">
        <v>1</v>
      </c>
    </row>
    <row r="122" spans="3:9" x14ac:dyDescent="0.25">
      <c r="C122" s="196" t="s">
        <v>194</v>
      </c>
      <c r="D122" s="196" t="s">
        <v>195</v>
      </c>
      <c r="E122" s="196">
        <v>-100</v>
      </c>
      <c r="F122" s="196">
        <v>252</v>
      </c>
      <c r="G122" s="196"/>
      <c r="H122" s="196"/>
      <c r="I122" s="196">
        <v>1</v>
      </c>
    </row>
    <row r="123" spans="3:9" x14ac:dyDescent="0.25">
      <c r="C123" s="196" t="s">
        <v>196</v>
      </c>
      <c r="D123" s="196" t="s">
        <v>197</v>
      </c>
      <c r="E123" s="196">
        <v>4600</v>
      </c>
      <c r="F123" s="196">
        <v>11.55</v>
      </c>
      <c r="G123" s="196">
        <v>232</v>
      </c>
      <c r="H123" s="196">
        <v>449.6</v>
      </c>
      <c r="I123" s="196">
        <v>1</v>
      </c>
    </row>
    <row r="124" spans="3:9" x14ac:dyDescent="0.25">
      <c r="C124" s="196" t="s">
        <v>198</v>
      </c>
      <c r="D124" s="196" t="s">
        <v>199</v>
      </c>
      <c r="E124" s="196"/>
      <c r="F124" s="196">
        <v>55</v>
      </c>
      <c r="G124" s="196">
        <v>1660</v>
      </c>
      <c r="H124" s="196">
        <v>3020</v>
      </c>
      <c r="I124" s="196">
        <v>1</v>
      </c>
    </row>
    <row r="125" spans="3:9" x14ac:dyDescent="0.25">
      <c r="C125" s="196" t="s">
        <v>200</v>
      </c>
      <c r="D125" s="196" t="s">
        <v>201</v>
      </c>
      <c r="E125" s="196">
        <v>4800</v>
      </c>
      <c r="F125" s="196">
        <v>5.6</v>
      </c>
      <c r="G125" s="196">
        <v>3422</v>
      </c>
      <c r="H125" s="196">
        <v>6192</v>
      </c>
      <c r="I125" s="196">
        <v>1</v>
      </c>
    </row>
    <row r="126" spans="3:9" x14ac:dyDescent="0.25">
      <c r="C126" s="196" t="s">
        <v>202</v>
      </c>
      <c r="D126" s="196" t="s">
        <v>203</v>
      </c>
      <c r="E126" s="196">
        <v>4200</v>
      </c>
      <c r="F126" s="196">
        <v>5.68</v>
      </c>
      <c r="G126" s="196">
        <v>420</v>
      </c>
      <c r="H126" s="196">
        <v>788</v>
      </c>
      <c r="I126" s="196">
        <v>1</v>
      </c>
    </row>
    <row r="127" spans="3:9" x14ac:dyDescent="0.25">
      <c r="C127" s="196" t="s">
        <v>204</v>
      </c>
      <c r="D127" s="196" t="s">
        <v>205</v>
      </c>
      <c r="E127" s="196"/>
      <c r="F127" s="196">
        <v>4.0999999999999996</v>
      </c>
      <c r="G127" s="196">
        <v>1852</v>
      </c>
      <c r="H127" s="196">
        <v>3365.6</v>
      </c>
      <c r="I127" s="196">
        <v>1</v>
      </c>
    </row>
  </sheetData>
  <dataValidations count="4">
    <dataValidation type="list" allowBlank="1" showInputMessage="1" showErrorMessage="1" sqref="E19">
      <formula1>"mm,um,mil"</formula1>
    </dataValidation>
    <dataValidation type="list" allowBlank="1" showInputMessage="1" showErrorMessage="1" sqref="D10">
      <formula1>$C$107:$C$127</formula1>
    </dataValidation>
    <dataValidation type="list" allowBlank="1" showInputMessage="1" showErrorMessage="1" sqref="C28">
      <formula1>"fsensor,L,C"</formula1>
    </dataValidation>
    <dataValidation type="decimal" operator="greaterThan" allowBlank="1" showInputMessage="1" showErrorMessage="1" sqref="D26:D27">
      <formula1>0.0001</formula1>
    </dataValidation>
  </dataValidations>
  <hyperlinks>
    <hyperlink ref="G2" location="Contents!A1" display="Return to Main Page"/>
  </hyperlink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B1:N94"/>
  <sheetViews>
    <sheetView showGridLines="0" showRowColHeaders="0" zoomScaleNormal="100" workbookViewId="0">
      <selection activeCell="H2" sqref="H2"/>
    </sheetView>
  </sheetViews>
  <sheetFormatPr defaultRowHeight="15" x14ac:dyDescent="0.25"/>
  <cols>
    <col min="1" max="1" width="3.85546875" customWidth="1"/>
    <col min="2" max="2" width="8.5703125" customWidth="1"/>
    <col min="3" max="3" width="23.85546875" customWidth="1"/>
    <col min="4" max="4" width="11.140625" style="297" customWidth="1"/>
    <col min="5" max="5" width="7.140625" style="297" customWidth="1"/>
    <col min="6" max="6" width="10.5703125" style="297" customWidth="1"/>
    <col min="8" max="8" width="21.85546875" customWidth="1"/>
    <col min="9" max="9" width="11.28515625" style="297" customWidth="1"/>
    <col min="10" max="10" width="6.5703125" style="297" customWidth="1"/>
    <col min="11" max="11" width="10.7109375" style="297" customWidth="1"/>
  </cols>
  <sheetData>
    <row r="1" spans="2:14" x14ac:dyDescent="0.25">
      <c r="D1" s="281"/>
      <c r="E1" s="281"/>
      <c r="F1" s="281"/>
      <c r="G1" s="50"/>
      <c r="H1" s="50"/>
      <c r="I1" s="281"/>
      <c r="J1" s="281"/>
      <c r="K1" s="281"/>
      <c r="L1" s="50"/>
    </row>
    <row r="2" spans="2:14" ht="18.75" x14ac:dyDescent="0.3">
      <c r="B2" s="280" t="s">
        <v>381</v>
      </c>
      <c r="D2"/>
      <c r="E2" s="281"/>
      <c r="F2" s="281"/>
      <c r="G2" s="50"/>
      <c r="H2" s="84" t="s">
        <v>250</v>
      </c>
      <c r="I2" s="281"/>
      <c r="J2" s="281"/>
      <c r="K2" s="281"/>
      <c r="L2" s="50"/>
    </row>
    <row r="3" spans="2:14" x14ac:dyDescent="0.25">
      <c r="C3" s="50" t="s">
        <v>464</v>
      </c>
      <c r="D3" s="50"/>
      <c r="E3" s="281"/>
      <c r="F3" s="281"/>
      <c r="G3" s="50"/>
      <c r="H3" s="50"/>
      <c r="I3" s="281"/>
      <c r="J3" s="281"/>
      <c r="K3" s="281"/>
      <c r="L3" s="50"/>
    </row>
    <row r="4" spans="2:14" x14ac:dyDescent="0.25">
      <c r="B4" s="50"/>
      <c r="C4" s="50" t="s">
        <v>382</v>
      </c>
      <c r="D4" s="50"/>
      <c r="E4" s="281"/>
      <c r="F4" s="281"/>
      <c r="G4" s="50"/>
      <c r="H4" s="50" t="s">
        <v>482</v>
      </c>
      <c r="I4" s="281"/>
      <c r="J4" s="281"/>
      <c r="K4" s="281"/>
      <c r="L4" s="50"/>
    </row>
    <row r="5" spans="2:14" x14ac:dyDescent="0.25">
      <c r="B5" s="50"/>
      <c r="C5" s="50" t="s">
        <v>474</v>
      </c>
      <c r="D5" s="281"/>
      <c r="E5" s="281"/>
      <c r="F5" s="281"/>
      <c r="G5" s="50"/>
      <c r="H5" s="50"/>
      <c r="I5" s="281"/>
      <c r="J5" s="281"/>
      <c r="K5" s="281"/>
      <c r="L5" s="50"/>
    </row>
    <row r="6" spans="2:14" x14ac:dyDescent="0.25">
      <c r="B6" s="50"/>
      <c r="C6" s="50" t="s">
        <v>475</v>
      </c>
      <c r="D6" s="281"/>
      <c r="E6" s="281"/>
      <c r="F6" s="281"/>
      <c r="G6" s="50"/>
      <c r="H6" s="50"/>
      <c r="I6" s="281"/>
      <c r="J6" s="281"/>
      <c r="K6" s="281"/>
      <c r="L6" s="50"/>
    </row>
    <row r="7" spans="2:14" x14ac:dyDescent="0.25">
      <c r="B7" s="50"/>
      <c r="C7" s="50"/>
      <c r="D7" s="282"/>
      <c r="E7" s="281"/>
      <c r="F7" s="281"/>
      <c r="G7" s="50"/>
      <c r="H7" s="50"/>
      <c r="I7" s="282"/>
      <c r="J7" s="281"/>
      <c r="K7" s="281"/>
      <c r="L7" s="281"/>
    </row>
    <row r="8" spans="2:14" ht="15.75" x14ac:dyDescent="0.25">
      <c r="B8" s="50"/>
      <c r="C8" s="283" t="s">
        <v>383</v>
      </c>
      <c r="D8" s="281"/>
      <c r="E8" s="281"/>
      <c r="F8" s="281"/>
      <c r="G8" s="50"/>
      <c r="H8" s="50"/>
      <c r="I8" s="281"/>
      <c r="J8" s="281"/>
      <c r="K8" s="281"/>
      <c r="L8" s="50"/>
    </row>
    <row r="9" spans="2:14" x14ac:dyDescent="0.25">
      <c r="B9" s="50"/>
      <c r="C9" s="91" t="s">
        <v>208</v>
      </c>
      <c r="D9" s="284">
        <v>220</v>
      </c>
      <c r="E9" s="299" t="s">
        <v>30</v>
      </c>
      <c r="F9" s="285" t="str">
        <f>IF(D9&lt;C49,"too small",IF(D9&gt;D49,"too large","In Range"))</f>
        <v>In Range</v>
      </c>
      <c r="G9" s="50"/>
      <c r="L9" s="50"/>
    </row>
    <row r="10" spans="2:14" x14ac:dyDescent="0.25">
      <c r="B10" s="50"/>
      <c r="C10" s="91" t="s">
        <v>384</v>
      </c>
      <c r="D10" s="288">
        <v>10.5</v>
      </c>
      <c r="E10" s="299" t="s">
        <v>95</v>
      </c>
      <c r="F10" s="285" t="str">
        <f>IF(D10&lt;C50,"too small",IF(D10&gt;D50,"too large","In Range"))</f>
        <v>In Range</v>
      </c>
      <c r="G10" s="50"/>
      <c r="L10" s="50"/>
      <c r="N10" s="290"/>
    </row>
    <row r="11" spans="2:14" x14ac:dyDescent="0.25">
      <c r="B11" s="50"/>
      <c r="C11" s="91" t="s">
        <v>386</v>
      </c>
      <c r="D11" s="291">
        <f>micro/(2*PI()*SQRT(pico*D9*D10*micro))</f>
        <v>3.3114190410136963</v>
      </c>
      <c r="E11" s="299" t="s">
        <v>0</v>
      </c>
      <c r="F11" s="285" t="str">
        <f>IF(D11&lt;C51,"too low",IF(D11&gt;D51,"too high","In Range"))</f>
        <v>In Range</v>
      </c>
      <c r="G11" s="50"/>
      <c r="L11" s="50"/>
    </row>
    <row r="12" spans="2:14" x14ac:dyDescent="0.25">
      <c r="B12" s="50"/>
      <c r="C12" s="91" t="str">
        <f>"Rs_parasitic(@"&amp;LEFT(D11,5)&amp;"MHz)"</f>
        <v>Rs_parasitic(@3.311MHz)</v>
      </c>
      <c r="D12" s="288">
        <v>7.2</v>
      </c>
      <c r="E12" s="300" t="s">
        <v>201</v>
      </c>
      <c r="F12" s="287"/>
      <c r="G12" s="50"/>
      <c r="L12" s="50"/>
    </row>
    <row r="13" spans="2:14" x14ac:dyDescent="0.25">
      <c r="B13" s="50"/>
      <c r="C13" s="91" t="s">
        <v>388</v>
      </c>
      <c r="D13" s="296">
        <f>C53</f>
        <v>6.6287878787878798</v>
      </c>
      <c r="E13" s="301" t="s">
        <v>420</v>
      </c>
      <c r="F13" s="287"/>
      <c r="G13" s="50"/>
      <c r="L13" s="50"/>
    </row>
    <row r="14" spans="2:14" x14ac:dyDescent="0.25">
      <c r="B14" s="50"/>
      <c r="D14" s="281"/>
      <c r="E14" s="301"/>
      <c r="F14" s="287"/>
      <c r="G14" s="50"/>
      <c r="L14" s="50"/>
      <c r="N14" s="293"/>
    </row>
    <row r="15" spans="2:14" ht="15.75" x14ac:dyDescent="0.25">
      <c r="B15" s="50"/>
      <c r="C15" s="283" t="s">
        <v>389</v>
      </c>
      <c r="D15" s="281"/>
      <c r="E15" s="301"/>
      <c r="F15" s="287"/>
      <c r="G15" s="50"/>
      <c r="L15" s="50"/>
    </row>
    <row r="16" spans="2:14" x14ac:dyDescent="0.25">
      <c r="B16" s="50"/>
      <c r="C16" s="91" t="s">
        <v>421</v>
      </c>
      <c r="D16" s="286">
        <v>3</v>
      </c>
      <c r="E16" s="301" t="s">
        <v>304</v>
      </c>
      <c r="F16" s="285" t="str">
        <f>IF(AND(C59&gt;=C57,C59&lt;=D57),"in Range",IF(C59&lt;C57,"too large",IF(C59&gt;D57,"too small")))</f>
        <v>in Range</v>
      </c>
      <c r="G16" s="50"/>
      <c r="L16" s="50"/>
    </row>
    <row r="17" spans="2:12" x14ac:dyDescent="0.25">
      <c r="B17" s="50"/>
      <c r="C17" s="91" t="str">
        <f>IF(D17&gt;D16,"RpMAX Setting","RPMAX must be &gt;RpMIN")</f>
        <v>RpMAX Setting</v>
      </c>
      <c r="D17" s="329">
        <v>12</v>
      </c>
      <c r="E17" s="301" t="s">
        <v>304</v>
      </c>
      <c r="F17" s="285" t="str">
        <f>IF(AND(D17&gt;=D13,D17&lt;=2.05*D13),"in Range",IF(D17&gt;2.05*D13,"too large",IF(D17&lt;D13,"too small")))</f>
        <v>in Range</v>
      </c>
      <c r="G17" s="50"/>
      <c r="L17" s="50"/>
    </row>
    <row r="18" spans="2:12" x14ac:dyDescent="0.25">
      <c r="B18" s="50"/>
      <c r="C18" s="91" t="s">
        <v>469</v>
      </c>
      <c r="D18" s="179" t="str">
        <f>"0x"&amp;DEC2HEX(TEXT((((7-LOG(D17/0.75,2))*16)+(7-LOG(D16/0.75,2))),"0"),2)</f>
        <v>0x35</v>
      </c>
      <c r="E18" s="301"/>
      <c r="F18" s="327" t="s">
        <v>470</v>
      </c>
      <c r="G18" s="50"/>
      <c r="L18" s="50"/>
    </row>
    <row r="19" spans="2:12" x14ac:dyDescent="0.25">
      <c r="B19" s="50"/>
      <c r="C19" s="91" t="s">
        <v>390</v>
      </c>
      <c r="D19" s="294">
        <f>1000*D13*SQRT(pico*D9/(micro*D10))</f>
        <v>30.342461718934135</v>
      </c>
      <c r="E19" s="301"/>
      <c r="F19" s="285" t="str">
        <f>IF(D19&gt;=C52,"in Range","too small")</f>
        <v>in Range</v>
      </c>
      <c r="G19" s="50"/>
      <c r="L19" s="50"/>
    </row>
    <row r="20" spans="2:12" x14ac:dyDescent="0.25">
      <c r="B20" s="50"/>
      <c r="C20" s="91" t="s">
        <v>392</v>
      </c>
      <c r="D20" s="324">
        <f>IF(1000*SQRT(2)/(PI()*0.6*D30*(6))&gt;C78,6,IF(1000*SQRT(2)/(PI()*0.6*D30*(3))&gt;C78,3,IF(1000*SQRT(2)/(PI()*0.6*D30*(1.5))&gt;C78,1.5,IF(1000*SQRT(2)/(PI()*0.6*D30*(0.75))&gt;C78,0.75,"Too Low"))))</f>
        <v>6</v>
      </c>
      <c r="E20" s="299" t="s">
        <v>30</v>
      </c>
      <c r="F20" s="285" t="str">
        <f>IF(AND(D20&gt;=C72,D20&lt;=C75),"in Range", "error")</f>
        <v>in Range</v>
      </c>
      <c r="G20" s="50"/>
      <c r="L20" s="50"/>
    </row>
    <row r="21" spans="2:12" x14ac:dyDescent="0.25">
      <c r="B21" s="50"/>
      <c r="C21" s="91" t="s">
        <v>394</v>
      </c>
      <c r="D21" s="328">
        <f>(1000*SQRT(2)/(PI()*0.6*D11*(D20)))</f>
        <v>37.761434373258737</v>
      </c>
      <c r="E21" s="301" t="s">
        <v>304</v>
      </c>
      <c r="F21" s="285" t="str">
        <f>IF(D21&lt;C78,"too small",IF(D21&gt;C79,"too large","In Range"))</f>
        <v>In Range</v>
      </c>
      <c r="G21" s="50"/>
      <c r="L21" s="50"/>
    </row>
    <row r="22" spans="2:12" x14ac:dyDescent="0.25">
      <c r="B22" s="50"/>
      <c r="C22" s="91" t="s">
        <v>465</v>
      </c>
      <c r="D22" s="326" t="str">
        <f>"0x"&amp;DEC2HEX(TEXT((((LOG(D20/0.75,2))*64)+FLOOR(-(D21-417)/12.77,1)),"0"),2)</f>
        <v>0xDD</v>
      </c>
      <c r="E22" s="301"/>
      <c r="F22" s="327" t="s">
        <v>466</v>
      </c>
      <c r="G22" s="50"/>
      <c r="L22" s="50"/>
    </row>
    <row r="23" spans="2:12" x14ac:dyDescent="0.25">
      <c r="B23" s="50"/>
      <c r="C23" s="91" t="s">
        <v>396</v>
      </c>
      <c r="D23" s="324">
        <f>IF(((2*D16*D9/24)&gt;C88),24,IF(((2*D16*D9/12)&gt;C88),12,IF(((2*D16*D9/6)&gt;C88),6,IF(((2*D16*D9/3)&gt;C88),3,"Too Low"))))</f>
        <v>24</v>
      </c>
      <c r="E23" s="299" t="s">
        <v>30</v>
      </c>
      <c r="F23" s="285" t="str">
        <f>IF(AND(D23&gt;=C82,D23&lt;=C85),"in range", "error")</f>
        <v>in range</v>
      </c>
      <c r="G23" s="50"/>
      <c r="L23" s="50"/>
    </row>
    <row r="24" spans="2:12" x14ac:dyDescent="0.25">
      <c r="B24" s="50"/>
      <c r="C24" s="91" t="s">
        <v>398</v>
      </c>
      <c r="D24" s="328">
        <f>2*D16*D9/(D23)</f>
        <v>55</v>
      </c>
      <c r="E24" s="301" t="s">
        <v>304</v>
      </c>
      <c r="F24" s="285" t="str">
        <f>IF(D24&lt;C88,"too small",IF(D24&gt;C89,"too large","In Range"))</f>
        <v>In Range</v>
      </c>
      <c r="G24" s="50"/>
      <c r="L24" s="50"/>
    </row>
    <row r="25" spans="2:12" x14ac:dyDescent="0.25">
      <c r="B25" s="50"/>
      <c r="C25" s="91" t="s">
        <v>468</v>
      </c>
      <c r="D25" s="325" t="str">
        <f>"0x"&amp;DEC2HEX(TEXT((((LOG(D23/3,2))*64)+FLOOR(-(D24-835)/12.77,1)),"0"),2)</f>
        <v>0xFD</v>
      </c>
      <c r="E25" s="301"/>
      <c r="F25" s="327" t="s">
        <v>467</v>
      </c>
      <c r="G25" s="50"/>
      <c r="L25" s="50"/>
    </row>
    <row r="26" spans="2:12" x14ac:dyDescent="0.25">
      <c r="B26" s="50"/>
      <c r="C26" s="50"/>
      <c r="D26" s="281"/>
      <c r="E26" s="281"/>
      <c r="F26" s="281"/>
      <c r="G26" s="50"/>
      <c r="H26" s="91"/>
      <c r="I26" s="281"/>
      <c r="J26" s="281"/>
      <c r="K26" s="281"/>
      <c r="L26" s="50"/>
    </row>
    <row r="27" spans="2:12" x14ac:dyDescent="0.25">
      <c r="B27" s="50"/>
      <c r="C27" s="176" t="s">
        <v>427</v>
      </c>
      <c r="D27" s="281"/>
      <c r="E27" s="281"/>
      <c r="F27" s="281"/>
      <c r="G27" s="50"/>
      <c r="H27" s="91"/>
      <c r="I27" s="281"/>
      <c r="J27" s="281"/>
      <c r="K27" s="281"/>
      <c r="L27" s="50"/>
    </row>
    <row r="28" spans="2:12" x14ac:dyDescent="0.25">
      <c r="B28" s="50"/>
      <c r="C28" s="91" t="s">
        <v>471</v>
      </c>
      <c r="D28" s="331">
        <v>0.94216</v>
      </c>
      <c r="E28" s="287"/>
      <c r="F28" s="301" t="s">
        <v>473</v>
      </c>
      <c r="G28" s="50"/>
      <c r="H28" s="91"/>
      <c r="I28" s="281"/>
      <c r="J28" s="281"/>
      <c r="K28" s="281"/>
      <c r="L28" s="50"/>
    </row>
    <row r="29" spans="2:12" x14ac:dyDescent="0.25">
      <c r="B29" s="50"/>
      <c r="C29" s="91" t="s">
        <v>385</v>
      </c>
      <c r="D29" s="289">
        <f>D10*D28</f>
        <v>9.8926800000000004</v>
      </c>
      <c r="E29" s="299" t="s">
        <v>95</v>
      </c>
      <c r="F29" s="285" t="str">
        <f>IF(D29&lt;C50,"too small",IF(D29&gt;D50,"too large","In Range"))</f>
        <v>In Range</v>
      </c>
      <c r="G29" s="50"/>
      <c r="H29" s="91"/>
      <c r="I29" s="281"/>
      <c r="J29" s="281"/>
      <c r="K29" s="281"/>
      <c r="L29" s="50"/>
    </row>
    <row r="30" spans="2:12" x14ac:dyDescent="0.25">
      <c r="B30" s="50"/>
      <c r="C30" s="91" t="s">
        <v>387</v>
      </c>
      <c r="D30" s="292">
        <f>0.001/(2*PI()*SQRT(pico*D9*D29))</f>
        <v>3.4115505494772993</v>
      </c>
      <c r="E30" s="299" t="s">
        <v>0</v>
      </c>
      <c r="F30" s="285" t="str">
        <f>IF(D30&lt;C51,"too low",IF(D30&gt;D51,"too high","In Range"))</f>
        <v>In Range</v>
      </c>
      <c r="G30" s="50"/>
      <c r="H30" s="91"/>
      <c r="I30" s="281"/>
      <c r="J30" s="281"/>
      <c r="K30" s="281"/>
      <c r="L30" s="50"/>
    </row>
    <row r="31" spans="2:12" x14ac:dyDescent="0.25">
      <c r="B31" s="50"/>
      <c r="C31" s="91" t="s">
        <v>472</v>
      </c>
      <c r="D31" s="330">
        <v>0.99399999999999999</v>
      </c>
      <c r="E31" s="301"/>
      <c r="F31" s="301" t="s">
        <v>481</v>
      </c>
      <c r="G31" s="50"/>
      <c r="H31" s="91"/>
      <c r="I31" s="281"/>
      <c r="J31" s="281"/>
      <c r="K31" s="281"/>
      <c r="L31" s="50"/>
    </row>
    <row r="32" spans="2:12" x14ac:dyDescent="0.25">
      <c r="B32" s="50"/>
      <c r="C32" s="91" t="s">
        <v>388</v>
      </c>
      <c r="D32" s="296">
        <f>D53</f>
        <v>6.2079065151515156</v>
      </c>
      <c r="E32" s="301" t="s">
        <v>420</v>
      </c>
      <c r="F32" s="287"/>
      <c r="G32" s="50"/>
      <c r="H32" s="91"/>
      <c r="I32" s="281"/>
      <c r="J32" s="281"/>
      <c r="K32" s="281"/>
      <c r="L32" s="50"/>
    </row>
    <row r="33" spans="2:12" x14ac:dyDescent="0.25">
      <c r="B33" s="50"/>
      <c r="C33" s="91"/>
      <c r="D33" s="281"/>
      <c r="E33" s="301"/>
      <c r="F33" s="287"/>
      <c r="G33" s="50"/>
      <c r="H33" s="91"/>
      <c r="I33" s="281"/>
      <c r="J33" s="281"/>
      <c r="K33" s="281"/>
      <c r="L33" s="50"/>
    </row>
    <row r="34" spans="2:12" x14ac:dyDescent="0.25">
      <c r="B34" s="50"/>
      <c r="C34" s="91" t="s">
        <v>421</v>
      </c>
      <c r="D34" s="285">
        <f>D16</f>
        <v>3</v>
      </c>
      <c r="E34" s="301" t="s">
        <v>304</v>
      </c>
      <c r="F34" s="285" t="str">
        <f>IF(D59&lt;C57,"too large",IF(D59&gt;D57,"too small","In Range"))</f>
        <v>In Range</v>
      </c>
      <c r="G34" s="50"/>
      <c r="H34" s="91"/>
      <c r="I34" s="281"/>
      <c r="J34" s="281"/>
      <c r="K34" s="281"/>
      <c r="L34" s="50"/>
    </row>
    <row r="35" spans="2:12" x14ac:dyDescent="0.25">
      <c r="B35" s="50"/>
      <c r="C35" s="91" t="s">
        <v>422</v>
      </c>
      <c r="D35" s="295">
        <f>D17</f>
        <v>12</v>
      </c>
      <c r="E35" s="301" t="s">
        <v>304</v>
      </c>
      <c r="F35" s="285" t="str">
        <f>IF(D17&gt;2.05*D32/D28,"too large",IF(D17&lt;D32,"too small","In Range"))</f>
        <v>In Range</v>
      </c>
      <c r="G35" s="50"/>
      <c r="H35" s="91"/>
      <c r="I35" s="281"/>
      <c r="J35" s="281"/>
      <c r="K35" s="281"/>
      <c r="L35" s="50"/>
    </row>
    <row r="36" spans="2:12" x14ac:dyDescent="0.25">
      <c r="B36" s="50"/>
      <c r="C36" s="91" t="s">
        <v>391</v>
      </c>
      <c r="D36" s="294">
        <f>1000*D16*SQRT(pico*D9/(micro*D29))</f>
        <v>14.147366829536299</v>
      </c>
      <c r="E36" s="299"/>
      <c r="F36" s="285" t="str">
        <f>IF(D36&lt;E52,"too small",IF(D36&gt;D52,"too large","In Range"))</f>
        <v>In Range</v>
      </c>
      <c r="G36" s="50"/>
      <c r="H36" s="91"/>
      <c r="I36" s="281"/>
      <c r="J36" s="281"/>
      <c r="K36" s="281"/>
      <c r="L36" s="50"/>
    </row>
    <row r="37" spans="2:12" x14ac:dyDescent="0.25">
      <c r="B37" s="50"/>
      <c r="C37" s="91" t="s">
        <v>393</v>
      </c>
      <c r="D37" s="295">
        <f>D20</f>
        <v>6</v>
      </c>
      <c r="E37" s="302" t="s">
        <v>30</v>
      </c>
      <c r="F37" s="285" t="str">
        <f>IF(AND(D37&gt;=C72,D37&lt;=C75),"In Range", "error")</f>
        <v>In Range</v>
      </c>
      <c r="G37" s="50"/>
      <c r="H37" s="91"/>
      <c r="I37" s="281"/>
      <c r="J37" s="281"/>
      <c r="K37" s="281"/>
      <c r="L37" s="50"/>
    </row>
    <row r="38" spans="2:12" x14ac:dyDescent="0.25">
      <c r="B38" s="50"/>
      <c r="C38" s="91" t="s">
        <v>395</v>
      </c>
      <c r="D38" s="289">
        <f>D21</f>
        <v>37.761434373258737</v>
      </c>
      <c r="E38" s="301" t="s">
        <v>304</v>
      </c>
      <c r="F38" s="285" t="str">
        <f>IF(D38&lt;C78,"too small",IF(D38&gt;C79,"too large","In Range"))</f>
        <v>In Range</v>
      </c>
      <c r="G38" s="50"/>
      <c r="H38" s="91"/>
      <c r="I38" s="281"/>
      <c r="J38" s="281"/>
      <c r="K38" s="281"/>
      <c r="L38" s="50"/>
    </row>
    <row r="39" spans="2:12" x14ac:dyDescent="0.25">
      <c r="B39" s="50"/>
      <c r="C39" s="91" t="s">
        <v>397</v>
      </c>
      <c r="D39" s="289">
        <f>D23</f>
        <v>24</v>
      </c>
      <c r="E39" s="302" t="s">
        <v>30</v>
      </c>
      <c r="F39" s="285" t="str">
        <f>IF(AND(D39&gt;=C82,D39&lt;=C85),"In Range", "error")</f>
        <v>In Range</v>
      </c>
      <c r="G39" s="50"/>
      <c r="H39" s="91"/>
      <c r="I39" s="281"/>
      <c r="J39" s="281"/>
      <c r="K39" s="281"/>
      <c r="L39" s="50"/>
    </row>
    <row r="40" spans="2:12" x14ac:dyDescent="0.25">
      <c r="B40" s="50"/>
      <c r="C40" s="91" t="s">
        <v>399</v>
      </c>
      <c r="D40" s="296">
        <f>0.001*1.4142/(Mega*D30*PI()*pico*D23*0.6)</f>
        <v>9.1631892748658572</v>
      </c>
      <c r="E40" s="301" t="s">
        <v>304</v>
      </c>
      <c r="F40" s="285" t="str">
        <f>IF(D40&lt;C88,"too small",IF(D40&gt;C89,"too large","In Range"))</f>
        <v>too small</v>
      </c>
      <c r="G40" s="50"/>
      <c r="H40" s="91"/>
      <c r="I40" s="281"/>
      <c r="J40" s="281"/>
      <c r="K40" s="281"/>
      <c r="L40" s="50"/>
    </row>
    <row r="41" spans="2:12" x14ac:dyDescent="0.25">
      <c r="B41" s="50"/>
      <c r="C41" s="50"/>
      <c r="D41" s="281"/>
      <c r="E41" s="281"/>
      <c r="F41" s="281"/>
      <c r="G41" s="50"/>
      <c r="H41" s="91"/>
      <c r="I41" s="281"/>
      <c r="J41" s="281"/>
      <c r="K41" s="281"/>
      <c r="L41" s="50"/>
    </row>
    <row r="43" spans="2:12" hidden="1" x14ac:dyDescent="0.25">
      <c r="C43" s="332" t="s">
        <v>400</v>
      </c>
      <c r="D43" s="333"/>
      <c r="E43" s="333"/>
    </row>
    <row r="44" spans="2:12" hidden="1" x14ac:dyDescent="0.25">
      <c r="C44" s="334">
        <v>9.9999999999999998E-13</v>
      </c>
      <c r="D44" s="20" t="s">
        <v>401</v>
      </c>
      <c r="E44" s="333"/>
    </row>
    <row r="45" spans="2:12" hidden="1" x14ac:dyDescent="0.25">
      <c r="C45" s="334">
        <v>9.9999999999999995E-7</v>
      </c>
      <c r="D45" s="20" t="s">
        <v>402</v>
      </c>
      <c r="E45" s="333"/>
    </row>
    <row r="46" spans="2:12" hidden="1" x14ac:dyDescent="0.25">
      <c r="C46" s="334">
        <v>1000000</v>
      </c>
      <c r="D46" s="20" t="s">
        <v>403</v>
      </c>
      <c r="E46" s="333"/>
    </row>
    <row r="47" spans="2:12" hidden="1" x14ac:dyDescent="0.25">
      <c r="C47" s="335"/>
      <c r="D47" s="333"/>
      <c r="E47" s="333"/>
    </row>
    <row r="48" spans="2:12" hidden="1" x14ac:dyDescent="0.25">
      <c r="B48" s="21" t="s">
        <v>404</v>
      </c>
      <c r="C48" s="336" t="s">
        <v>405</v>
      </c>
      <c r="D48" s="337" t="s">
        <v>406</v>
      </c>
      <c r="E48" s="20"/>
    </row>
    <row r="49" spans="2:7" hidden="1" x14ac:dyDescent="0.25">
      <c r="B49" s="20" t="s">
        <v>208</v>
      </c>
      <c r="C49" s="338">
        <v>100</v>
      </c>
      <c r="D49" s="338">
        <v>56000</v>
      </c>
      <c r="E49" s="20" t="s">
        <v>30</v>
      </c>
    </row>
    <row r="50" spans="2:7" hidden="1" x14ac:dyDescent="0.25">
      <c r="B50" s="20" t="s">
        <v>407</v>
      </c>
      <c r="C50" s="338">
        <v>1</v>
      </c>
      <c r="D50" s="338">
        <v>500</v>
      </c>
      <c r="E50" s="89" t="s">
        <v>145</v>
      </c>
    </row>
    <row r="51" spans="2:7" hidden="1" x14ac:dyDescent="0.25">
      <c r="B51" s="20" t="s">
        <v>408</v>
      </c>
      <c r="C51" s="339">
        <v>0.5</v>
      </c>
      <c r="D51" s="339">
        <v>10</v>
      </c>
      <c r="E51" s="20"/>
    </row>
    <row r="52" spans="2:7" hidden="1" x14ac:dyDescent="0.25">
      <c r="B52" s="20" t="s">
        <v>409</v>
      </c>
      <c r="C52" s="338">
        <f>1/D57</f>
        <v>9.9906656960671203</v>
      </c>
      <c r="D52" s="338">
        <f>1/C57</f>
        <v>399.6266278426848</v>
      </c>
      <c r="E52" s="20"/>
    </row>
    <row r="53" spans="2:7" hidden="1" x14ac:dyDescent="0.25">
      <c r="B53" s="20" t="s">
        <v>410</v>
      </c>
      <c r="C53" s="340">
        <f>0.001*micro*D10/(pico*D9*D12)</f>
        <v>6.6287878787878798</v>
      </c>
      <c r="D53" s="340">
        <f>0.001*D29*micro/(D9*pico*D12)*D31</f>
        <v>6.2079065151515156</v>
      </c>
      <c r="E53" s="20" t="s">
        <v>476</v>
      </c>
    </row>
    <row r="54" spans="2:7" hidden="1" x14ac:dyDescent="0.25">
      <c r="B54" s="20"/>
      <c r="C54" s="341"/>
      <c r="D54" s="342"/>
      <c r="E54" s="20"/>
    </row>
    <row r="55" spans="2:7" hidden="1" x14ac:dyDescent="0.25">
      <c r="B55" s="20" t="s">
        <v>411</v>
      </c>
      <c r="C55" s="340">
        <v>1.131</v>
      </c>
      <c r="D55" s="342"/>
      <c r="E55" s="20"/>
    </row>
    <row r="56" spans="2:7" hidden="1" x14ac:dyDescent="0.25">
      <c r="B56" s="20" t="s">
        <v>412</v>
      </c>
      <c r="C56" s="343">
        <v>0.28299999999999997</v>
      </c>
      <c r="D56" s="342"/>
      <c r="E56" s="20"/>
    </row>
    <row r="57" spans="2:7" hidden="1" x14ac:dyDescent="0.25">
      <c r="B57" s="20" t="s">
        <v>413</v>
      </c>
      <c r="C57" s="343">
        <f>D57/40</f>
        <v>2.5023357562490942E-3</v>
      </c>
      <c r="D57" s="343">
        <f>1.2567*C56/(PI()*C55)</f>
        <v>0.10009343024996377</v>
      </c>
      <c r="E57" s="20"/>
    </row>
    <row r="58" spans="2:7" hidden="1" x14ac:dyDescent="0.25">
      <c r="B58" s="20" t="s">
        <v>414</v>
      </c>
      <c r="C58" s="343">
        <f>1/(2*PI()*D9*pico*D16*1000)</f>
        <v>241143.85316953837</v>
      </c>
      <c r="D58" s="342"/>
      <c r="E58" s="20"/>
    </row>
    <row r="59" spans="2:7" hidden="1" x14ac:dyDescent="0.25">
      <c r="B59" s="20" t="s">
        <v>415</v>
      </c>
      <c r="C59" s="343">
        <f>C58/(Mega*D11)</f>
        <v>7.2821908125441925E-2</v>
      </c>
      <c r="D59" s="343">
        <f>C58/(Mega*D30)</f>
        <v>7.068453176122079E-2</v>
      </c>
      <c r="E59" s="20"/>
      <c r="F59"/>
      <c r="G59" s="293"/>
    </row>
    <row r="60" spans="2:7" hidden="1" x14ac:dyDescent="0.25">
      <c r="C60" s="344"/>
      <c r="D60" s="333"/>
      <c r="E60" s="333"/>
    </row>
    <row r="61" spans="2:7" hidden="1" x14ac:dyDescent="0.25">
      <c r="C61" s="336" t="s">
        <v>416</v>
      </c>
      <c r="D61" s="333"/>
      <c r="E61" s="333"/>
    </row>
    <row r="62" spans="2:7" hidden="1" x14ac:dyDescent="0.25">
      <c r="B62">
        <v>0</v>
      </c>
      <c r="C62" s="340">
        <v>0.75</v>
      </c>
      <c r="D62" s="20" t="s">
        <v>476</v>
      </c>
      <c r="E62" s="333"/>
    </row>
    <row r="63" spans="2:7" hidden="1" x14ac:dyDescent="0.25">
      <c r="B63">
        <v>1</v>
      </c>
      <c r="C63" s="340">
        <v>1.5</v>
      </c>
      <c r="D63" s="20" t="s">
        <v>476</v>
      </c>
      <c r="E63" s="333"/>
    </row>
    <row r="64" spans="2:7" hidden="1" x14ac:dyDescent="0.25">
      <c r="B64">
        <v>2</v>
      </c>
      <c r="C64" s="340">
        <v>3</v>
      </c>
      <c r="D64" s="20" t="s">
        <v>476</v>
      </c>
      <c r="E64" s="333"/>
    </row>
    <row r="65" spans="2:6" hidden="1" x14ac:dyDescent="0.25">
      <c r="B65">
        <v>3</v>
      </c>
      <c r="C65" s="340">
        <v>6</v>
      </c>
      <c r="D65" s="20" t="s">
        <v>476</v>
      </c>
      <c r="E65" s="333"/>
    </row>
    <row r="66" spans="2:6" hidden="1" x14ac:dyDescent="0.25">
      <c r="B66">
        <v>4</v>
      </c>
      <c r="C66" s="340">
        <v>12</v>
      </c>
      <c r="D66" s="20" t="s">
        <v>476</v>
      </c>
      <c r="E66" s="333"/>
    </row>
    <row r="67" spans="2:6" hidden="1" x14ac:dyDescent="0.25">
      <c r="B67">
        <v>5</v>
      </c>
      <c r="C67" s="340">
        <v>24</v>
      </c>
      <c r="D67" s="20" t="s">
        <v>476</v>
      </c>
      <c r="E67" s="333"/>
    </row>
    <row r="68" spans="2:6" hidden="1" x14ac:dyDescent="0.25">
      <c r="B68">
        <v>6</v>
      </c>
      <c r="C68" s="340">
        <v>48</v>
      </c>
      <c r="D68" s="20" t="s">
        <v>476</v>
      </c>
      <c r="E68" s="333"/>
    </row>
    <row r="69" spans="2:6" hidden="1" x14ac:dyDescent="0.25">
      <c r="B69">
        <v>7</v>
      </c>
      <c r="C69" s="340">
        <v>96</v>
      </c>
      <c r="D69" s="20" t="s">
        <v>476</v>
      </c>
      <c r="E69" s="333"/>
    </row>
    <row r="70" spans="2:6" hidden="1" x14ac:dyDescent="0.25">
      <c r="C70" s="344"/>
      <c r="D70" s="333"/>
      <c r="E70" s="333"/>
    </row>
    <row r="71" spans="2:6" hidden="1" x14ac:dyDescent="0.25">
      <c r="C71" s="336" t="s">
        <v>417</v>
      </c>
      <c r="D71" s="333"/>
      <c r="E71" s="333"/>
    </row>
    <row r="72" spans="2:6" hidden="1" x14ac:dyDescent="0.25">
      <c r="B72">
        <v>0</v>
      </c>
      <c r="C72" s="340">
        <v>0.75</v>
      </c>
      <c r="D72" s="345" t="s">
        <v>30</v>
      </c>
      <c r="E72" s="333"/>
    </row>
    <row r="73" spans="2:6" hidden="1" x14ac:dyDescent="0.25">
      <c r="B73">
        <v>1</v>
      </c>
      <c r="C73" s="340">
        <v>1.5</v>
      </c>
      <c r="D73" s="345" t="s">
        <v>30</v>
      </c>
      <c r="E73" s="333"/>
    </row>
    <row r="74" spans="2:6" hidden="1" x14ac:dyDescent="0.25">
      <c r="B74">
        <v>2</v>
      </c>
      <c r="C74" s="340">
        <v>3</v>
      </c>
      <c r="D74" s="345" t="s">
        <v>30</v>
      </c>
      <c r="E74" s="333"/>
    </row>
    <row r="75" spans="2:6" hidden="1" x14ac:dyDescent="0.25">
      <c r="B75">
        <v>3</v>
      </c>
      <c r="C75" s="340">
        <v>6</v>
      </c>
      <c r="D75" s="345" t="s">
        <v>30</v>
      </c>
      <c r="E75" s="333"/>
    </row>
    <row r="76" spans="2:6" hidden="1" x14ac:dyDescent="0.25">
      <c r="C76" s="344"/>
      <c r="D76" s="333"/>
      <c r="E76" s="333"/>
    </row>
    <row r="77" spans="2:6" hidden="1" x14ac:dyDescent="0.25">
      <c r="C77" s="336" t="s">
        <v>477</v>
      </c>
      <c r="D77" s="333"/>
      <c r="E77" s="333"/>
      <c r="F77" s="287"/>
    </row>
    <row r="78" spans="2:6" hidden="1" x14ac:dyDescent="0.25">
      <c r="B78">
        <v>0</v>
      </c>
      <c r="C78" s="340">
        <v>20.6</v>
      </c>
      <c r="D78" s="20" t="s">
        <v>476</v>
      </c>
      <c r="E78" s="333"/>
      <c r="F78" s="276"/>
    </row>
    <row r="79" spans="2:6" hidden="1" x14ac:dyDescent="0.25">
      <c r="B79">
        <v>1</v>
      </c>
      <c r="C79" s="340">
        <v>417.4</v>
      </c>
      <c r="D79" s="20" t="s">
        <v>476</v>
      </c>
      <c r="E79" s="333"/>
      <c r="F79" s="276"/>
    </row>
    <row r="80" spans="2:6" hidden="1" x14ac:dyDescent="0.25">
      <c r="C80" s="344"/>
      <c r="D80" s="333"/>
      <c r="E80" s="333"/>
      <c r="F80" s="287"/>
    </row>
    <row r="81" spans="2:5" hidden="1" x14ac:dyDescent="0.25">
      <c r="C81" s="336" t="s">
        <v>418</v>
      </c>
      <c r="D81" s="333"/>
      <c r="E81" s="333"/>
    </row>
    <row r="82" spans="2:5" hidden="1" x14ac:dyDescent="0.25">
      <c r="B82">
        <v>0</v>
      </c>
      <c r="C82" s="340">
        <v>3</v>
      </c>
      <c r="D82" s="345" t="s">
        <v>30</v>
      </c>
      <c r="E82" s="333"/>
    </row>
    <row r="83" spans="2:5" hidden="1" x14ac:dyDescent="0.25">
      <c r="B83">
        <v>1</v>
      </c>
      <c r="C83" s="340">
        <v>6</v>
      </c>
      <c r="D83" s="345" t="s">
        <v>30</v>
      </c>
      <c r="E83" s="333"/>
    </row>
    <row r="84" spans="2:5" hidden="1" x14ac:dyDescent="0.25">
      <c r="B84">
        <v>2</v>
      </c>
      <c r="C84" s="340">
        <v>12</v>
      </c>
      <c r="D84" s="345" t="s">
        <v>30</v>
      </c>
      <c r="E84" s="333"/>
    </row>
    <row r="85" spans="2:5" hidden="1" x14ac:dyDescent="0.25">
      <c r="B85">
        <v>3</v>
      </c>
      <c r="C85" s="340">
        <v>24</v>
      </c>
      <c r="D85" s="345" t="s">
        <v>30</v>
      </c>
      <c r="E85" s="333"/>
    </row>
    <row r="86" spans="2:5" hidden="1" x14ac:dyDescent="0.25">
      <c r="C86" s="344"/>
      <c r="D86" s="333"/>
      <c r="E86" s="333"/>
    </row>
    <row r="87" spans="2:5" hidden="1" x14ac:dyDescent="0.25">
      <c r="C87" s="336" t="s">
        <v>478</v>
      </c>
      <c r="D87" s="333"/>
      <c r="E87" s="333"/>
    </row>
    <row r="88" spans="2:5" hidden="1" x14ac:dyDescent="0.25">
      <c r="B88">
        <v>0</v>
      </c>
      <c r="C88" s="340">
        <v>24.6</v>
      </c>
      <c r="D88" s="20" t="s">
        <v>476</v>
      </c>
      <c r="E88" s="333"/>
    </row>
    <row r="89" spans="2:5" hidden="1" x14ac:dyDescent="0.25">
      <c r="B89">
        <v>1</v>
      </c>
      <c r="C89" s="340">
        <v>834.8</v>
      </c>
      <c r="D89" s="20" t="s">
        <v>476</v>
      </c>
      <c r="E89" s="333"/>
    </row>
    <row r="90" spans="2:5" hidden="1" x14ac:dyDescent="0.25">
      <c r="C90" s="20"/>
      <c r="D90" s="333"/>
      <c r="E90" s="333"/>
    </row>
    <row r="91" spans="2:5" hidden="1" x14ac:dyDescent="0.25">
      <c r="C91" s="20"/>
      <c r="D91" s="333"/>
      <c r="E91" s="333"/>
    </row>
    <row r="92" spans="2:5" x14ac:dyDescent="0.25">
      <c r="C92" s="20"/>
      <c r="D92" s="333"/>
      <c r="E92" s="333"/>
    </row>
    <row r="93" spans="2:5" x14ac:dyDescent="0.25">
      <c r="C93" s="20"/>
      <c r="D93" s="333"/>
      <c r="E93" s="333"/>
    </row>
    <row r="94" spans="2:5" x14ac:dyDescent="0.25">
      <c r="C94" s="20"/>
      <c r="D94" s="333"/>
      <c r="E94" s="333"/>
    </row>
  </sheetData>
  <conditionalFormatting sqref="F9:F10 F34:F40 F12:F13 F16:F25">
    <cfRule type="cellIs" dxfId="13" priority="15" operator="equal">
      <formula>"in range"</formula>
    </cfRule>
  </conditionalFormatting>
  <conditionalFormatting sqref="F31:F32 F28:F29">
    <cfRule type="cellIs" dxfId="12" priority="14" operator="equal">
      <formula>"in range"</formula>
    </cfRule>
  </conditionalFormatting>
  <conditionalFormatting sqref="F9:F10 F34:F40 F12:F13 F31:F32 F16:F25 F28:F29">
    <cfRule type="cellIs" dxfId="11" priority="12" operator="equal">
      <formula>"too small"</formula>
    </cfRule>
    <cfRule type="cellIs" dxfId="10" priority="13" operator="equal">
      <formula>"too large"</formula>
    </cfRule>
  </conditionalFormatting>
  <conditionalFormatting sqref="F35">
    <cfRule type="cellIs" dxfId="9" priority="11" operator="equal">
      <formula>"in range"</formula>
    </cfRule>
  </conditionalFormatting>
  <conditionalFormatting sqref="F11">
    <cfRule type="cellIs" dxfId="8" priority="8" operator="equal">
      <formula>"In range"</formula>
    </cfRule>
    <cfRule type="cellIs" dxfId="7" priority="9" operator="equal">
      <formula>"too low"</formula>
    </cfRule>
    <cfRule type="cellIs" dxfId="6" priority="10" operator="equal">
      <formula>"too high"</formula>
    </cfRule>
  </conditionalFormatting>
  <conditionalFormatting sqref="F30">
    <cfRule type="cellIs" dxfId="5" priority="5" operator="equal">
      <formula>"In Range"</formula>
    </cfRule>
    <cfRule type="cellIs" dxfId="4" priority="6" operator="equal">
      <formula>"too high"</formula>
    </cfRule>
    <cfRule type="cellIs" dxfId="3" priority="7" operator="equal">
      <formula>"too low"</formula>
    </cfRule>
  </conditionalFormatting>
  <conditionalFormatting sqref="D17">
    <cfRule type="cellIs" dxfId="2" priority="1" operator="greaterThan">
      <formula>$D$16</formula>
    </cfRule>
  </conditionalFormatting>
  <dataValidations count="1">
    <dataValidation type="list" allowBlank="1" showInputMessage="1" showErrorMessage="1" sqref="D16:D17">
      <formula1>$C$62:$C$69</formula1>
    </dataValidation>
  </dataValidations>
  <hyperlinks>
    <hyperlink ref="H2" location="Contents!A1" display="Return to Main Page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4" tint="0.59999389629810485"/>
  </sheetPr>
  <dimension ref="B2:G37"/>
  <sheetViews>
    <sheetView showGridLines="0" showRowColHeaders="0" workbookViewId="0">
      <selection activeCell="E2" sqref="E2"/>
    </sheetView>
  </sheetViews>
  <sheetFormatPr defaultRowHeight="15" x14ac:dyDescent="0.25"/>
  <cols>
    <col min="2" max="2" width="36.140625" customWidth="1"/>
    <col min="3" max="3" width="10.5703125" bestFit="1" customWidth="1"/>
    <col min="4" max="4" width="15.5703125" customWidth="1"/>
  </cols>
  <sheetData>
    <row r="2" spans="2:7" ht="18.75" x14ac:dyDescent="0.3">
      <c r="B2" s="15" t="s">
        <v>353</v>
      </c>
      <c r="C2" s="16"/>
      <c r="D2" s="17"/>
      <c r="E2" s="84" t="s">
        <v>250</v>
      </c>
    </row>
    <row r="3" spans="2:7" ht="15.75" x14ac:dyDescent="0.25">
      <c r="B3" s="18" t="s">
        <v>372</v>
      </c>
      <c r="C3" s="16"/>
      <c r="D3" s="17"/>
    </row>
    <row r="4" spans="2:7" ht="15.75" x14ac:dyDescent="0.25">
      <c r="B4" s="18" t="s">
        <v>371</v>
      </c>
      <c r="C4" s="16"/>
      <c r="D4" s="17"/>
    </row>
    <row r="5" spans="2:7" ht="15.75" x14ac:dyDescent="0.25">
      <c r="B5" s="18" t="s">
        <v>370</v>
      </c>
      <c r="C5" s="16"/>
      <c r="D5" s="17"/>
    </row>
    <row r="6" spans="2:7" ht="15.75" x14ac:dyDescent="0.25">
      <c r="B6" s="18"/>
      <c r="C6" s="16"/>
      <c r="D6" s="17"/>
    </row>
    <row r="7" spans="2:7" ht="18.75" x14ac:dyDescent="0.3">
      <c r="B7" s="15" t="s">
        <v>457</v>
      </c>
      <c r="C7" s="16"/>
      <c r="D7" s="17"/>
    </row>
    <row r="8" spans="2:7" ht="15.75" x14ac:dyDescent="0.25">
      <c r="B8" s="18" t="s">
        <v>17</v>
      </c>
      <c r="C8" s="172">
        <v>8</v>
      </c>
      <c r="D8" s="17" t="s">
        <v>0</v>
      </c>
    </row>
    <row r="9" spans="2:7" hidden="1" x14ac:dyDescent="0.25">
      <c r="B9" s="18"/>
      <c r="C9" s="206">
        <f>C8*1000000</f>
        <v>8000000</v>
      </c>
      <c r="D9" s="245" t="s">
        <v>1</v>
      </c>
      <c r="E9" s="19"/>
      <c r="F9" s="19"/>
      <c r="G9" s="19"/>
    </row>
    <row r="10" spans="2:7" ht="15.75" x14ac:dyDescent="0.25">
      <c r="B10" s="248" t="s">
        <v>354</v>
      </c>
      <c r="C10" s="252">
        <v>22</v>
      </c>
      <c r="D10" s="246" t="s">
        <v>145</v>
      </c>
      <c r="E10" s="19"/>
      <c r="F10" s="19"/>
      <c r="G10" s="19"/>
    </row>
    <row r="11" spans="2:7" ht="15.75" x14ac:dyDescent="0.25">
      <c r="B11" s="249" t="s">
        <v>332</v>
      </c>
      <c r="C11" s="252">
        <v>330</v>
      </c>
      <c r="D11" s="244" t="s">
        <v>30</v>
      </c>
      <c r="E11" s="19"/>
      <c r="F11" s="19"/>
      <c r="G11" s="19"/>
    </row>
    <row r="12" spans="2:7" ht="15.75" x14ac:dyDescent="0.25">
      <c r="B12" s="250" t="s">
        <v>355</v>
      </c>
      <c r="C12" s="171">
        <f>1000/(2*PI()*SQRT(C11*C10))</f>
        <v>1.8678922547318173</v>
      </c>
      <c r="D12" s="244" t="s">
        <v>0</v>
      </c>
      <c r="E12" t="s">
        <v>463</v>
      </c>
      <c r="F12" s="19"/>
      <c r="G12" s="19"/>
    </row>
    <row r="13" spans="2:7" ht="30" x14ac:dyDescent="0.25">
      <c r="B13" s="254" t="s">
        <v>356</v>
      </c>
      <c r="C13" s="247">
        <v>1.8680000000000001</v>
      </c>
      <c r="D13" s="17" t="s">
        <v>0</v>
      </c>
    </row>
    <row r="14" spans="2:7" ht="15.75" x14ac:dyDescent="0.25">
      <c r="B14" s="18" t="s">
        <v>18</v>
      </c>
      <c r="C14" s="170">
        <v>6144</v>
      </c>
      <c r="D14" s="17" t="s">
        <v>215</v>
      </c>
    </row>
    <row r="15" spans="2:7" ht="15.75" x14ac:dyDescent="0.25">
      <c r="B15" s="18" t="s">
        <v>361</v>
      </c>
      <c r="C15" s="257">
        <f>IF((1/C13*C14/3)&gt;3000,0.001/C13*C14/3,1/C13*C14/3)</f>
        <v>1096.3597430406851</v>
      </c>
      <c r="D15" s="192" t="str">
        <f>IF((1/C13*C14/3)&gt;3000,"ms","µs")</f>
        <v>µs</v>
      </c>
    </row>
    <row r="16" spans="2:7" ht="15.75" x14ac:dyDescent="0.25">
      <c r="B16" s="18" t="s">
        <v>256</v>
      </c>
      <c r="C16" s="256">
        <f>1000/C15</f>
        <v>0.91210937500000011</v>
      </c>
      <c r="D16" s="192" t="str">
        <f>IF(D15="µs","ksps","sps")</f>
        <v>ksps</v>
      </c>
    </row>
    <row r="17" spans="2:4" ht="15.75" x14ac:dyDescent="0.25">
      <c r="B17" s="18" t="s">
        <v>369</v>
      </c>
      <c r="C17" s="120">
        <f>LOG(C14/3*C8/C13,2)</f>
        <v>13.098505544952426</v>
      </c>
      <c r="D17" s="253" t="s">
        <v>360</v>
      </c>
    </row>
    <row r="20" spans="2:4" ht="18.75" x14ac:dyDescent="0.3">
      <c r="B20" s="251" t="s">
        <v>462</v>
      </c>
    </row>
    <row r="21" spans="2:4" ht="15.75" x14ac:dyDescent="0.25">
      <c r="B21" s="180" t="s">
        <v>365</v>
      </c>
      <c r="C21" s="170" t="s">
        <v>454</v>
      </c>
    </row>
    <row r="22" spans="2:4" ht="15.75" hidden="1" x14ac:dyDescent="0.25">
      <c r="B22" s="180" t="s">
        <v>461</v>
      </c>
      <c r="C22" s="260">
        <f>IF(C21="LDC1101",1,IF(RIGHT(C21,1)="2",2,4))</f>
        <v>4</v>
      </c>
    </row>
    <row r="23" spans="2:4" ht="15.75" x14ac:dyDescent="0.25">
      <c r="B23" s="275" t="s">
        <v>366</v>
      </c>
      <c r="C23" s="170">
        <v>4</v>
      </c>
      <c r="D23" s="17" t="s">
        <v>367</v>
      </c>
    </row>
    <row r="24" spans="2:4" ht="15.75" x14ac:dyDescent="0.25">
      <c r="B24" s="248" t="s">
        <v>354</v>
      </c>
      <c r="C24" s="252">
        <v>20</v>
      </c>
      <c r="D24" s="246" t="s">
        <v>145</v>
      </c>
    </row>
    <row r="25" spans="2:4" ht="15.75" x14ac:dyDescent="0.25">
      <c r="B25" s="249" t="s">
        <v>332</v>
      </c>
      <c r="C25" s="252">
        <v>100</v>
      </c>
      <c r="D25" s="244" t="s">
        <v>30</v>
      </c>
    </row>
    <row r="26" spans="2:4" ht="15.75" x14ac:dyDescent="0.25">
      <c r="B26" s="250" t="s">
        <v>355</v>
      </c>
      <c r="C26" s="171">
        <f>1000/(2*PI()*SQRT(C25*C24))</f>
        <v>3.5588127170858854</v>
      </c>
      <c r="D26" s="244" t="s">
        <v>0</v>
      </c>
    </row>
    <row r="27" spans="2:4" ht="15.75" x14ac:dyDescent="0.25">
      <c r="B27" s="275" t="s">
        <v>493</v>
      </c>
      <c r="C27" s="171">
        <f>IF(C21="LDC1101",16,40)</f>
        <v>40</v>
      </c>
      <c r="D27" s="244"/>
    </row>
    <row r="28" spans="2:4" ht="15.75" x14ac:dyDescent="0.25">
      <c r="B28" s="91" t="s">
        <v>19</v>
      </c>
      <c r="C28" s="255">
        <v>40</v>
      </c>
      <c r="D28" s="17" t="s">
        <v>0</v>
      </c>
    </row>
    <row r="29" spans="2:4" ht="30" x14ac:dyDescent="0.25">
      <c r="B29" s="259" t="s">
        <v>368</v>
      </c>
      <c r="C29" s="170">
        <v>11000</v>
      </c>
      <c r="D29" t="s">
        <v>281</v>
      </c>
    </row>
    <row r="30" spans="2:4" ht="15.75" x14ac:dyDescent="0.25">
      <c r="B30" s="259" t="s">
        <v>458</v>
      </c>
      <c r="C30" s="320" t="str">
        <f>"0x"&amp;DEC2HEX(CEILING(C29/16,1),4)</f>
        <v>0x02B0</v>
      </c>
      <c r="D30" s="244" t="s">
        <v>492</v>
      </c>
    </row>
    <row r="31" spans="2:4" ht="15.75" x14ac:dyDescent="0.25">
      <c r="B31" s="91" t="s">
        <v>357</v>
      </c>
      <c r="C31" s="170">
        <v>0</v>
      </c>
    </row>
    <row r="32" spans="2:4" ht="15.75" x14ac:dyDescent="0.25">
      <c r="B32" s="91" t="s">
        <v>358</v>
      </c>
      <c r="C32" s="170">
        <v>2</v>
      </c>
      <c r="D32" s="17"/>
    </row>
    <row r="33" spans="2:4" ht="15.75" x14ac:dyDescent="0.25">
      <c r="B33" s="259" t="s">
        <v>494</v>
      </c>
      <c r="C33" s="260">
        <f>IF(C21="LDC1101",55,IF(C32=1,0,C31))</f>
        <v>0</v>
      </c>
      <c r="D33" s="17"/>
    </row>
    <row r="34" spans="2:4" ht="15.75" x14ac:dyDescent="0.25">
      <c r="B34" s="259" t="s">
        <v>361</v>
      </c>
      <c r="C34" s="260">
        <f>(C29+C33)/C28</f>
        <v>275</v>
      </c>
      <c r="D34" s="85" t="s">
        <v>277</v>
      </c>
    </row>
    <row r="35" spans="2:4" ht="15.75" x14ac:dyDescent="0.25">
      <c r="B35" s="91" t="s">
        <v>361</v>
      </c>
      <c r="C35" s="120">
        <f>IF(C34&gt;3000,C34/1000,C34)</f>
        <v>275</v>
      </c>
      <c r="D35" s="191" t="str">
        <f>IF(C34&gt;3000,"ms","µs")</f>
        <v>µs</v>
      </c>
    </row>
    <row r="36" spans="2:4" ht="15.75" x14ac:dyDescent="0.25">
      <c r="B36" s="91" t="s">
        <v>256</v>
      </c>
      <c r="C36" s="256">
        <f>1000000/C34/C32</f>
        <v>1818.1818181818182</v>
      </c>
      <c r="D36" s="192" t="str">
        <f>IF(D35="µs","ksps per channel","sps per channel")</f>
        <v>ksps per channel</v>
      </c>
    </row>
    <row r="37" spans="2:4" ht="15.75" x14ac:dyDescent="0.25">
      <c r="B37" s="91" t="s">
        <v>359</v>
      </c>
      <c r="C37" s="120">
        <f>IF(LEFT(C21,6)="LDC131",MIN(LOG(2*2*C29,2),12+C23),LOG(2*2*C29,2))</f>
        <v>15.425215903299385</v>
      </c>
      <c r="D37" s="17" t="s">
        <v>360</v>
      </c>
    </row>
  </sheetData>
  <conditionalFormatting sqref="C32">
    <cfRule type="cellIs" dxfId="1" priority="1" operator="greaterThan">
      <formula>$C$22</formula>
    </cfRule>
  </conditionalFormatting>
  <dataValidations count="11">
    <dataValidation type="decimal" errorStyle="warning" allowBlank="1" showInputMessage="1" showErrorMessage="1" errorTitle="Exceeds Maximum fReference" error="This input exceeds the LDC1000 8MHz maximum reference frequency." sqref="C8">
      <formula1>0.001</formula1>
      <formula2>8</formula2>
    </dataValidation>
    <dataValidation type="decimal" errorStyle="warning" allowBlank="1" showInputMessage="1" showErrorMessage="1" errorTitle="Sensor Frequency out of range" error="The LDC1000/1041/1051 sensor range is limited to the range of 5kHz to 5MHz." sqref="C13">
      <formula1>0.005</formula1>
      <formula2>5</formula2>
    </dataValidation>
    <dataValidation type="list" errorStyle="warning" allowBlank="1" showInputMessage="1" showErrorMessage="1" sqref="C14">
      <formula1>"192,384,768,1536,3072,6144"</formula1>
    </dataValidation>
    <dataValidation type="decimal" errorStyle="warning" allowBlank="1" showInputMessage="1" showErrorMessage="1" errorTitle="Possible Invalid Reference Freq" error="The Reference Frequency must be greater than the Sensor frequency and also must not exceed the LDC maximum reference frequency." sqref="C28">
      <formula1>1</formula1>
      <formula2>C27</formula2>
    </dataValidation>
    <dataValidation type="whole" allowBlank="1" showInputMessage="1" showErrorMessage="1" errorTitle="Invalid Number of Channels" error="LDC1312 &amp; LDC1612 maximum setting is 2 channels. _x000a_LDC1314 &amp; LDC1614 maximum setting is 4 channels." sqref="C32">
      <formula1>1</formula1>
      <formula2>C22</formula2>
    </dataValidation>
    <dataValidation type="whole" errorStyle="warning" allowBlank="1" showInputMessage="1" showErrorMessage="1" errorTitle="Invalid Settling Count" error="The LDC131x/161x minimum settle count is 0 and the maximum reference count is 65535." sqref="C31">
      <formula1>0</formula1>
      <formula2>65535</formula2>
    </dataValidation>
    <dataValidation type="list" allowBlank="1" showInputMessage="1" showErrorMessage="1" sqref="C23">
      <formula1>"0,2,3,4"</formula1>
    </dataValidation>
    <dataValidation type="list" allowBlank="1" showInputMessage="1" showErrorMessage="1" sqref="C21">
      <formula1>"LDC1312,LDC1314,LDC1612,LDC1614,LDC1101"</formula1>
    </dataValidation>
    <dataValidation type="whole" errorStyle="warning" allowBlank="1" showInputMessage="1" showErrorMessage="1" errorTitle="Invalid Reference Count" error="The LDC131x/161x minimum reference count is 48 and the maximum reference count is 1048560." sqref="C30">
      <formula1>64</formula1>
      <formula2>65535*16</formula2>
    </dataValidation>
    <dataValidation type="whole" errorStyle="warning" allowBlank="1" showInputMessage="1" showErrorMessage="1" errorTitle="Invalid Reference Count" error="The LDC131x/161x minimum reference count is 48 and the maximum reference count is 1048560." sqref="C29">
      <formula1>48</formula1>
      <formula2>65535*16</formula2>
    </dataValidation>
    <dataValidation allowBlank="1" showInputMessage="1" showErrorMessage="1" errorTitle="Invalid Number of Channels" error="LDC1312 &amp; LDC1612 maximum setting is 2 channels. _x000a_LDC1314 &amp; LDC1614 maximum setting is 4 channels." sqref="C33:C34"/>
  </dataValidations>
  <hyperlinks>
    <hyperlink ref="E2" location="Contents!A1" display="Return to Main Page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 tint="0.59999389629810485"/>
  </sheetPr>
  <dimension ref="B2:F42"/>
  <sheetViews>
    <sheetView showGridLines="0" showRowColHeaders="0" workbookViewId="0">
      <selection activeCell="E2" sqref="E2"/>
    </sheetView>
  </sheetViews>
  <sheetFormatPr defaultRowHeight="15" x14ac:dyDescent="0.25"/>
  <cols>
    <col min="1" max="2" width="5.7109375" customWidth="1"/>
    <col min="3" max="3" width="46.7109375" customWidth="1"/>
    <col min="4" max="4" width="12.5703125" customWidth="1"/>
    <col min="5" max="5" width="25.28515625" customWidth="1"/>
  </cols>
  <sheetData>
    <row r="2" spans="2:6" ht="18.75" x14ac:dyDescent="0.3">
      <c r="B2" s="15" t="s">
        <v>315</v>
      </c>
      <c r="C2" s="15"/>
      <c r="E2" s="84" t="s">
        <v>250</v>
      </c>
    </row>
    <row r="3" spans="2:6" ht="15.75" x14ac:dyDescent="0.25">
      <c r="B3" s="21"/>
      <c r="C3" s="21" t="s">
        <v>310</v>
      </c>
      <c r="D3" s="180"/>
      <c r="E3" s="174"/>
    </row>
    <row r="4" spans="2:6" ht="15.75" x14ac:dyDescent="0.25">
      <c r="B4" s="21"/>
      <c r="C4" s="21"/>
      <c r="D4" s="180"/>
      <c r="E4" s="174"/>
    </row>
    <row r="5" spans="2:6" ht="18" x14ac:dyDescent="0.35">
      <c r="B5" s="21"/>
      <c r="C5" s="32" t="s">
        <v>487</v>
      </c>
      <c r="D5" s="86">
        <v>40</v>
      </c>
      <c r="E5" s="17" t="s">
        <v>0</v>
      </c>
    </row>
    <row r="6" spans="2:6" x14ac:dyDescent="0.25">
      <c r="B6" s="21"/>
      <c r="C6" s="351" t="s">
        <v>486</v>
      </c>
      <c r="D6" s="182">
        <v>16384</v>
      </c>
      <c r="E6" s="17" t="s">
        <v>287</v>
      </c>
    </row>
    <row r="7" spans="2:6" x14ac:dyDescent="0.25">
      <c r="B7" s="21"/>
      <c r="C7" s="351" t="s">
        <v>432</v>
      </c>
      <c r="D7" s="310" t="str">
        <f>"0x"&amp;DEC2HEX(CEILING(D6/16,1),4)</f>
        <v>0x0400</v>
      </c>
      <c r="E7" s="17" t="s">
        <v>429</v>
      </c>
    </row>
    <row r="8" spans="2:6" x14ac:dyDescent="0.25">
      <c r="B8" s="21"/>
      <c r="C8" s="351" t="s">
        <v>290</v>
      </c>
      <c r="D8" s="187">
        <v>20</v>
      </c>
      <c r="E8" s="17" t="str">
        <f>IF(D37&gt;0,"sps","This Sample Rate is too high and cannot use Sleep Mode")</f>
        <v>sps</v>
      </c>
      <c r="F8" s="239"/>
    </row>
    <row r="9" spans="2:6" x14ac:dyDescent="0.25">
      <c r="B9" s="21"/>
      <c r="C9" s="351" t="s">
        <v>265</v>
      </c>
      <c r="D9" s="182">
        <v>2</v>
      </c>
      <c r="E9" s="17"/>
    </row>
    <row r="10" spans="2:6" x14ac:dyDescent="0.25">
      <c r="B10" s="21"/>
      <c r="C10" s="351" t="s">
        <v>2</v>
      </c>
      <c r="D10" s="186">
        <v>1.5</v>
      </c>
      <c r="E10" s="17" t="s">
        <v>0</v>
      </c>
    </row>
    <row r="11" spans="2:6" x14ac:dyDescent="0.25">
      <c r="B11" s="21"/>
      <c r="C11" s="351" t="s">
        <v>291</v>
      </c>
      <c r="D11" s="182">
        <v>20</v>
      </c>
      <c r="E11" s="17"/>
    </row>
    <row r="12" spans="2:6" x14ac:dyDescent="0.25">
      <c r="B12" s="21"/>
      <c r="C12" s="351" t="s">
        <v>288</v>
      </c>
      <c r="D12" s="182">
        <v>400</v>
      </c>
      <c r="E12" s="17" t="s">
        <v>289</v>
      </c>
    </row>
    <row r="13" spans="2:6" x14ac:dyDescent="0.25">
      <c r="B13" s="21"/>
      <c r="C13" s="351" t="s">
        <v>303</v>
      </c>
      <c r="D13" s="182">
        <v>10</v>
      </c>
      <c r="E13" s="85" t="s">
        <v>304</v>
      </c>
    </row>
    <row r="14" spans="2:6" x14ac:dyDescent="0.25">
      <c r="B14" s="21"/>
      <c r="C14" s="351" t="s">
        <v>298</v>
      </c>
      <c r="D14" s="184" t="s">
        <v>299</v>
      </c>
      <c r="E14" s="17"/>
    </row>
    <row r="15" spans="2:6" x14ac:dyDescent="0.25">
      <c r="B15" s="21"/>
      <c r="C15" s="181"/>
      <c r="D15" s="183"/>
    </row>
    <row r="16" spans="2:6" hidden="1" x14ac:dyDescent="0.25">
      <c r="B16" s="21"/>
      <c r="C16" s="181" t="s">
        <v>314</v>
      </c>
      <c r="D16" s="210">
        <f>((D5/D10)*D11)</f>
        <v>533.33333333333337</v>
      </c>
    </row>
    <row r="17" spans="2:6" x14ac:dyDescent="0.25">
      <c r="B17" s="21"/>
      <c r="C17" s="351" t="s">
        <v>343</v>
      </c>
      <c r="D17" s="352">
        <f>16*CEILING(D16/16,1)</f>
        <v>544</v>
      </c>
      <c r="E17" s="297"/>
      <c r="F17" s="91"/>
    </row>
    <row r="18" spans="2:6" x14ac:dyDescent="0.25">
      <c r="B18" s="21"/>
      <c r="C18" s="351" t="s">
        <v>431</v>
      </c>
      <c r="D18" s="353" t="str">
        <f>"0x"&amp;(DEC2HEX(D17/16))</f>
        <v>0x22</v>
      </c>
      <c r="E18" s="311" t="s">
        <v>430</v>
      </c>
      <c r="F18" s="91"/>
    </row>
    <row r="19" spans="2:6" hidden="1" x14ac:dyDescent="0.25">
      <c r="B19" s="21"/>
      <c r="C19" s="351" t="s">
        <v>311</v>
      </c>
      <c r="D19" s="354">
        <f>D17/D5</f>
        <v>13.6</v>
      </c>
      <c r="E19" s="82" t="s">
        <v>277</v>
      </c>
    </row>
    <row r="20" spans="2:6" hidden="1" x14ac:dyDescent="0.25">
      <c r="B20" s="175"/>
      <c r="C20" s="32" t="s">
        <v>292</v>
      </c>
      <c r="D20" s="355">
        <v>2</v>
      </c>
      <c r="E20" t="s">
        <v>286</v>
      </c>
    </row>
    <row r="21" spans="2:6" hidden="1" x14ac:dyDescent="0.25">
      <c r="B21" s="175"/>
      <c r="C21" s="32" t="s">
        <v>264</v>
      </c>
      <c r="D21" s="211">
        <f>5*D9+8</f>
        <v>18</v>
      </c>
    </row>
    <row r="22" spans="2:6" hidden="1" x14ac:dyDescent="0.25">
      <c r="B22" s="175"/>
      <c r="C22" s="32" t="s">
        <v>294</v>
      </c>
      <c r="D22" s="211">
        <f>4*8+5</f>
        <v>37</v>
      </c>
    </row>
    <row r="23" spans="2:6" hidden="1" x14ac:dyDescent="0.25">
      <c r="B23" s="175"/>
      <c r="C23" s="32" t="s">
        <v>293</v>
      </c>
      <c r="D23" s="212">
        <f>D21*D22/D12</f>
        <v>1.665</v>
      </c>
      <c r="E23" t="s">
        <v>286</v>
      </c>
    </row>
    <row r="24" spans="2:6" hidden="1" x14ac:dyDescent="0.25">
      <c r="B24" s="175"/>
      <c r="C24" s="32" t="s">
        <v>301</v>
      </c>
      <c r="D24" s="212">
        <f>IF(D14="LDC131x",((D22+D9*D22)/D12),((D22+D9*2*D22)/D12))</f>
        <v>0.27750000000000002</v>
      </c>
      <c r="E24" t="s">
        <v>286</v>
      </c>
    </row>
    <row r="25" spans="2:6" hidden="1" x14ac:dyDescent="0.25">
      <c r="B25" s="175"/>
      <c r="C25" s="32" t="s">
        <v>300</v>
      </c>
      <c r="D25" s="212">
        <f>D23+D20+D24</f>
        <v>3.9424999999999999</v>
      </c>
      <c r="E25" t="s">
        <v>286</v>
      </c>
    </row>
    <row r="26" spans="2:6" hidden="1" x14ac:dyDescent="0.25">
      <c r="B26" s="175"/>
      <c r="C26" s="32" t="s">
        <v>295</v>
      </c>
      <c r="D26" s="212">
        <v>0.3</v>
      </c>
      <c r="E26" t="s">
        <v>286</v>
      </c>
    </row>
    <row r="27" spans="2:6" hidden="1" x14ac:dyDescent="0.25">
      <c r="B27" s="77"/>
      <c r="C27" s="32" t="s">
        <v>296</v>
      </c>
      <c r="D27" s="203">
        <v>0.04</v>
      </c>
      <c r="E27" t="s">
        <v>286</v>
      </c>
    </row>
    <row r="28" spans="2:6" x14ac:dyDescent="0.25">
      <c r="B28" s="50"/>
      <c r="C28" s="32" t="s">
        <v>302</v>
      </c>
      <c r="D28" s="356">
        <f>0.001*(D16+D6)/D5</f>
        <v>0.42293333333333327</v>
      </c>
      <c r="E28" t="s">
        <v>286</v>
      </c>
    </row>
    <row r="29" spans="2:6" hidden="1" x14ac:dyDescent="0.25">
      <c r="B29" s="50"/>
      <c r="C29" t="s">
        <v>313</v>
      </c>
      <c r="D29" s="212">
        <f>D9*D28+(D9-1)*D27+D26</f>
        <v>1.1858666666666666</v>
      </c>
      <c r="E29" t="s">
        <v>286</v>
      </c>
    </row>
    <row r="30" spans="2:6" hidden="1" x14ac:dyDescent="0.25">
      <c r="B30" s="50"/>
      <c r="C30" t="s">
        <v>297</v>
      </c>
      <c r="D30" s="209">
        <f>D29*D8</f>
        <v>23.717333333333332</v>
      </c>
      <c r="E30" t="s">
        <v>286</v>
      </c>
    </row>
    <row r="31" spans="2:6" hidden="1" x14ac:dyDescent="0.25">
      <c r="B31" s="50"/>
      <c r="C31" t="s">
        <v>312</v>
      </c>
      <c r="D31" s="209">
        <f>(D25)*D8</f>
        <v>78.849999999999994</v>
      </c>
      <c r="E31" t="s">
        <v>286</v>
      </c>
    </row>
    <row r="32" spans="2:6" hidden="1" x14ac:dyDescent="0.25">
      <c r="B32" s="50"/>
      <c r="C32" t="s">
        <v>306</v>
      </c>
      <c r="D32" s="212">
        <f>SQRT(2)*0.5*1.5/D13</f>
        <v>0.10606601717798214</v>
      </c>
      <c r="E32" t="s">
        <v>305</v>
      </c>
    </row>
    <row r="33" spans="2:6" hidden="1" x14ac:dyDescent="0.25">
      <c r="B33" s="50"/>
      <c r="C33" t="s">
        <v>284</v>
      </c>
      <c r="D33" s="213">
        <f>2.02+D5*0.0365</f>
        <v>3.48</v>
      </c>
      <c r="E33" t="s">
        <v>305</v>
      </c>
    </row>
    <row r="34" spans="2:6" hidden="1" x14ac:dyDescent="0.25">
      <c r="B34" s="50"/>
      <c r="C34" t="s">
        <v>285</v>
      </c>
      <c r="D34" s="213">
        <f>D33+D32</f>
        <v>3.5860660171779823</v>
      </c>
      <c r="E34" t="s">
        <v>305</v>
      </c>
    </row>
    <row r="35" spans="2:6" hidden="1" x14ac:dyDescent="0.25">
      <c r="B35" s="50"/>
      <c r="C35" t="s">
        <v>308</v>
      </c>
      <c r="D35" s="203">
        <v>3.5000000000000003E-2</v>
      </c>
      <c r="E35" t="s">
        <v>305</v>
      </c>
    </row>
    <row r="36" spans="2:6" hidden="1" x14ac:dyDescent="0.25">
      <c r="C36" t="s">
        <v>307</v>
      </c>
      <c r="D36" s="203">
        <v>2.0000000000000001E-4</v>
      </c>
      <c r="E36" t="s">
        <v>305</v>
      </c>
    </row>
    <row r="37" spans="2:6" hidden="1" x14ac:dyDescent="0.25">
      <c r="C37" t="s">
        <v>309</v>
      </c>
      <c r="D37" s="212">
        <f>1000-D30-D31</f>
        <v>897.43266666666659</v>
      </c>
      <c r="E37" t="s">
        <v>286</v>
      </c>
    </row>
    <row r="38" spans="2:6" hidden="1" x14ac:dyDescent="0.25">
      <c r="C38" s="181" t="s">
        <v>266</v>
      </c>
      <c r="D38" s="214">
        <f>D36*D37/1000</f>
        <v>1.7948653333333333E-4</v>
      </c>
    </row>
    <row r="39" spans="2:6" hidden="1" x14ac:dyDescent="0.25">
      <c r="C39" s="181" t="s">
        <v>267</v>
      </c>
      <c r="D39" s="214">
        <f>D35*D31/1000</f>
        <v>2.7597500000000001E-3</v>
      </c>
    </row>
    <row r="40" spans="2:6" hidden="1" x14ac:dyDescent="0.25">
      <c r="C40" s="181" t="s">
        <v>268</v>
      </c>
      <c r="D40" s="214">
        <f>D34*D30/1000</f>
        <v>8.5051923084749265E-2</v>
      </c>
    </row>
    <row r="41" spans="2:6" ht="20.25" customHeight="1" x14ac:dyDescent="0.25">
      <c r="C41" s="303" t="s">
        <v>433</v>
      </c>
      <c r="D41" s="185">
        <f>1000*SUM(D38:D40)</f>
        <v>87.991159618082605</v>
      </c>
      <c r="E41" s="17" t="s">
        <v>316</v>
      </c>
      <c r="F41" s="239"/>
    </row>
    <row r="42" spans="2:6" ht="24.75" customHeight="1" x14ac:dyDescent="0.25">
      <c r="C42" s="304" t="s">
        <v>341</v>
      </c>
      <c r="D42" s="312">
        <f>1000*(D35*D37/1000+D39+D40)</f>
        <v>119.22181641808261</v>
      </c>
      <c r="E42" s="17" t="s">
        <v>316</v>
      </c>
    </row>
  </sheetData>
  <conditionalFormatting sqref="E8">
    <cfRule type="expression" dxfId="0" priority="1">
      <formula>$D$37&lt;0</formula>
    </cfRule>
  </conditionalFormatting>
  <dataValidations count="9">
    <dataValidation type="decimal" allowBlank="1" showInputMessage="1" showErrorMessage="1" sqref="D6">
      <formula1>48</formula1>
      <formula2>1048560</formula2>
    </dataValidation>
    <dataValidation type="decimal" errorStyle="warning" allowBlank="1" showInputMessage="1" showErrorMessage="1" errorTitle="Invalid I2C datarate" error="The LDC can support a datarate of up to 400kbit/s." sqref="D12:D13">
      <formula1>1</formula1>
      <formula2>400</formula2>
    </dataValidation>
    <dataValidation type="decimal" errorStyle="information" allowBlank="1" showInputMessage="1" showErrorMessage="1" errorTitle="Q value" error="The Q value entered may not be realizable in a system." sqref="D11">
      <formula1>0.1</formula1>
      <formula2>10000</formula2>
    </dataValidation>
    <dataValidation type="decimal" errorStyle="warning" allowBlank="1" showInputMessage="1" showErrorMessage="1" errorTitle="Invalid Sensor Frequency" error="The LDC is limited to sensor frequencies of 10kHz to 10MHz." sqref="D10">
      <formula1>0.01</formula1>
      <formula2>10</formula2>
    </dataValidation>
    <dataValidation type="decimal" errorStyle="information" allowBlank="1" showInputMessage="1" showErrorMessage="1" errorTitle="Sample Rate out of bounds" error="The sample rate is either extremely low - use the shutdown mode, or the sample rate needed cannot use the low power modes." sqref="D8">
      <formula1>0.1</formula1>
      <formula2>800</formula2>
    </dataValidation>
    <dataValidation type="list" errorStyle="warning" allowBlank="1" showInputMessage="1" showErrorMessage="1" errorTitle="Sample Rate out of bounds" error="The sample rate is either extremely low - use the shutdown mode, or the sample rate needed cannot use the low power modes." sqref="D9">
      <formula1>"1,2,3,4"</formula1>
    </dataValidation>
    <dataValidation errorStyle="warning" allowBlank="1" showInputMessage="1" showErrorMessage="1" errorTitle="Invalid I2C datarate" error="The LDC can support a datarate of up to 400kbit/s." sqref="D15:D19"/>
    <dataValidation type="list" errorStyle="warning" allowBlank="1" showInputMessage="1" showErrorMessage="1" errorTitle="Invalid I2C datarate" error="The LDC can support a datarate of up to 400kbit/s." sqref="D14">
      <formula1>"LDC131x,LDC161x"</formula1>
    </dataValidation>
    <dataValidation type="whole" errorStyle="warning" allowBlank="1" showInputMessage="1" showErrorMessage="1" errorTitle="Invalid Reference Frequency" error="The Reference frequency must be greater than the sensor frequency and not greater than 40MHz." sqref="D5">
      <formula1>D10</formula1>
      <formula2>40</formula2>
    </dataValidation>
  </dataValidations>
  <hyperlinks>
    <hyperlink ref="E2" location="Contents!A1" display="Return to Main Pag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4" tint="0.59999389629810485"/>
  </sheetPr>
  <dimension ref="B2:L53"/>
  <sheetViews>
    <sheetView showGridLines="0" showRowColHeaders="0" zoomScaleNormal="100" workbookViewId="0">
      <selection activeCell="E2" sqref="E2"/>
    </sheetView>
  </sheetViews>
  <sheetFormatPr defaultRowHeight="15" x14ac:dyDescent="0.25"/>
  <cols>
    <col min="2" max="2" width="5.5703125" customWidth="1"/>
    <col min="3" max="3" width="23.28515625" customWidth="1"/>
    <col min="4" max="4" width="17.42578125" customWidth="1"/>
    <col min="5" max="5" width="7.42578125" customWidth="1"/>
    <col min="7" max="7" width="20.7109375" bestFit="1" customWidth="1"/>
    <col min="8" max="8" width="10" bestFit="1" customWidth="1"/>
    <col min="10" max="10" width="38.5703125" customWidth="1"/>
  </cols>
  <sheetData>
    <row r="2" spans="2:12" ht="18.75" x14ac:dyDescent="0.3">
      <c r="B2" s="15" t="s">
        <v>423</v>
      </c>
      <c r="E2" s="84" t="s">
        <v>251</v>
      </c>
      <c r="K2" s="72"/>
      <c r="L2" s="72"/>
    </row>
    <row r="3" spans="2:12" x14ac:dyDescent="0.25">
      <c r="B3" s="97"/>
      <c r="C3" s="98" t="s">
        <v>219</v>
      </c>
      <c r="D3" s="97"/>
      <c r="E3" s="97"/>
      <c r="F3" s="53"/>
      <c r="G3" s="97"/>
      <c r="H3" s="97"/>
      <c r="I3" s="97"/>
      <c r="J3" s="97"/>
      <c r="K3" s="72"/>
      <c r="L3" s="72"/>
    </row>
    <row r="4" spans="2:12" x14ac:dyDescent="0.25">
      <c r="B4" s="97"/>
      <c r="C4" s="98" t="s">
        <v>222</v>
      </c>
      <c r="D4" s="97"/>
      <c r="E4" s="97"/>
      <c r="F4" s="53"/>
      <c r="G4" s="97"/>
      <c r="H4" s="97"/>
      <c r="I4" s="97"/>
      <c r="J4" s="97"/>
      <c r="K4" s="72"/>
      <c r="L4" s="72"/>
    </row>
    <row r="5" spans="2:12" x14ac:dyDescent="0.25">
      <c r="B5" s="97"/>
      <c r="C5" s="98" t="s">
        <v>223</v>
      </c>
      <c r="D5" s="97"/>
      <c r="E5" s="97"/>
      <c r="F5" s="53"/>
      <c r="G5" s="97"/>
      <c r="H5" s="97"/>
      <c r="I5" s="97"/>
      <c r="J5" s="97"/>
      <c r="K5" s="72"/>
      <c r="L5" s="72"/>
    </row>
    <row r="6" spans="2:12" x14ac:dyDescent="0.25">
      <c r="B6" s="97"/>
      <c r="C6" s="98" t="s">
        <v>224</v>
      </c>
      <c r="D6" s="97"/>
      <c r="E6" s="97"/>
      <c r="F6" s="53"/>
      <c r="G6" s="97"/>
      <c r="H6" s="97"/>
      <c r="I6" s="97"/>
      <c r="J6" s="97"/>
      <c r="K6" s="72"/>
      <c r="L6" s="72"/>
    </row>
    <row r="7" spans="2:12" x14ac:dyDescent="0.25">
      <c r="B7" s="97"/>
      <c r="C7" s="98" t="s">
        <v>225</v>
      </c>
      <c r="D7" s="97"/>
      <c r="E7" s="97"/>
      <c r="F7" s="53"/>
      <c r="G7" s="97"/>
      <c r="H7" s="97"/>
      <c r="I7" s="97"/>
      <c r="J7" s="97"/>
      <c r="K7" s="72"/>
      <c r="L7" s="72"/>
    </row>
    <row r="8" spans="2:12" x14ac:dyDescent="0.25">
      <c r="B8" s="97"/>
      <c r="C8" s="359" t="s">
        <v>500</v>
      </c>
      <c r="D8" s="97"/>
      <c r="E8" s="97"/>
      <c r="F8" s="53"/>
      <c r="G8" s="97"/>
      <c r="H8" s="97"/>
      <c r="I8" s="97"/>
      <c r="J8" s="97"/>
      <c r="K8" s="72"/>
      <c r="L8" s="72"/>
    </row>
    <row r="9" spans="2:12" x14ac:dyDescent="0.25">
      <c r="B9" s="97"/>
      <c r="C9" s="107" t="s">
        <v>230</v>
      </c>
      <c r="D9" s="97"/>
      <c r="E9" s="97"/>
      <c r="F9" s="53"/>
      <c r="G9" s="97"/>
      <c r="H9" s="97"/>
      <c r="I9" s="97"/>
      <c r="J9" s="97"/>
      <c r="K9" s="72"/>
      <c r="L9" s="72"/>
    </row>
    <row r="10" spans="2:12" x14ac:dyDescent="0.25">
      <c r="B10" s="97"/>
      <c r="C10" s="107"/>
      <c r="D10" s="97"/>
      <c r="E10" s="97"/>
      <c r="F10" s="53"/>
      <c r="G10" s="97"/>
      <c r="H10" s="97"/>
      <c r="I10" s="97"/>
      <c r="J10" s="97"/>
      <c r="K10" s="72"/>
      <c r="L10" s="72"/>
    </row>
    <row r="11" spans="2:12" ht="15.75" customHeight="1" x14ac:dyDescent="0.25">
      <c r="B11" s="97"/>
      <c r="C11" s="97" t="s">
        <v>279</v>
      </c>
      <c r="D11" s="179" t="s">
        <v>280</v>
      </c>
      <c r="E11" s="97"/>
      <c r="F11" s="53"/>
      <c r="G11" s="97"/>
      <c r="H11" s="97"/>
      <c r="I11" s="97"/>
      <c r="J11" s="97"/>
      <c r="K11" s="72"/>
      <c r="L11" s="72"/>
    </row>
    <row r="12" spans="2:12" ht="15.75" customHeight="1" x14ac:dyDescent="0.25">
      <c r="B12" s="97"/>
      <c r="C12" s="97"/>
      <c r="D12" s="97"/>
      <c r="E12" s="97"/>
      <c r="F12" s="53"/>
      <c r="G12" s="97"/>
      <c r="H12" s="97"/>
      <c r="I12" s="97"/>
      <c r="J12" s="97"/>
      <c r="K12" s="72"/>
      <c r="L12" s="72"/>
    </row>
    <row r="13" spans="2:12" ht="18" customHeight="1" x14ac:dyDescent="0.25">
      <c r="B13" s="110" t="s">
        <v>118</v>
      </c>
      <c r="C13" s="110"/>
      <c r="D13" s="110"/>
      <c r="E13" s="110"/>
      <c r="G13" s="97"/>
      <c r="H13" s="97"/>
      <c r="I13" s="97"/>
      <c r="J13" s="97"/>
      <c r="K13" s="72"/>
      <c r="L13" s="72"/>
    </row>
    <row r="14" spans="2:12" x14ac:dyDescent="0.25">
      <c r="B14" s="53"/>
      <c r="C14" s="53"/>
      <c r="D14" s="53"/>
      <c r="E14" s="53"/>
    </row>
    <row r="15" spans="2:12" x14ac:dyDescent="0.25">
      <c r="B15" s="101" t="s">
        <v>220</v>
      </c>
      <c r="C15" s="53"/>
      <c r="D15" s="53"/>
      <c r="E15" s="53"/>
    </row>
    <row r="16" spans="2:12" x14ac:dyDescent="0.25">
      <c r="B16" s="102" t="s">
        <v>122</v>
      </c>
      <c r="C16" s="53" t="s">
        <v>123</v>
      </c>
      <c r="D16" s="104">
        <v>6</v>
      </c>
      <c r="E16" s="76" t="s">
        <v>40</v>
      </c>
    </row>
    <row r="17" spans="2:7" ht="15" hidden="1" customHeight="1" x14ac:dyDescent="0.25">
      <c r="B17" s="102"/>
      <c r="C17" s="53"/>
      <c r="D17" s="178">
        <f>IF(E16="mm",D16,IF(E16="inch",D16*25.4))</f>
        <v>6</v>
      </c>
      <c r="E17" s="177" t="s">
        <v>40</v>
      </c>
    </row>
    <row r="18" spans="2:7" x14ac:dyDescent="0.25">
      <c r="B18" s="102" t="s">
        <v>36</v>
      </c>
      <c r="C18" s="53" t="s">
        <v>124</v>
      </c>
      <c r="D18" s="104">
        <v>35</v>
      </c>
      <c r="E18" s="53"/>
    </row>
    <row r="19" spans="2:7" x14ac:dyDescent="0.25">
      <c r="B19" s="102" t="s">
        <v>104</v>
      </c>
      <c r="C19" s="53" t="s">
        <v>125</v>
      </c>
      <c r="D19" s="104">
        <v>8</v>
      </c>
      <c r="E19" s="76" t="s">
        <v>40</v>
      </c>
    </row>
    <row r="20" spans="2:7" ht="18.75" hidden="1" customHeight="1" x14ac:dyDescent="0.25">
      <c r="B20" s="102"/>
      <c r="C20" s="53"/>
      <c r="D20" s="222">
        <f>IF(E19="mm",D19,IF(E16="inch",D19*25.4))</f>
        <v>8</v>
      </c>
      <c r="E20" s="177" t="s">
        <v>40</v>
      </c>
    </row>
    <row r="21" spans="2:7" x14ac:dyDescent="0.25">
      <c r="B21" s="102" t="s">
        <v>94</v>
      </c>
      <c r="C21" s="53" t="s">
        <v>221</v>
      </c>
      <c r="D21" s="112">
        <f>((D16/1000)^2*D18^2)/((D19/1000)+0.45*(D16/1000))</f>
        <v>4.121495327102803</v>
      </c>
      <c r="E21" s="53" t="s">
        <v>209</v>
      </c>
    </row>
    <row r="22" spans="2:7" x14ac:dyDescent="0.25">
      <c r="B22" s="53"/>
      <c r="C22" s="53"/>
      <c r="D22" s="53"/>
      <c r="E22" s="53"/>
    </row>
    <row r="23" spans="2:7" x14ac:dyDescent="0.25">
      <c r="B23" s="101" t="s">
        <v>226</v>
      </c>
      <c r="C23" s="53"/>
      <c r="D23" s="53"/>
      <c r="E23" s="53"/>
    </row>
    <row r="24" spans="2:7" x14ac:dyDescent="0.25">
      <c r="B24" s="102" t="s">
        <v>122</v>
      </c>
      <c r="C24" s="53" t="s">
        <v>123</v>
      </c>
      <c r="D24" s="104">
        <v>6</v>
      </c>
      <c r="E24" s="76" t="s">
        <v>40</v>
      </c>
    </row>
    <row r="25" spans="2:7" ht="13.5" hidden="1" customHeight="1" x14ac:dyDescent="0.25">
      <c r="B25" s="102"/>
      <c r="C25" s="53"/>
      <c r="D25" s="224">
        <f>IF(E24="mm",D24,IF(E24="inch",D24*25.4))</f>
        <v>6</v>
      </c>
      <c r="E25" s="103" t="s">
        <v>40</v>
      </c>
    </row>
    <row r="26" spans="2:7" x14ac:dyDescent="0.25">
      <c r="B26" s="102" t="s">
        <v>36</v>
      </c>
      <c r="C26" s="53" t="s">
        <v>124</v>
      </c>
      <c r="D26" s="104">
        <v>35</v>
      </c>
      <c r="E26" s="53"/>
    </row>
    <row r="27" spans="2:7" x14ac:dyDescent="0.25">
      <c r="B27" s="102" t="s">
        <v>104</v>
      </c>
      <c r="C27" s="53" t="s">
        <v>125</v>
      </c>
      <c r="D27" s="104">
        <v>11</v>
      </c>
      <c r="E27" s="76" t="s">
        <v>40</v>
      </c>
    </row>
    <row r="28" spans="2:7" ht="15.75" hidden="1" customHeight="1" x14ac:dyDescent="0.25">
      <c r="B28" s="102"/>
      <c r="C28" s="53"/>
      <c r="D28" s="223">
        <f>IF(E27="mm",D27,IF(E24="inch",D27*25.4))</f>
        <v>11</v>
      </c>
      <c r="E28" s="103" t="s">
        <v>40</v>
      </c>
    </row>
    <row r="29" spans="2:7" x14ac:dyDescent="0.25">
      <c r="B29" s="102" t="s">
        <v>94</v>
      </c>
      <c r="C29" s="53" t="s">
        <v>221</v>
      </c>
      <c r="D29" s="112">
        <f>((D24/1000)^2*D26^2)/((D27/1000)+0.45*(D24/1000))</f>
        <v>3.218978102189781</v>
      </c>
      <c r="E29" s="53" t="s">
        <v>209</v>
      </c>
    </row>
    <row r="30" spans="2:7" x14ac:dyDescent="0.25">
      <c r="B30" s="102"/>
      <c r="C30" s="53"/>
      <c r="D30" s="105"/>
      <c r="E30" s="53"/>
      <c r="F30" s="53"/>
      <c r="G30" s="53"/>
    </row>
    <row r="31" spans="2:7" x14ac:dyDescent="0.25">
      <c r="C31" s="53"/>
      <c r="D31" s="53"/>
      <c r="E31" s="53"/>
      <c r="F31" s="53"/>
      <c r="G31" s="53"/>
    </row>
    <row r="32" spans="2:7" x14ac:dyDescent="0.25">
      <c r="C32" s="53" t="s">
        <v>208</v>
      </c>
      <c r="D32" s="104">
        <v>900</v>
      </c>
      <c r="E32" s="53" t="s">
        <v>30</v>
      </c>
      <c r="F32" s="53"/>
      <c r="G32" s="53"/>
    </row>
    <row r="33" spans="2:9" x14ac:dyDescent="0.25">
      <c r="C33" s="53" t="s">
        <v>227</v>
      </c>
      <c r="D33" s="162">
        <f>MIN(D21,D29)+D35</f>
        <v>3.218978102189781</v>
      </c>
      <c r="E33" s="53" t="s">
        <v>209</v>
      </c>
      <c r="F33" s="53" t="s">
        <v>229</v>
      </c>
      <c r="G33" s="53"/>
    </row>
    <row r="34" spans="2:9" x14ac:dyDescent="0.25">
      <c r="C34" s="53" t="s">
        <v>228</v>
      </c>
      <c r="D34" s="162">
        <f>MAX(D21,D29)+D35</f>
        <v>4.121495327102803</v>
      </c>
      <c r="E34" s="53" t="s">
        <v>209</v>
      </c>
      <c r="F34" s="53" t="s">
        <v>229</v>
      </c>
      <c r="G34" s="53"/>
    </row>
    <row r="35" spans="2:9" x14ac:dyDescent="0.25">
      <c r="C35" s="53" t="s">
        <v>119</v>
      </c>
      <c r="D35" s="111">
        <v>0</v>
      </c>
      <c r="E35" s="53" t="s">
        <v>209</v>
      </c>
      <c r="F35" s="101" t="s">
        <v>211</v>
      </c>
      <c r="G35" s="53"/>
    </row>
    <row r="36" spans="2:9" x14ac:dyDescent="0.25">
      <c r="C36" s="53" t="s">
        <v>120</v>
      </c>
      <c r="D36" s="112">
        <f>1/(2*PI()*SQRT((D33+D35)*0.000001*(D32+D35)*0.000000000001))/1000000</f>
        <v>2.9569219812671341</v>
      </c>
      <c r="E36" s="53" t="s">
        <v>0</v>
      </c>
      <c r="F36" s="53" t="str">
        <f>TEXT(H36*1000,0)&amp;"kHz &lt;= fSENSOR &lt;="&amp;TEXT(I36,0)&amp;"MHz"</f>
        <v>10kHz &lt;= fSENSOR &lt;=10MHz</v>
      </c>
      <c r="G36" s="53"/>
      <c r="H36" s="116">
        <f>IF(D11="LDC1000/LDC1041",0.005,0.01)</f>
        <v>0.01</v>
      </c>
      <c r="I36" s="117">
        <f>IF(D11="LDC1000/LDC1041",5,10)</f>
        <v>10</v>
      </c>
    </row>
    <row r="37" spans="2:9" x14ac:dyDescent="0.25">
      <c r="C37" s="53" t="s">
        <v>121</v>
      </c>
      <c r="D37" s="112">
        <f>1/(2*PI()*SQRT((D34+D35)*0.000001*(D32+D35)*0.000000000001))/1000000</f>
        <v>2.6131929089181876</v>
      </c>
      <c r="E37" s="53" t="s">
        <v>0</v>
      </c>
      <c r="F37" s="53" t="str">
        <f>TEXT(H36*1000,0)&amp;"kHz &lt;= fSENSOR &lt;="&amp;TEXT(I36,0)&amp;"MHz"</f>
        <v>10kHz &lt;= fSENSOR &lt;=10MHz</v>
      </c>
      <c r="G37" s="53"/>
    </row>
    <row r="38" spans="2:9" x14ac:dyDescent="0.25">
      <c r="C38" s="53" t="s">
        <v>210</v>
      </c>
      <c r="D38" s="113">
        <f>(D37-D36)*1000</f>
        <v>-343.72907234894654</v>
      </c>
      <c r="E38" s="91" t="s">
        <v>102</v>
      </c>
      <c r="F38" s="53"/>
      <c r="G38" s="53"/>
    </row>
    <row r="39" spans="2:9" x14ac:dyDescent="0.25">
      <c r="C39" s="53"/>
      <c r="D39" s="53"/>
      <c r="E39" s="53"/>
      <c r="F39" s="53"/>
      <c r="G39" s="53"/>
    </row>
    <row r="40" spans="2:9" x14ac:dyDescent="0.25">
      <c r="B40" s="53"/>
      <c r="C40" s="53"/>
      <c r="D40" s="53"/>
      <c r="E40" s="53"/>
      <c r="F40" s="53"/>
      <c r="G40" s="53"/>
    </row>
    <row r="41" spans="2:9" x14ac:dyDescent="0.25">
      <c r="B41" s="53"/>
      <c r="C41" s="101" t="s">
        <v>231</v>
      </c>
      <c r="D41" s="53"/>
      <c r="E41" s="53"/>
      <c r="F41" s="53"/>
      <c r="G41" s="53"/>
    </row>
    <row r="42" spans="2:9" x14ac:dyDescent="0.25">
      <c r="B42" s="53"/>
      <c r="C42" s="53" t="s">
        <v>274</v>
      </c>
      <c r="D42" s="104">
        <v>6144</v>
      </c>
      <c r="E42" s="53"/>
      <c r="F42" t="s">
        <v>215</v>
      </c>
      <c r="G42" s="53"/>
    </row>
    <row r="43" spans="2:9" x14ac:dyDescent="0.25">
      <c r="B43" s="53"/>
      <c r="C43" s="53" t="s">
        <v>19</v>
      </c>
      <c r="D43" s="111">
        <v>8</v>
      </c>
      <c r="E43" s="53" t="s">
        <v>0</v>
      </c>
      <c r="F43" s="53"/>
      <c r="G43" s="53"/>
    </row>
    <row r="44" spans="2:9" ht="15.75" x14ac:dyDescent="0.25">
      <c r="B44" s="53"/>
      <c r="C44" s="53" t="s">
        <v>126</v>
      </c>
      <c r="D44" s="114">
        <f>ABS(FLOOR(0.333333*(D42*((D43/D36)-(D43/D37))),1))</f>
        <v>729</v>
      </c>
      <c r="E44" s="53"/>
      <c r="F44" s="53"/>
      <c r="G44" s="53"/>
    </row>
    <row r="45" spans="2:9" x14ac:dyDescent="0.25">
      <c r="B45" s="53"/>
      <c r="C45" s="91" t="s">
        <v>278</v>
      </c>
      <c r="D45" s="94">
        <f>1000*MIN(D36,D37)*3/D42</f>
        <v>1.2759731000577088</v>
      </c>
      <c r="E45" s="53" t="s">
        <v>257</v>
      </c>
      <c r="F45" s="53"/>
      <c r="G45" s="53"/>
    </row>
    <row r="46" spans="2:9" x14ac:dyDescent="0.25">
      <c r="B46" s="53"/>
      <c r="C46" s="91"/>
      <c r="D46" s="53"/>
      <c r="E46" s="53"/>
      <c r="F46" s="53"/>
      <c r="G46" s="53"/>
    </row>
    <row r="47" spans="2:9" x14ac:dyDescent="0.25">
      <c r="C47" s="176" t="s">
        <v>321</v>
      </c>
    </row>
    <row r="48" spans="2:9" x14ac:dyDescent="0.25">
      <c r="C48" s="91" t="s">
        <v>19</v>
      </c>
      <c r="D48" s="86">
        <v>40</v>
      </c>
      <c r="E48" t="s">
        <v>0</v>
      </c>
    </row>
    <row r="49" spans="3:5" x14ac:dyDescent="0.25">
      <c r="C49" s="91" t="s">
        <v>275</v>
      </c>
      <c r="D49" s="76">
        <v>26677</v>
      </c>
      <c r="E49" t="s">
        <v>281</v>
      </c>
    </row>
    <row r="50" spans="3:5" x14ac:dyDescent="0.25">
      <c r="C50" s="91" t="s">
        <v>459</v>
      </c>
      <c r="D50" s="319" t="str">
        <f>"0x"&amp;DEC2HEX(CEILING(D49/16,1),4)</f>
        <v>0x0684</v>
      </c>
      <c r="E50" t="s">
        <v>455</v>
      </c>
    </row>
    <row r="51" spans="3:5" x14ac:dyDescent="0.25">
      <c r="C51" s="91" t="s">
        <v>282</v>
      </c>
      <c r="D51" s="225">
        <f>4*D49*ABS(D38*1000)/D48/1000000</f>
        <v>916.96604630528475</v>
      </c>
    </row>
    <row r="52" spans="3:5" x14ac:dyDescent="0.25">
      <c r="C52" s="91" t="s">
        <v>276</v>
      </c>
      <c r="D52" s="106">
        <f>D49/D48</f>
        <v>666.92499999999995</v>
      </c>
      <c r="E52" s="82" t="s">
        <v>277</v>
      </c>
    </row>
    <row r="53" spans="3:5" x14ac:dyDescent="0.25">
      <c r="C53" s="91" t="s">
        <v>256</v>
      </c>
      <c r="D53" s="94">
        <f>D48*1000/D49</f>
        <v>1.4994189751471305</v>
      </c>
      <c r="E53" t="s">
        <v>257</v>
      </c>
    </row>
  </sheetData>
  <dataValidations count="11">
    <dataValidation type="list" allowBlank="1" showInputMessage="1" showErrorMessage="1" sqref="E16 E19 E24 E27">
      <formula1>"mm,inch"</formula1>
    </dataValidation>
    <dataValidation type="decimal" operator="greaterThan" allowBlank="1" showInputMessage="1" showErrorMessage="1" sqref="D16 D24">
      <formula1>0</formula1>
    </dataValidation>
    <dataValidation type="decimal" operator="greaterThan" allowBlank="1" showInputMessage="1" showErrorMessage="1" sqref="D18 D26">
      <formula1>0.1</formula1>
    </dataValidation>
    <dataValidation type="decimal" operator="greaterThan" allowBlank="1" showInputMessage="1" showErrorMessage="1" sqref="D19 D27">
      <formula1>0.001</formula1>
    </dataValidation>
    <dataValidation type="decimal" operator="greaterThanOrEqual" allowBlank="1" showInputMessage="1" showErrorMessage="1" sqref="D35">
      <formula1>0</formula1>
    </dataValidation>
    <dataValidation type="list" allowBlank="1" showInputMessage="1" showErrorMessage="1" sqref="D42">
      <formula1>"192,384,768,1536,3072,6144"</formula1>
    </dataValidation>
    <dataValidation type="whole" errorStyle="warning" operator="lessThanOrEqual" allowBlank="1" showInputMessage="1" showErrorMessage="1" errorTitle="Reference frequency too High" error="The LDC1000/LDC1041 has a maximum TBCLK (Fref) frequency of 8MHz." sqref="D43">
      <formula1>8</formula1>
    </dataValidation>
    <dataValidation type="list" allowBlank="1" showInputMessage="1" showErrorMessage="1" sqref="D11">
      <formula1>"LDC1000/LDC1041,LDC131x/LDC161x"</formula1>
    </dataValidation>
    <dataValidation type="decimal" errorStyle="warning" allowBlank="1" showInputMessage="1" showErrorMessage="1" errorTitle="Possible Invalid Reference Freq" error="The Reference Frequency must be greater than the Sensor frequency and also must not exceed the 40MHz maximum." sqref="D48">
      <formula1>MAX(D36:D37)</formula1>
      <formula2>40</formula2>
    </dataValidation>
    <dataValidation type="decimal" errorStyle="warning" allowBlank="1" showInputMessage="1" showErrorMessage="1" errorTitle="Invalid Reference Count" error="The LDC131x/161x minimum reference count is 48 and the maximum reference count is 1048560." sqref="D49">
      <formula1>64</formula1>
      <formula2>65535*16</formula2>
    </dataValidation>
    <dataValidation errorStyle="warning" allowBlank="1" showInputMessage="1" showErrorMessage="1" errorTitle="Invalid Reference Count" error="The LDC131x/161x minimum reference count is 48 and the maximum reference count is 1048560." sqref="D51 D50"/>
  </dataValidations>
  <hyperlinks>
    <hyperlink ref="E2" location="Contents!A1" display="Return to Main page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8197" r:id="rId4">
          <objectPr defaultSize="0" r:id="rId5">
            <anchor moveWithCells="1">
              <from>
                <xdr:col>5</xdr:col>
                <xdr:colOff>285750</xdr:colOff>
                <xdr:row>13</xdr:row>
                <xdr:rowOff>28575</xdr:rowOff>
              </from>
              <to>
                <xdr:col>8</xdr:col>
                <xdr:colOff>152400</xdr:colOff>
                <xdr:row>31</xdr:row>
                <xdr:rowOff>161925</xdr:rowOff>
              </to>
            </anchor>
          </objectPr>
        </oleObject>
      </mc:Choice>
      <mc:Fallback>
        <oleObject progId="Visio.Drawing.11" shapeId="8197" r:id="rId4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9A5B8E8-8070-4521-9B4D-72CF95A7886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$H$36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D36</xm:sqref>
        </x14:conditionalFormatting>
        <x14:conditionalFormatting xmlns:xm="http://schemas.microsoft.com/office/excel/2006/main">
          <x14:cfRule type="iconSet" priority="1" id="{6DA65A5A-2F21-47FE-819C-A6BF9D3283AA}">
            <x14:iconSet custom="1">
              <x14:cfvo type="percent">
                <xm:f>0</xm:f>
              </x14:cfvo>
              <x14:cfvo type="num">
                <xm:f>$H$36</xm:f>
              </x14:cfvo>
              <x14:cfvo type="num">
                <xm:f>$I$36</xm:f>
              </x14:cfvo>
              <x14:cfIcon iconSet="3TrafficLights1" iconId="0"/>
              <x14:cfIcon iconSet="3TrafficLights1" iconId="2"/>
              <x14:cfIcon iconSet="3TrafficLights1" iconId="0"/>
            </x14:iconSet>
          </x14:cfRule>
          <xm:sqref>D36:D37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4" tint="0.59999389629810485"/>
  </sheetPr>
  <dimension ref="B2:I59"/>
  <sheetViews>
    <sheetView showGridLines="0" showRowColHeaders="0" zoomScaleNormal="100" workbookViewId="0">
      <selection activeCell="F2" sqref="F2"/>
    </sheetView>
  </sheetViews>
  <sheetFormatPr defaultRowHeight="15" x14ac:dyDescent="0.25"/>
  <cols>
    <col min="1" max="1" width="5.85546875" style="2" customWidth="1"/>
    <col min="2" max="2" width="25.85546875" style="2" customWidth="1"/>
    <col min="3" max="3" width="12" style="2" bestFit="1" customWidth="1"/>
    <col min="4" max="8" width="9.140625" style="2"/>
    <col min="9" max="10" width="9.140625" style="2" customWidth="1"/>
    <col min="11" max="11" width="10" style="2" bestFit="1" customWidth="1"/>
    <col min="12" max="16384" width="9.140625" style="2"/>
  </cols>
  <sheetData>
    <row r="2" spans="2:6" ht="18.75" x14ac:dyDescent="0.3">
      <c r="B2" s="1" t="s">
        <v>4</v>
      </c>
      <c r="F2" s="161" t="s">
        <v>250</v>
      </c>
    </row>
    <row r="3" spans="2:6" ht="15.75" x14ac:dyDescent="0.25">
      <c r="B3" s="121" t="s">
        <v>271</v>
      </c>
    </row>
    <row r="4" spans="2:6" ht="15.75" x14ac:dyDescent="0.25">
      <c r="B4" s="121" t="s">
        <v>273</v>
      </c>
    </row>
    <row r="5" spans="2:6" ht="15.75" x14ac:dyDescent="0.25">
      <c r="B5" s="121" t="s">
        <v>272</v>
      </c>
    </row>
    <row r="6" spans="2:6" ht="15.75" x14ac:dyDescent="0.25">
      <c r="B6" s="165" t="s">
        <v>11</v>
      </c>
    </row>
    <row r="7" spans="2:6" ht="18.75" x14ac:dyDescent="0.3">
      <c r="B7" s="1"/>
    </row>
    <row r="8" spans="2:6" x14ac:dyDescent="0.25">
      <c r="B8" s="3" t="s">
        <v>6</v>
      </c>
    </row>
    <row r="9" spans="2:6" x14ac:dyDescent="0.25">
      <c r="B9" s="7" t="s">
        <v>7</v>
      </c>
      <c r="C9" s="164" t="s">
        <v>269</v>
      </c>
    </row>
    <row r="10" spans="2:6" x14ac:dyDescent="0.25">
      <c r="B10" s="8" t="s">
        <v>259</v>
      </c>
      <c r="C10" s="128">
        <f>INDEX(C40:C45,MATCH(C9,B40:B45,0))</f>
        <v>10</v>
      </c>
      <c r="D10" s="8" t="s">
        <v>0</v>
      </c>
    </row>
    <row r="11" spans="2:6" x14ac:dyDescent="0.25">
      <c r="B11" s="8" t="s">
        <v>260</v>
      </c>
      <c r="C11" s="129">
        <f>INDEX(D40:D45,MATCH(C9,B40:B45,0))</f>
        <v>1E-3</v>
      </c>
      <c r="D11" s="8" t="s">
        <v>0</v>
      </c>
    </row>
    <row r="12" spans="2:6" x14ac:dyDescent="0.25">
      <c r="B12" s="8" t="s">
        <v>261</v>
      </c>
      <c r="C12" s="118">
        <v>0.67</v>
      </c>
      <c r="D12" s="8" t="s">
        <v>16</v>
      </c>
    </row>
    <row r="13" spans="2:6" hidden="1" x14ac:dyDescent="0.25">
      <c r="B13" s="9"/>
      <c r="C13" s="226">
        <v>299790000</v>
      </c>
      <c r="D13" s="9"/>
    </row>
    <row r="14" spans="2:6" x14ac:dyDescent="0.25">
      <c r="B14" s="8" t="s">
        <v>262</v>
      </c>
      <c r="C14" s="119">
        <v>1</v>
      </c>
      <c r="D14" s="8" t="s">
        <v>0</v>
      </c>
    </row>
    <row r="15" spans="2:6" hidden="1" x14ac:dyDescent="0.25">
      <c r="B15" s="9"/>
      <c r="C15" s="228">
        <f>INDEX(E40:E45,MATCH(C9,B40:B45,0))</f>
        <v>6</v>
      </c>
      <c r="D15" s="322"/>
    </row>
    <row r="16" spans="2:6" hidden="1" x14ac:dyDescent="0.25">
      <c r="B16" s="9"/>
      <c r="C16" s="228">
        <f>INDEX(F40:F45,MATCH(C9,B40:B45,0))</f>
        <v>14</v>
      </c>
      <c r="D16" s="322"/>
    </row>
    <row r="17" spans="2:4" hidden="1" x14ac:dyDescent="0.25">
      <c r="B17" s="9"/>
      <c r="C17" s="227">
        <f>C16/360/(C14*1000000)</f>
        <v>3.8888888888888891E-8</v>
      </c>
      <c r="D17" s="322"/>
    </row>
    <row r="18" spans="2:4" hidden="1" x14ac:dyDescent="0.25">
      <c r="B18" s="9"/>
      <c r="C18" s="227">
        <f>(C17-(C15*0.000000001))/2</f>
        <v>1.6444444444444445E-8</v>
      </c>
      <c r="D18" s="9"/>
    </row>
    <row r="19" spans="2:4" ht="15.75" x14ac:dyDescent="0.25">
      <c r="B19" s="7" t="s">
        <v>5</v>
      </c>
      <c r="C19" s="126">
        <f>50*C18*C12*C13</f>
        <v>165.15098</v>
      </c>
      <c r="D19" s="8" t="s">
        <v>3</v>
      </c>
    </row>
    <row r="21" spans="2:4" x14ac:dyDescent="0.25">
      <c r="B21" s="5" t="s">
        <v>8</v>
      </c>
    </row>
    <row r="22" spans="2:4" x14ac:dyDescent="0.25">
      <c r="B22" s="10" t="s">
        <v>263</v>
      </c>
      <c r="C22" s="163">
        <v>15</v>
      </c>
      <c r="D22" s="10" t="s">
        <v>3</v>
      </c>
    </row>
    <row r="23" spans="2:4" hidden="1" x14ac:dyDescent="0.25">
      <c r="B23" s="11"/>
      <c r="C23" s="229">
        <f>0.02*C22/C13</f>
        <v>1.0007004903432402E-9</v>
      </c>
      <c r="D23" s="11"/>
    </row>
    <row r="24" spans="2:4" hidden="1" x14ac:dyDescent="0.25">
      <c r="B24" s="11"/>
      <c r="C24" s="229">
        <f>C23*2/C12</f>
        <v>2.9871656428156423E-9</v>
      </c>
      <c r="D24" s="11"/>
    </row>
    <row r="25" spans="2:4" hidden="1" x14ac:dyDescent="0.25">
      <c r="B25" s="11"/>
      <c r="C25" s="229">
        <f>C24+(C15*0.000000001)</f>
        <v>8.9871656428156423E-9</v>
      </c>
      <c r="D25" s="11"/>
    </row>
    <row r="26" spans="2:4" hidden="1" x14ac:dyDescent="0.25">
      <c r="B26" s="11"/>
      <c r="C26" s="229">
        <f>C16/(360*C25)</f>
        <v>4327158.3538661879</v>
      </c>
      <c r="D26" s="11"/>
    </row>
    <row r="27" spans="2:4" ht="15.75" x14ac:dyDescent="0.25">
      <c r="B27" s="12" t="s">
        <v>9</v>
      </c>
      <c r="C27" s="127">
        <f>C26*0.000001</f>
        <v>4.3271583538661877</v>
      </c>
      <c r="D27" s="10" t="s">
        <v>0</v>
      </c>
    </row>
    <row r="29" spans="2:4" x14ac:dyDescent="0.25">
      <c r="B29" s="74" t="s">
        <v>258</v>
      </c>
    </row>
    <row r="30" spans="2:4" x14ac:dyDescent="0.25">
      <c r="B30" s="74" t="s">
        <v>12</v>
      </c>
    </row>
    <row r="31" spans="2:4" x14ac:dyDescent="0.25">
      <c r="B31" s="74" t="s">
        <v>129</v>
      </c>
    </row>
    <row r="32" spans="2:4" x14ac:dyDescent="0.25">
      <c r="B32" s="2" t="s">
        <v>426</v>
      </c>
    </row>
    <row r="38" spans="2:9" x14ac:dyDescent="0.25">
      <c r="B38" s="4"/>
    </row>
    <row r="39" spans="2:9" x14ac:dyDescent="0.25">
      <c r="B39" s="6"/>
    </row>
    <row r="40" spans="2:9" ht="18.75" hidden="1" x14ac:dyDescent="0.3">
      <c r="B40" s="306" t="s">
        <v>15</v>
      </c>
      <c r="C40" s="307" t="s">
        <v>13</v>
      </c>
      <c r="D40" s="307" t="s">
        <v>14</v>
      </c>
      <c r="E40" s="321"/>
      <c r="F40" s="321"/>
    </row>
    <row r="41" spans="2:9" hidden="1" x14ac:dyDescent="0.25">
      <c r="B41" s="309" t="s">
        <v>10</v>
      </c>
      <c r="C41" s="308">
        <v>5</v>
      </c>
      <c r="D41" s="308">
        <v>5.0000000000000001E-3</v>
      </c>
      <c r="E41" s="308">
        <v>5</v>
      </c>
      <c r="F41" s="308">
        <v>10</v>
      </c>
    </row>
    <row r="42" spans="2:9" hidden="1" x14ac:dyDescent="0.25">
      <c r="B42" s="309" t="s">
        <v>232</v>
      </c>
      <c r="C42" s="308">
        <v>5</v>
      </c>
      <c r="D42" s="308">
        <v>5.0000000000000001E-3</v>
      </c>
      <c r="E42" s="308">
        <v>5</v>
      </c>
      <c r="F42" s="308">
        <v>10</v>
      </c>
    </row>
    <row r="43" spans="2:9" hidden="1" x14ac:dyDescent="0.25">
      <c r="B43" s="309" t="s">
        <v>269</v>
      </c>
      <c r="C43" s="308">
        <v>10</v>
      </c>
      <c r="D43" s="308">
        <v>1E-3</v>
      </c>
      <c r="E43" s="308">
        <v>6</v>
      </c>
      <c r="F43" s="308">
        <v>14</v>
      </c>
    </row>
    <row r="44" spans="2:9" hidden="1" x14ac:dyDescent="0.25">
      <c r="B44" s="309" t="s">
        <v>270</v>
      </c>
      <c r="C44" s="308">
        <v>10</v>
      </c>
      <c r="D44" s="308">
        <v>1E-3</v>
      </c>
      <c r="E44" s="308">
        <v>6</v>
      </c>
      <c r="F44" s="308">
        <v>14</v>
      </c>
      <c r="H44" s="13"/>
      <c r="I44" s="13"/>
    </row>
    <row r="45" spans="2:9" hidden="1" x14ac:dyDescent="0.25">
      <c r="B45" s="308" t="s">
        <v>428</v>
      </c>
      <c r="C45" s="308">
        <v>10</v>
      </c>
      <c r="D45" s="308">
        <v>0.5</v>
      </c>
      <c r="E45" s="308">
        <v>5</v>
      </c>
      <c r="F45" s="308">
        <v>20</v>
      </c>
      <c r="H45" s="14"/>
      <c r="I45" s="14"/>
    </row>
    <row r="46" spans="2:9" x14ac:dyDescent="0.25">
      <c r="H46" s="14"/>
      <c r="I46" s="14"/>
    </row>
    <row r="47" spans="2:9" x14ac:dyDescent="0.25">
      <c r="H47" s="14"/>
      <c r="I47" s="14"/>
    </row>
    <row r="48" spans="2:9" x14ac:dyDescent="0.25">
      <c r="H48" s="14"/>
      <c r="I48" s="14"/>
    </row>
    <row r="49" spans="8:9" x14ac:dyDescent="0.25">
      <c r="H49" s="14"/>
      <c r="I49" s="14"/>
    </row>
    <row r="50" spans="8:9" x14ac:dyDescent="0.25">
      <c r="H50" s="14"/>
      <c r="I50" s="14"/>
    </row>
    <row r="51" spans="8:9" x14ac:dyDescent="0.25">
      <c r="H51" s="14"/>
      <c r="I51" s="14"/>
    </row>
    <row r="52" spans="8:9" x14ac:dyDescent="0.25">
      <c r="H52" s="14"/>
      <c r="I52" s="14"/>
    </row>
    <row r="53" spans="8:9" x14ac:dyDescent="0.25">
      <c r="H53" s="14"/>
      <c r="I53" s="14"/>
    </row>
    <row r="54" spans="8:9" x14ac:dyDescent="0.25">
      <c r="H54" s="14"/>
      <c r="I54" s="14"/>
    </row>
    <row r="55" spans="8:9" x14ac:dyDescent="0.25">
      <c r="H55" s="14"/>
      <c r="I55" s="14"/>
    </row>
    <row r="56" spans="8:9" x14ac:dyDescent="0.25">
      <c r="H56" s="14"/>
      <c r="I56" s="14"/>
    </row>
    <row r="57" spans="8:9" x14ac:dyDescent="0.25">
      <c r="H57" s="14"/>
      <c r="I57" s="14"/>
    </row>
    <row r="58" spans="8:9" x14ac:dyDescent="0.25">
      <c r="H58" s="14"/>
      <c r="I58" s="14"/>
    </row>
    <row r="59" spans="8:9" x14ac:dyDescent="0.25">
      <c r="H59" s="14"/>
      <c r="I59" s="14"/>
    </row>
  </sheetData>
  <dataValidations count="3">
    <dataValidation type="decimal" allowBlank="1" showInputMessage="1" showErrorMessage="1" sqref="C12">
      <formula1>0.000001</formula1>
      <formula2>1</formula2>
    </dataValidation>
    <dataValidation type="list" allowBlank="1" showInputMessage="1" showErrorMessage="1" sqref="C9">
      <formula1>$B$41:$B$45</formula1>
    </dataValidation>
    <dataValidation type="decimal" errorStyle="warning" allowBlank="1" showInputMessage="1" showErrorMessage="1" errorTitle="Sensor Frequency too high" error="The Sensor frequency cannot exceed the IC Max Frequency" sqref="C14">
      <formula1>C11</formula1>
      <formula2>C10</formula2>
    </dataValidation>
  </dataValidations>
  <hyperlinks>
    <hyperlink ref="F2" location="Contents!A1" display="Return to Main Page"/>
  </hyperlink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Contents</vt:lpstr>
      <vt:lpstr>Spiral_Inductor_Designer</vt:lpstr>
      <vt:lpstr>Output Code Calculator</vt:lpstr>
      <vt:lpstr>SkinDepth</vt:lpstr>
      <vt:lpstr>LDC1101_RP_Config</vt:lpstr>
      <vt:lpstr>SampleRateCalc</vt:lpstr>
      <vt:lpstr>LDC131x_Current</vt:lpstr>
      <vt:lpstr>Spring Sensor</vt:lpstr>
      <vt:lpstr>Remote Coil Length</vt:lpstr>
      <vt:lpstr>LDC Operating Region</vt:lpstr>
      <vt:lpstr>LDC1101_RP_Config!Mega</vt:lpstr>
      <vt:lpstr>LDC1101_RP_Config!micro</vt:lpstr>
      <vt:lpstr>N</vt:lpstr>
      <vt:lpstr>LDC1101_RP_Config!pico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Oberhauser</dc:creator>
  <cp:lastModifiedBy>Chris Oberhauser</cp:lastModifiedBy>
  <dcterms:created xsi:type="dcterms:W3CDTF">2014-10-17T20:34:02Z</dcterms:created>
  <dcterms:modified xsi:type="dcterms:W3CDTF">2015-06-11T17:50:25Z</dcterms:modified>
</cp:coreProperties>
</file>