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\Desktop\MATLAB\SDR\"/>
    </mc:Choice>
  </mc:AlternateContent>
  <xr:revisionPtr revIDLastSave="0" documentId="8_{4FD1995A-B250-4F60-8ABF-BFA0C5446D1E}" xr6:coauthVersionLast="43" xr6:coauthVersionMax="43" xr10:uidLastSave="{00000000-0000-0000-0000-000000000000}"/>
  <bookViews>
    <workbookView xWindow="32400" yWindow="2160" windowWidth="19050" windowHeight="15435" xr2:uid="{92479B40-D638-45A0-A4F5-A74C2F21D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6" i="1"/>
  <c r="J7" i="1"/>
  <c r="J8" i="1"/>
  <c r="J9" i="1"/>
  <c r="J10" i="1"/>
  <c r="J11" i="1"/>
  <c r="J12" i="1"/>
  <c r="J13" i="1"/>
  <c r="J16" i="1"/>
  <c r="J17" i="1"/>
  <c r="J18" i="1"/>
  <c r="J20" i="1"/>
  <c r="J21" i="1"/>
  <c r="J22" i="1"/>
  <c r="J26" i="1"/>
  <c r="J27" i="1"/>
  <c r="J29" i="1"/>
  <c r="J35" i="1"/>
  <c r="J36" i="1"/>
  <c r="J37" i="1"/>
  <c r="J38" i="1"/>
  <c r="J39" i="1"/>
  <c r="J41" i="1"/>
  <c r="J42" i="1"/>
  <c r="J43" i="1"/>
  <c r="J45" i="1"/>
  <c r="J46" i="1"/>
  <c r="J47" i="1"/>
  <c r="J49" i="1"/>
  <c r="J51" i="1"/>
  <c r="J54" i="1"/>
  <c r="J55" i="1"/>
  <c r="J57" i="1"/>
  <c r="J58" i="1"/>
  <c r="J59" i="1"/>
  <c r="J61" i="1"/>
  <c r="J62" i="1"/>
  <c r="J66" i="1"/>
  <c r="J67" i="1"/>
  <c r="J69" i="1"/>
  <c r="J70" i="1"/>
  <c r="J71" i="1"/>
  <c r="J72" i="1"/>
  <c r="J73" i="1"/>
  <c r="J75" i="1"/>
  <c r="J78" i="1"/>
  <c r="J79" i="1"/>
  <c r="J80" i="1"/>
  <c r="J81" i="1"/>
  <c r="J83" i="1"/>
  <c r="J85" i="1"/>
  <c r="J86" i="1"/>
  <c r="J87" i="1"/>
  <c r="J88" i="1"/>
  <c r="J89" i="1"/>
  <c r="J90" i="1"/>
  <c r="J91" i="1"/>
  <c r="J93" i="1"/>
  <c r="J94" i="1"/>
  <c r="J97" i="1"/>
  <c r="J98" i="1"/>
  <c r="J99" i="1"/>
  <c r="J102" i="1"/>
  <c r="J104" i="1"/>
  <c r="J106" i="1"/>
  <c r="J107" i="1"/>
  <c r="J108" i="1"/>
  <c r="J109" i="1"/>
  <c r="J110" i="1"/>
  <c r="J112" i="1"/>
  <c r="J113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29" i="1"/>
  <c r="J130" i="1"/>
  <c r="J131" i="1"/>
  <c r="J133" i="1"/>
  <c r="J134" i="1"/>
  <c r="J136" i="1"/>
  <c r="J137" i="1"/>
  <c r="J138" i="1"/>
  <c r="J141" i="1"/>
  <c r="J142" i="1"/>
  <c r="J143" i="1"/>
  <c r="J144" i="1"/>
  <c r="J146" i="1"/>
  <c r="J147" i="1"/>
  <c r="J148" i="1"/>
  <c r="J149" i="1"/>
  <c r="J151" i="1"/>
  <c r="J152" i="1"/>
  <c r="J153" i="1"/>
  <c r="J154" i="1"/>
  <c r="J155" i="1"/>
  <c r="J156" i="1"/>
  <c r="J157" i="1"/>
  <c r="J160" i="1"/>
  <c r="J161" i="1"/>
  <c r="J162" i="1"/>
  <c r="J164" i="1"/>
  <c r="J166" i="1"/>
  <c r="J167" i="1"/>
  <c r="J168" i="1"/>
  <c r="J169" i="1"/>
  <c r="J172" i="1"/>
  <c r="J173" i="1"/>
  <c r="J174" i="1"/>
  <c r="J175" i="1"/>
  <c r="J176" i="1"/>
  <c r="J177" i="1"/>
  <c r="J178" i="1"/>
  <c r="J181" i="1"/>
  <c r="J182" i="1"/>
  <c r="J183" i="1"/>
  <c r="J184" i="1"/>
  <c r="J186" i="1"/>
  <c r="J187" i="1"/>
  <c r="J188" i="1"/>
  <c r="J192" i="1"/>
  <c r="J193" i="1"/>
  <c r="J195" i="1"/>
  <c r="J196" i="1"/>
  <c r="J198" i="1"/>
  <c r="J199" i="1"/>
  <c r="J201" i="1"/>
  <c r="J206" i="1"/>
  <c r="J207" i="1"/>
  <c r="J208" i="1"/>
  <c r="J209" i="1"/>
  <c r="J210" i="1"/>
  <c r="J212" i="1"/>
  <c r="J213" i="1"/>
  <c r="J215" i="1"/>
  <c r="J216" i="1"/>
  <c r="J217" i="1"/>
  <c r="J218" i="1"/>
  <c r="J219" i="1"/>
  <c r="J220" i="1"/>
  <c r="J221" i="1"/>
  <c r="J222" i="1"/>
  <c r="J224" i="1"/>
  <c r="J225" i="1"/>
  <c r="J226" i="1"/>
  <c r="J227" i="1"/>
  <c r="J228" i="1"/>
  <c r="J230" i="1"/>
  <c r="J231" i="1"/>
  <c r="J233" i="1"/>
  <c r="J235" i="1"/>
  <c r="J236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2" i="1"/>
  <c r="J254" i="1"/>
  <c r="J255" i="1"/>
  <c r="J256" i="1"/>
  <c r="J257" i="1"/>
  <c r="J258" i="1"/>
  <c r="J259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8" i="1"/>
  <c r="J279" i="1"/>
  <c r="J282" i="1"/>
  <c r="J283" i="1"/>
  <c r="J284" i="1"/>
  <c r="J285" i="1"/>
  <c r="J287" i="1"/>
  <c r="J289" i="1"/>
  <c r="J290" i="1"/>
  <c r="J292" i="1"/>
  <c r="J293" i="1"/>
  <c r="J294" i="1"/>
  <c r="J295" i="1"/>
  <c r="J296" i="1"/>
  <c r="J297" i="1"/>
  <c r="J298" i="1"/>
  <c r="J299" i="1"/>
  <c r="J300" i="1"/>
  <c r="J302" i="1"/>
  <c r="J303" i="1"/>
  <c r="J304" i="1"/>
  <c r="J305" i="1"/>
  <c r="J306" i="1"/>
  <c r="J308" i="1"/>
  <c r="J309" i="1"/>
  <c r="J310" i="1"/>
  <c r="J311" i="1"/>
  <c r="J312" i="1"/>
  <c r="J313" i="1"/>
  <c r="J314" i="1"/>
  <c r="J315" i="1"/>
  <c r="J316" i="1"/>
  <c r="J318" i="1"/>
  <c r="J319" i="1"/>
  <c r="J320" i="1"/>
  <c r="J322" i="1"/>
  <c r="J323" i="1"/>
  <c r="J324" i="1"/>
  <c r="J325" i="1"/>
  <c r="J327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6" i="1"/>
  <c r="J347" i="1"/>
  <c r="J348" i="1"/>
  <c r="J350" i="1"/>
  <c r="J351" i="1"/>
  <c r="J354" i="1"/>
  <c r="J355" i="1"/>
  <c r="J358" i="1"/>
  <c r="J359" i="1"/>
  <c r="J360" i="1"/>
  <c r="J363" i="1"/>
  <c r="J366" i="1"/>
  <c r="J372" i="1"/>
  <c r="J373" i="1"/>
  <c r="J374" i="1"/>
  <c r="J380" i="1"/>
  <c r="J381" i="1"/>
  <c r="J382" i="1"/>
  <c r="J386" i="1"/>
  <c r="J388" i="1"/>
  <c r="J389" i="1"/>
  <c r="J391" i="1"/>
  <c r="J392" i="1"/>
  <c r="J393" i="1"/>
  <c r="J394" i="1"/>
  <c r="J395" i="1"/>
  <c r="J397" i="1"/>
  <c r="J398" i="1"/>
  <c r="J401" i="1"/>
  <c r="J402" i="1"/>
  <c r="J403" i="1"/>
  <c r="J404" i="1"/>
  <c r="J406" i="1"/>
  <c r="J407" i="1"/>
  <c r="J408" i="1"/>
  <c r="J411" i="1"/>
  <c r="J412" i="1"/>
  <c r="J416" i="1"/>
  <c r="J417" i="1"/>
  <c r="J418" i="1"/>
  <c r="J420" i="1"/>
  <c r="J421" i="1"/>
  <c r="J422" i="1"/>
  <c r="J426" i="1"/>
  <c r="J427" i="1"/>
  <c r="J432" i="1"/>
</calcChain>
</file>

<file path=xl/sharedStrings.xml><?xml version="1.0" encoding="utf-8"?>
<sst xmlns="http://schemas.openxmlformats.org/spreadsheetml/2006/main" count="7913" uniqueCount="811">
  <si>
    <t>ERP</t>
  </si>
  <si>
    <t>HAAT</t>
  </si>
  <si>
    <t>RCAMSL</t>
  </si>
  <si>
    <t>RCAGL</t>
  </si>
  <si>
    <t>WLBZ</t>
  </si>
  <si>
    <t>KML/Fill/Text</t>
  </si>
  <si>
    <t>DT</t>
  </si>
  <si>
    <t>CP</t>
  </si>
  <si>
    <t>BANGOR</t>
  </si>
  <si>
    <t>ME</t>
  </si>
  <si>
    <t>US</t>
  </si>
  <si>
    <t>-</t>
  </si>
  <si>
    <t>kW</t>
  </si>
  <si>
    <t>m</t>
  </si>
  <si>
    <t>N</t>
  </si>
  <si>
    <t>W</t>
  </si>
  <si>
    <t>km</t>
  </si>
  <si>
    <t>mi</t>
  </si>
  <si>
    <t>37.45°</t>
  </si>
  <si>
    <t>WKOB-LD</t>
  </si>
  <si>
    <t>LD</t>
  </si>
  <si>
    <t>LIC</t>
  </si>
  <si>
    <t>NEW</t>
  </si>
  <si>
    <t>NY</t>
  </si>
  <si>
    <t>BLDVL--20100222ACI</t>
  </si>
  <si>
    <t>232.35°</t>
  </si>
  <si>
    <t>WSBE-TV</t>
  </si>
  <si>
    <t>PROVIDENCE</t>
  </si>
  <si>
    <t>RI</t>
  </si>
  <si>
    <t>183.29°</t>
  </si>
  <si>
    <t>WJLP</t>
  </si>
  <si>
    <t>NJ</t>
  </si>
  <si>
    <t>232.62°</t>
  </si>
  <si>
    <t>232.17°</t>
  </si>
  <si>
    <t>TX</t>
  </si>
  <si>
    <t>232.60°</t>
  </si>
  <si>
    <t>WGCI-LD</t>
  </si>
  <si>
    <t>SKOWHEGAN</t>
  </si>
  <si>
    <t>24.72°</t>
  </si>
  <si>
    <t>WHDT-LD</t>
  </si>
  <si>
    <t>BOSTON</t>
  </si>
  <si>
    <t>MA</t>
  </si>
  <si>
    <t>96.38°</t>
  </si>
  <si>
    <t>W39AR</t>
  </si>
  <si>
    <t>CONCORD</t>
  </si>
  <si>
    <t>NH</t>
  </si>
  <si>
    <t>BDISDVL--20101223ABO</t>
  </si>
  <si>
    <t>356.30°</t>
  </si>
  <si>
    <t>WPXO-LD</t>
  </si>
  <si>
    <t>BDISDVL--20090630ACB</t>
  </si>
  <si>
    <t>232.48°</t>
  </si>
  <si>
    <t>SPRINGFIELD</t>
  </si>
  <si>
    <t>235.07°</t>
  </si>
  <si>
    <t>DA</t>
  </si>
  <si>
    <t>235.97°</t>
  </si>
  <si>
    <t>WEXZ-LD</t>
  </si>
  <si>
    <t>BMPDVL--20140626ABU</t>
  </si>
  <si>
    <t>36.06°</t>
  </si>
  <si>
    <t>27.47°</t>
  </si>
  <si>
    <t>WNYX-LD</t>
  </si>
  <si>
    <t>232.01°</t>
  </si>
  <si>
    <t>WLLB-LD</t>
  </si>
  <si>
    <t>PORTLAND</t>
  </si>
  <si>
    <t>25.77°</t>
  </si>
  <si>
    <t>WXXW-LP</t>
  </si>
  <si>
    <t>BINGHAMTON</t>
  </si>
  <si>
    <t>BLTVL--20060515AAC</t>
  </si>
  <si>
    <t>267.03°</t>
  </si>
  <si>
    <t>WNYZ-LP</t>
  </si>
  <si>
    <t>BLTVL--20080128ACC</t>
  </si>
  <si>
    <t>WRGB</t>
  </si>
  <si>
    <t>SCHENECTADY</t>
  </si>
  <si>
    <t>BMLCDT--20110816AAF</t>
  </si>
  <si>
    <t>277.96°</t>
  </si>
  <si>
    <t>APP</t>
  </si>
  <si>
    <t>WVII-TV</t>
  </si>
  <si>
    <t>BLCDT--20090225AAR</t>
  </si>
  <si>
    <t>38.24°</t>
  </si>
  <si>
    <t>WNYA</t>
  </si>
  <si>
    <t>PITTSFIELD</t>
  </si>
  <si>
    <t>278.32°</t>
  </si>
  <si>
    <t>W07DR-D</t>
  </si>
  <si>
    <t>MANCHESTER</t>
  </si>
  <si>
    <t>BDCCDVL--20110107ABC</t>
  </si>
  <si>
    <t>337.69°</t>
  </si>
  <si>
    <t>WABC-TV</t>
  </si>
  <si>
    <t>BLCDT--20121031ABC</t>
  </si>
  <si>
    <t>WBNG-TV</t>
  </si>
  <si>
    <t>BLCDT--20121218ABM</t>
  </si>
  <si>
    <t>266.41°</t>
  </si>
  <si>
    <t>WXXA-TV</t>
  </si>
  <si>
    <t>ALBANY</t>
  </si>
  <si>
    <t>BLCDT--20130916ADN</t>
  </si>
  <si>
    <t>BMPCDT--20080620AMV</t>
  </si>
  <si>
    <t>WICZ-TV</t>
  </si>
  <si>
    <t>266.36°</t>
  </si>
  <si>
    <t>DX</t>
  </si>
  <si>
    <t>WPRI-TV</t>
  </si>
  <si>
    <t>184.04°</t>
  </si>
  <si>
    <t>WVNY</t>
  </si>
  <si>
    <t>BURLINGTON</t>
  </si>
  <si>
    <t>VT</t>
  </si>
  <si>
    <t>332.66°</t>
  </si>
  <si>
    <t>WNJB</t>
  </si>
  <si>
    <t>BLEDT--20110427ABF</t>
  </si>
  <si>
    <t>235.38°</t>
  </si>
  <si>
    <t>WNJN</t>
  </si>
  <si>
    <t>MONTCLAIR</t>
  </si>
  <si>
    <t>BLCDT--20060320AFC</t>
  </si>
  <si>
    <t>SHERBROOKE</t>
  </si>
  <si>
    <t>QC</t>
  </si>
  <si>
    <t>CA</t>
  </si>
  <si>
    <t>346.63°</t>
  </si>
  <si>
    <t>WEDN</t>
  </si>
  <si>
    <t>NORWICH</t>
  </si>
  <si>
    <t>CT</t>
  </si>
  <si>
    <t>BLEDT--20090618ACB</t>
  </si>
  <si>
    <t>219.00°</t>
  </si>
  <si>
    <t>WMUR-TV</t>
  </si>
  <si>
    <t>BLCDT--20090616ABF</t>
  </si>
  <si>
    <t>W09CU-D</t>
  </si>
  <si>
    <t>BMPDVL--20080211AEO</t>
  </si>
  <si>
    <t>244.34°</t>
  </si>
  <si>
    <t>WYXN-LD</t>
  </si>
  <si>
    <t>BDISDVL--20091125AAH</t>
  </si>
  <si>
    <t>W09CZ-D</t>
  </si>
  <si>
    <t>ROSLYN</t>
  </si>
  <si>
    <t>229.80°</t>
  </si>
  <si>
    <t>232.02°</t>
  </si>
  <si>
    <t>WVER</t>
  </si>
  <si>
    <t>RUTLAND</t>
  </si>
  <si>
    <t>BLEDT--20050608AGC</t>
  </si>
  <si>
    <t>314.01°</t>
  </si>
  <si>
    <t>WVTA</t>
  </si>
  <si>
    <t>WINDSOR</t>
  </si>
  <si>
    <t>WCTX</t>
  </si>
  <si>
    <t>233.69°</t>
  </si>
  <si>
    <t>WTNH</t>
  </si>
  <si>
    <t>WCBB</t>
  </si>
  <si>
    <t>AUGUSTA</t>
  </si>
  <si>
    <t>BLEDT--20090227AAF</t>
  </si>
  <si>
    <t>26.44°</t>
  </si>
  <si>
    <t>WHTX-LD</t>
  </si>
  <si>
    <t>HARTFORD</t>
  </si>
  <si>
    <t>BMPTVL--19940412CF</t>
  </si>
  <si>
    <t>240.56°</t>
  </si>
  <si>
    <t>BLTVL--19950228IL</t>
  </si>
  <si>
    <t>WWDP</t>
  </si>
  <si>
    <t>NORWELL</t>
  </si>
  <si>
    <t>BLCDT--20090227ABX</t>
  </si>
  <si>
    <t>157.45°</t>
  </si>
  <si>
    <t>WMFP</t>
  </si>
  <si>
    <t>FOXBOROUGH</t>
  </si>
  <si>
    <t>WNXY-LD</t>
  </si>
  <si>
    <t>BDISDVL--20101004ACS</t>
  </si>
  <si>
    <t>320.73°</t>
  </si>
  <si>
    <t>WWLP</t>
  </si>
  <si>
    <t>BLCDT--20090612AJV</t>
  </si>
  <si>
    <t>255.46°</t>
  </si>
  <si>
    <t>WENH-TV</t>
  </si>
  <si>
    <t>DURHAM</t>
  </si>
  <si>
    <t>2.09°</t>
  </si>
  <si>
    <t>WPNY-LP</t>
  </si>
  <si>
    <t>BLTVL--20060428ABO</t>
  </si>
  <si>
    <t>286.30°</t>
  </si>
  <si>
    <t>WPIX</t>
  </si>
  <si>
    <t>BXLCDT--20140530AMS</t>
  </si>
  <si>
    <t>235.98°</t>
  </si>
  <si>
    <t>286.29°</t>
  </si>
  <si>
    <t>WNET</t>
  </si>
  <si>
    <t>NEWARK</t>
  </si>
  <si>
    <t>WNYT</t>
  </si>
  <si>
    <t>WNAC-TV</t>
  </si>
  <si>
    <t>BLCDT--20090612AFT</t>
  </si>
  <si>
    <t>182.95°</t>
  </si>
  <si>
    <t>MONTRAL</t>
  </si>
  <si>
    <t>332.48°</t>
  </si>
  <si>
    <t>BLCDT--20090619ADK</t>
  </si>
  <si>
    <t>WGBY-TV</t>
  </si>
  <si>
    <t>263.17°</t>
  </si>
  <si>
    <t>WMBQ-CD</t>
  </si>
  <si>
    <t>DC</t>
  </si>
  <si>
    <t>WNDT-CD</t>
  </si>
  <si>
    <t>MANHATTAN</t>
  </si>
  <si>
    <t>BLCDT--20061113ABH</t>
  </si>
  <si>
    <t>W14DA-D</t>
  </si>
  <si>
    <t>HARPSWELL</t>
  </si>
  <si>
    <t>33.40°</t>
  </si>
  <si>
    <t>WPTZ</t>
  </si>
  <si>
    <t>BLCDT--20070116ACW</t>
  </si>
  <si>
    <t>332.65°</t>
  </si>
  <si>
    <t>WYBN-LD</t>
  </si>
  <si>
    <t>COBLESKILL</t>
  </si>
  <si>
    <t>BLDTL--20111020AFP</t>
  </si>
  <si>
    <t>268.78°</t>
  </si>
  <si>
    <t>PLATTSBURGH</t>
  </si>
  <si>
    <t>278.02°</t>
  </si>
  <si>
    <t>WNNE</t>
  </si>
  <si>
    <t>MONTPELIER</t>
  </si>
  <si>
    <t>W15DS-D</t>
  </si>
  <si>
    <t>BNPDTL--20100728AFJ</t>
  </si>
  <si>
    <t>34.89°</t>
  </si>
  <si>
    <t>BLDTL--20131108AAX</t>
  </si>
  <si>
    <t>33.54°</t>
  </si>
  <si>
    <t>W15DV-D</t>
  </si>
  <si>
    <t>WESTMORELAND</t>
  </si>
  <si>
    <t>BNPDTL--20100514AII</t>
  </si>
  <si>
    <t>312.86°</t>
  </si>
  <si>
    <t>297.72°</t>
  </si>
  <si>
    <t>W16DG-D</t>
  </si>
  <si>
    <t>BDCCDTL--20110715ADW</t>
  </si>
  <si>
    <t>35.23°</t>
  </si>
  <si>
    <t>WFNY-CD</t>
  </si>
  <si>
    <t>GLOVERSVILLE</t>
  </si>
  <si>
    <t>288.65°</t>
  </si>
  <si>
    <t>WFFF-TV</t>
  </si>
  <si>
    <t>WPFO</t>
  </si>
  <si>
    <t>WATERVILLE</t>
  </si>
  <si>
    <t>19.34°</t>
  </si>
  <si>
    <t>WLWC</t>
  </si>
  <si>
    <t>204.62°</t>
  </si>
  <si>
    <t>WNMF-LD</t>
  </si>
  <si>
    <t>MORRISTOWN</t>
  </si>
  <si>
    <t>BLDTL--20130325APT</t>
  </si>
  <si>
    <t>238.04°</t>
  </si>
  <si>
    <t>235.82°</t>
  </si>
  <si>
    <t>W20EF-D</t>
  </si>
  <si>
    <t>WVBG-LP</t>
  </si>
  <si>
    <t>GREENWICH</t>
  </si>
  <si>
    <t>275.77°</t>
  </si>
  <si>
    <t>WPXQ-TV</t>
  </si>
  <si>
    <t>WRIW-CD</t>
  </si>
  <si>
    <t>NEWPORT</t>
  </si>
  <si>
    <t>WBGR-LD</t>
  </si>
  <si>
    <t>BANGOR/DEDHAM</t>
  </si>
  <si>
    <t>33.55°</t>
  </si>
  <si>
    <t>LAWRENCE</t>
  </si>
  <si>
    <t>BLCDT--20061219ACO</t>
  </si>
  <si>
    <t>165.06°</t>
  </si>
  <si>
    <t>WEKW-TV</t>
  </si>
  <si>
    <t>KEENE</t>
  </si>
  <si>
    <t>309.08°</t>
  </si>
  <si>
    <t>WMBC-TV</t>
  </si>
  <si>
    <t>NEWTON</t>
  </si>
  <si>
    <t>WVVH-CD</t>
  </si>
  <si>
    <t>SOUTHAMPTON</t>
  </si>
  <si>
    <t>210.67°</t>
  </si>
  <si>
    <t>WVIA-TV</t>
  </si>
  <si>
    <t>SCRANTON</t>
  </si>
  <si>
    <t>PA</t>
  </si>
  <si>
    <t>257.96°</t>
  </si>
  <si>
    <t>WUTF-TV</t>
  </si>
  <si>
    <t>WORCESTER</t>
  </si>
  <si>
    <t>172.81°</t>
  </si>
  <si>
    <t>WGBH-TV</t>
  </si>
  <si>
    <t>WFXZ-CD</t>
  </si>
  <si>
    <t>277.11°</t>
  </si>
  <si>
    <t>WYPX-TV</t>
  </si>
  <si>
    <t>AMSTERDAM</t>
  </si>
  <si>
    <t>278.30°</t>
  </si>
  <si>
    <t>WCCT-TV</t>
  </si>
  <si>
    <t>WATERBURY</t>
  </si>
  <si>
    <t>BLCDT--20090911ABK</t>
  </si>
  <si>
    <t>240.85°</t>
  </si>
  <si>
    <t>WCVB-TV</t>
  </si>
  <si>
    <t>BXMLCDT--20021129AAE</t>
  </si>
  <si>
    <t>WBZ-TV</t>
  </si>
  <si>
    <t>WSHM-LD</t>
  </si>
  <si>
    <t>253.93°</t>
  </si>
  <si>
    <t>WNYI</t>
  </si>
  <si>
    <t>ITHACA</t>
  </si>
  <si>
    <t>BLCDT--20100520AEA</t>
  </si>
  <si>
    <t>277.83°</t>
  </si>
  <si>
    <t>W20CQ-D</t>
  </si>
  <si>
    <t>HEMPSTEAD</t>
  </si>
  <si>
    <t>BLDTL--20130912ABS</t>
  </si>
  <si>
    <t>227.10°</t>
  </si>
  <si>
    <t>WBGH-CD</t>
  </si>
  <si>
    <t>266.43°</t>
  </si>
  <si>
    <t>W20CM</t>
  </si>
  <si>
    <t>249.57°</t>
  </si>
  <si>
    <t>TEANECK</t>
  </si>
  <si>
    <t>254.40°</t>
  </si>
  <si>
    <t>W20CS-D</t>
  </si>
  <si>
    <t>BLDTT--20100315ACR</t>
  </si>
  <si>
    <t>313.41°</t>
  </si>
  <si>
    <t>WCAX-TV</t>
  </si>
  <si>
    <t>W46EW-D</t>
  </si>
  <si>
    <t>289.20°</t>
  </si>
  <si>
    <t>WFXQ-CD</t>
  </si>
  <si>
    <t>263.70°</t>
  </si>
  <si>
    <t>WSBK-TV</t>
  </si>
  <si>
    <t>W21CP-D</t>
  </si>
  <si>
    <t>BLDTT--20090601AQC</t>
  </si>
  <si>
    <t>287.29°</t>
  </si>
  <si>
    <t>W25DY-D</t>
  </si>
  <si>
    <t>MONTICELLO</t>
  </si>
  <si>
    <t>255.55°</t>
  </si>
  <si>
    <t>WUTH-CD</t>
  </si>
  <si>
    <t>234.28°</t>
  </si>
  <si>
    <t>WVMA-CD</t>
  </si>
  <si>
    <t>WINCHENDON</t>
  </si>
  <si>
    <t>WBPX-TV</t>
  </si>
  <si>
    <t>273.20°</t>
  </si>
  <si>
    <t>WLEK-LD</t>
  </si>
  <si>
    <t>1.70°</t>
  </si>
  <si>
    <t>WDVB-CD</t>
  </si>
  <si>
    <t>EDISON</t>
  </si>
  <si>
    <t>WNJJ-LD</t>
  </si>
  <si>
    <t>PATERSON</t>
  </si>
  <si>
    <t>242.49°</t>
  </si>
  <si>
    <t>WXNY-LD</t>
  </si>
  <si>
    <t>BDISDTL--20100421AAT</t>
  </si>
  <si>
    <t>W22DO-D</t>
  </si>
  <si>
    <t>UTICA</t>
  </si>
  <si>
    <t>BLDTT--20111024AES</t>
  </si>
  <si>
    <t>286.26°</t>
  </si>
  <si>
    <t>WEPT-CD</t>
  </si>
  <si>
    <t>NEWBURGH</t>
  </si>
  <si>
    <t>263.16°</t>
  </si>
  <si>
    <t>WCWN</t>
  </si>
  <si>
    <t>W23EI-D</t>
  </si>
  <si>
    <t>LINCOLN</t>
  </si>
  <si>
    <t>BNPDTL--20100505AKA</t>
  </si>
  <si>
    <t>32.67°</t>
  </si>
  <si>
    <t>WLED-TV</t>
  </si>
  <si>
    <t>LITTLETON</t>
  </si>
  <si>
    <t>349.96°</t>
  </si>
  <si>
    <t>BLDTL--20110113ABM</t>
  </si>
  <si>
    <t>WTBY-TV</t>
  </si>
  <si>
    <t>POUGHKEEPSIE</t>
  </si>
  <si>
    <t>W35DK-D</t>
  </si>
  <si>
    <t>SUSSEX</t>
  </si>
  <si>
    <t>244.48°</t>
  </si>
  <si>
    <t>W25FA-D</t>
  </si>
  <si>
    <t>WNPI-DT</t>
  </si>
  <si>
    <t>NORWOOD</t>
  </si>
  <si>
    <t>BLEDT--20050715ABZ</t>
  </si>
  <si>
    <t>310.16°</t>
  </si>
  <si>
    <t>WFTY-DT</t>
  </si>
  <si>
    <t>SMITHTOWN</t>
  </si>
  <si>
    <t>BLCDT--20120427ABO</t>
  </si>
  <si>
    <t>221.22°</t>
  </si>
  <si>
    <t>WNGN-LD</t>
  </si>
  <si>
    <t>TROY</t>
  </si>
  <si>
    <t>291.88°</t>
  </si>
  <si>
    <t>W23ER-D</t>
  </si>
  <si>
    <t>253.12°</t>
  </si>
  <si>
    <t>WMHT</t>
  </si>
  <si>
    <t>WLNE-TV</t>
  </si>
  <si>
    <t>255.41°</t>
  </si>
  <si>
    <t>BLTTL--20121024AAA</t>
  </si>
  <si>
    <t>KINGSTON</t>
  </si>
  <si>
    <t>BLCDT--20110523AEL</t>
  </si>
  <si>
    <t>259.56°</t>
  </si>
  <si>
    <t>WTEN</t>
  </si>
  <si>
    <t>WNYE-TV</t>
  </si>
  <si>
    <t>W24DB-D</t>
  </si>
  <si>
    <t>255.79°</t>
  </si>
  <si>
    <t>WMEB-TV</t>
  </si>
  <si>
    <t>BLEDT--20110729ADO</t>
  </si>
  <si>
    <t>38.22°</t>
  </si>
  <si>
    <t>W38CB</t>
  </si>
  <si>
    <t>WWOR-TV</t>
  </si>
  <si>
    <t>SECAUCUS</t>
  </si>
  <si>
    <t>WASA-LD</t>
  </si>
  <si>
    <t>BLDTL--20091222AQB</t>
  </si>
  <si>
    <t>BLDTT--20100506AEI</t>
  </si>
  <si>
    <t>WNGX-LD</t>
  </si>
  <si>
    <t>BDISDTL--20111026AAB</t>
  </si>
  <si>
    <t>284.02°</t>
  </si>
  <si>
    <t>WRNN-TV</t>
  </si>
  <si>
    <t>WYOU</t>
  </si>
  <si>
    <t>WAYMART</t>
  </si>
  <si>
    <t>BLCDT--20091211ACN</t>
  </si>
  <si>
    <t>WCRN-LD</t>
  </si>
  <si>
    <t>232.99°</t>
  </si>
  <si>
    <t>WJAR</t>
  </si>
  <si>
    <t>WMTW</t>
  </si>
  <si>
    <t>BLCDT--20100423ABV</t>
  </si>
  <si>
    <t>29.03°</t>
  </si>
  <si>
    <t>WGGB-TV</t>
  </si>
  <si>
    <t>263.18°</t>
  </si>
  <si>
    <t>W40BO-D</t>
  </si>
  <si>
    <t>WYCU-LD</t>
  </si>
  <si>
    <t>BLDTL--20121214ABJ</t>
  </si>
  <si>
    <t>323.38°</t>
  </si>
  <si>
    <t>WFUT-DT</t>
  </si>
  <si>
    <t>WNYJ-LD</t>
  </si>
  <si>
    <t>BLTTL--20070223AHI</t>
  </si>
  <si>
    <t>W26CE</t>
  </si>
  <si>
    <t>BLTTL--20080306ABU</t>
  </si>
  <si>
    <t>217.33°</t>
  </si>
  <si>
    <t>BLDTL--20091123AAX</t>
  </si>
  <si>
    <t>W26EP-D</t>
  </si>
  <si>
    <t>POTSDAM</t>
  </si>
  <si>
    <t>BNPDTL--20090825BCA</t>
  </si>
  <si>
    <t>311.03°</t>
  </si>
  <si>
    <t>231.08°</t>
  </si>
  <si>
    <t>W39EB-D</t>
  </si>
  <si>
    <t>256.77°</t>
  </si>
  <si>
    <t>WNEP-TV</t>
  </si>
  <si>
    <t>257.95°</t>
  </si>
  <si>
    <t>333.28°</t>
  </si>
  <si>
    <t>WUNI</t>
  </si>
  <si>
    <t>MARLBOROUGH</t>
  </si>
  <si>
    <t>BLCDT--20120821ABC</t>
  </si>
  <si>
    <t>162.95°</t>
  </si>
  <si>
    <t>W27BL</t>
  </si>
  <si>
    <t>BERLIN</t>
  </si>
  <si>
    <t>BLTTL--19950530IQ</t>
  </si>
  <si>
    <t>1.59°</t>
  </si>
  <si>
    <t>WWJE-DT</t>
  </si>
  <si>
    <t>DERRY</t>
  </si>
  <si>
    <t>W43CH-D</t>
  </si>
  <si>
    <t>BELVIDERE</t>
  </si>
  <si>
    <t>241.96°</t>
  </si>
  <si>
    <t>WIVT</t>
  </si>
  <si>
    <t>WLNY-TV</t>
  </si>
  <si>
    <t>RIVERHEAD</t>
  </si>
  <si>
    <t>220.72°</t>
  </si>
  <si>
    <t>WOLF-TV</t>
  </si>
  <si>
    <t>HAZLETON</t>
  </si>
  <si>
    <t>W16AL</t>
  </si>
  <si>
    <t>328.99°</t>
  </si>
  <si>
    <t>WHPX-TV</t>
  </si>
  <si>
    <t>W28CM</t>
  </si>
  <si>
    <t>BLTTL--20050418AAQ</t>
  </si>
  <si>
    <t>335.88°</t>
  </si>
  <si>
    <t>WWDG-CD</t>
  </si>
  <si>
    <t>286.25°</t>
  </si>
  <si>
    <t>286.27°</t>
  </si>
  <si>
    <t>W28ES-D</t>
  </si>
  <si>
    <t>235.62°</t>
  </si>
  <si>
    <t>W28DQ-D</t>
  </si>
  <si>
    <t>BLDTL--20120507ABK</t>
  </si>
  <si>
    <t>320.85°</t>
  </si>
  <si>
    <t>WVTB</t>
  </si>
  <si>
    <t>348.18°</t>
  </si>
  <si>
    <t>WTXX-LD</t>
  </si>
  <si>
    <t>243.85°</t>
  </si>
  <si>
    <t>W29DZ-D</t>
  </si>
  <si>
    <t>BNPDTL--20100107AEF</t>
  </si>
  <si>
    <t>24.89°</t>
  </si>
  <si>
    <t>263.82°</t>
  </si>
  <si>
    <t>WMUR-LP</t>
  </si>
  <si>
    <t>BLTTL--20000601AEG</t>
  </si>
  <si>
    <t>349.71°</t>
  </si>
  <si>
    <t>WNEU</t>
  </si>
  <si>
    <t>MERRIMACK</t>
  </si>
  <si>
    <t>W49BE-D</t>
  </si>
  <si>
    <t>HACKETTSTOWN</t>
  </si>
  <si>
    <t>241.90°</t>
  </si>
  <si>
    <t>WKTV</t>
  </si>
  <si>
    <t>BLCDT--20060630ACL</t>
  </si>
  <si>
    <t>286.28°</t>
  </si>
  <si>
    <t>WNYN-LD</t>
  </si>
  <si>
    <t>232.54°</t>
  </si>
  <si>
    <t>DWPXU-LD</t>
  </si>
  <si>
    <t>232.52°</t>
  </si>
  <si>
    <t>W46ED-D</t>
  </si>
  <si>
    <t>WILLSBORO</t>
  </si>
  <si>
    <t>322.74°</t>
  </si>
  <si>
    <t>W31EF-D</t>
  </si>
  <si>
    <t>W47DH-D</t>
  </si>
  <si>
    <t>256.13°</t>
  </si>
  <si>
    <t>320.83°</t>
  </si>
  <si>
    <t>332.23°</t>
  </si>
  <si>
    <t>WEDH</t>
  </si>
  <si>
    <t>WCKD-LP</t>
  </si>
  <si>
    <t>BLTT--20140930AJL</t>
  </si>
  <si>
    <t>BLCDT--20060420ABG</t>
  </si>
  <si>
    <t>BXLCDT--20101222AAI</t>
  </si>
  <si>
    <t>WXTV-DT</t>
  </si>
  <si>
    <t>W30DM-D</t>
  </si>
  <si>
    <t>BLDTT--20111118ARB</t>
  </si>
  <si>
    <t>300.63°</t>
  </si>
  <si>
    <t>WTIC-TV</t>
  </si>
  <si>
    <t>WCSH</t>
  </si>
  <si>
    <t>14.61°</t>
  </si>
  <si>
    <t>WFXT</t>
  </si>
  <si>
    <t>WSKG-TV</t>
  </si>
  <si>
    <t>266.44°</t>
  </si>
  <si>
    <t>WPXN-TV</t>
  </si>
  <si>
    <t>W31BP</t>
  </si>
  <si>
    <t>278.08°</t>
  </si>
  <si>
    <t>W34DI-D</t>
  </si>
  <si>
    <t>WSWB</t>
  </si>
  <si>
    <t>332.42°</t>
  </si>
  <si>
    <t>WRNT-LD</t>
  </si>
  <si>
    <t>WMNE-LP</t>
  </si>
  <si>
    <t>24.14°</t>
  </si>
  <si>
    <t>BLCDT--20040723ACG</t>
  </si>
  <si>
    <t>WDPX-TV</t>
  </si>
  <si>
    <t>WOBURN</t>
  </si>
  <si>
    <t>BLDTL--20090908ACO</t>
  </si>
  <si>
    <t>W32EI-D</t>
  </si>
  <si>
    <t>BLTTL--20121024AAB</t>
  </si>
  <si>
    <t>W47CM</t>
  </si>
  <si>
    <t>WUCB-LD</t>
  </si>
  <si>
    <t>277.64°</t>
  </si>
  <si>
    <t>WQPX-TV</t>
  </si>
  <si>
    <t>BLCDT--20060629AFR</t>
  </si>
  <si>
    <t>255.77°</t>
  </si>
  <si>
    <t>BPTTL--20140910ADV</t>
  </si>
  <si>
    <t>WYDN</t>
  </si>
  <si>
    <t>LOWELL</t>
  </si>
  <si>
    <t>WORK-LP</t>
  </si>
  <si>
    <t>NASHUA</t>
  </si>
  <si>
    <t>BLTTL--19950728IB</t>
  </si>
  <si>
    <t>337.84°</t>
  </si>
  <si>
    <t>WPXG-TV</t>
  </si>
  <si>
    <t>WCBS-TV</t>
  </si>
  <si>
    <t>W41DO-D</t>
  </si>
  <si>
    <t>BDFCDTL--20100513ABK</t>
  </si>
  <si>
    <t>233.91°</t>
  </si>
  <si>
    <t>W34EQ-D</t>
  </si>
  <si>
    <t>WPXT</t>
  </si>
  <si>
    <t>13.40°</t>
  </si>
  <si>
    <t>BLCDT--20090819AGR</t>
  </si>
  <si>
    <t>WFXV</t>
  </si>
  <si>
    <t>WYCI</t>
  </si>
  <si>
    <t>322.15°</t>
  </si>
  <si>
    <t>WRDM-CD</t>
  </si>
  <si>
    <t>240.74°</t>
  </si>
  <si>
    <t>WVIT</t>
  </si>
  <si>
    <t>WFYW-LP</t>
  </si>
  <si>
    <t>FAIRFIELD/WATERVILLE</t>
  </si>
  <si>
    <t>28.17°</t>
  </si>
  <si>
    <t>W38DL-D</t>
  </si>
  <si>
    <t>ADAMS</t>
  </si>
  <si>
    <t>281.17°</t>
  </si>
  <si>
    <t>WHDH</t>
  </si>
  <si>
    <t>159.68°</t>
  </si>
  <si>
    <t>WHDH-TV</t>
  </si>
  <si>
    <t>BLCDT--20070126ACX</t>
  </si>
  <si>
    <t>343.52°</t>
  </si>
  <si>
    <t>WNJU</t>
  </si>
  <si>
    <t>LINDEN</t>
  </si>
  <si>
    <t>BLDTL--20090908ACQ</t>
  </si>
  <si>
    <t>WFSB</t>
  </si>
  <si>
    <t>243.13°</t>
  </si>
  <si>
    <t>243.09°</t>
  </si>
  <si>
    <t>WMEA-TV</t>
  </si>
  <si>
    <t>BIDDEFORD</t>
  </si>
  <si>
    <t>17.15°</t>
  </si>
  <si>
    <t>BNPDTL--20090825AYT</t>
  </si>
  <si>
    <t>141.15°</t>
  </si>
  <si>
    <t>WCEA-LD</t>
  </si>
  <si>
    <t>101.03°</t>
  </si>
  <si>
    <t>WYCN-CD</t>
  </si>
  <si>
    <t>BLDTA--20141008ABL</t>
  </si>
  <si>
    <t>W50DP-D</t>
  </si>
  <si>
    <t>HANOVER</t>
  </si>
  <si>
    <t>333.91°</t>
  </si>
  <si>
    <t>WTKO-CD</t>
  </si>
  <si>
    <t>ONEIDA</t>
  </si>
  <si>
    <t>283.52°</t>
  </si>
  <si>
    <t>WCFE-TV</t>
  </si>
  <si>
    <t>321.44°</t>
  </si>
  <si>
    <t>WNBC</t>
  </si>
  <si>
    <t>WSPX-TV</t>
  </si>
  <si>
    <t>SYRACUSE</t>
  </si>
  <si>
    <t>280.84°</t>
  </si>
  <si>
    <t>BLCDT--20091217AEX</t>
  </si>
  <si>
    <t>WBTS-LD</t>
  </si>
  <si>
    <t>169.54°</t>
  </si>
  <si>
    <t>WHCT-LD</t>
  </si>
  <si>
    <t>240.77°</t>
  </si>
  <si>
    <t>W38FU-D</t>
  </si>
  <si>
    <t>BLDTT--20091021AAO</t>
  </si>
  <si>
    <t>BLTTL--20070904ABG</t>
  </si>
  <si>
    <t>BXLEDT--20091029AAJ</t>
  </si>
  <si>
    <t>LOUDON</t>
  </si>
  <si>
    <t>351.05°</t>
  </si>
  <si>
    <t>BDISDTL--20121228ADO</t>
  </si>
  <si>
    <t>256.76°</t>
  </si>
  <si>
    <t>BPDTL--20141202AAH</t>
  </si>
  <si>
    <t>BNPDTL--20100728AFN</t>
  </si>
  <si>
    <t>BLCDT--20110615ABP</t>
  </si>
  <si>
    <t>135.37°</t>
  </si>
  <si>
    <t>BLCDT--20050214AGS</t>
  </si>
  <si>
    <t>BXLCDT--20101222AAX</t>
  </si>
  <si>
    <t>WEDY</t>
  </si>
  <si>
    <t>230.31°</t>
  </si>
  <si>
    <t>W41EG-D</t>
  </si>
  <si>
    <t>BNPDTL--20100505AKC</t>
  </si>
  <si>
    <t>WLVI</t>
  </si>
  <si>
    <t>CAMBRIDGE</t>
  </si>
  <si>
    <t>BLCDT--20110325AAM</t>
  </si>
  <si>
    <t>BLDTL--20100324ABI</t>
  </si>
  <si>
    <t>BLTTL--20080903ABL</t>
  </si>
  <si>
    <t>BLDTL--20110224ACL</t>
  </si>
  <si>
    <t>BLEDT--20050526ACA</t>
  </si>
  <si>
    <t>BLDTL--20090903AAL</t>
  </si>
  <si>
    <t>283.88°</t>
  </si>
  <si>
    <t>BMPDTL--20140710AAE</t>
  </si>
  <si>
    <t>W43DH-D</t>
  </si>
  <si>
    <t>ETNA</t>
  </si>
  <si>
    <t>BNPDTL--20100504AMD</t>
  </si>
  <si>
    <t>31.76°</t>
  </si>
  <si>
    <t>BDCCDTL--20141107AAG</t>
  </si>
  <si>
    <t>WGBX-TV</t>
  </si>
  <si>
    <t>WNJT</t>
  </si>
  <si>
    <t>TRENTON</t>
  </si>
  <si>
    <t>BLEDT--20110427ABE</t>
  </si>
  <si>
    <t>232.14°</t>
  </si>
  <si>
    <t>BLCDT--20110504ABZ</t>
  </si>
  <si>
    <t>BXPCDT--20110815ABF</t>
  </si>
  <si>
    <t>BLCDT--20050705AAH</t>
  </si>
  <si>
    <t>WNYW</t>
  </si>
  <si>
    <t>BXLCDT--20120615ACZ</t>
  </si>
  <si>
    <t>BLEDT--20091210ACU</t>
  </si>
  <si>
    <t>BLDTL--20121119AGB</t>
  </si>
  <si>
    <t>BLCDT--20120706AAG</t>
  </si>
  <si>
    <t>BLTTL--20070223AHL</t>
  </si>
  <si>
    <t>64.16°</t>
  </si>
  <si>
    <t>BLDTT--20111118ARE</t>
  </si>
  <si>
    <t>289.19°</t>
  </si>
  <si>
    <t>BLDTA--20140512ACR</t>
  </si>
  <si>
    <t>WUVN</t>
  </si>
  <si>
    <t>CLAREMONT</t>
  </si>
  <si>
    <t>BLDTA--20141217ABE</t>
  </si>
  <si>
    <t>BLTT--20011009ABI</t>
  </si>
  <si>
    <t>BMPDTL--20120227AAF</t>
  </si>
  <si>
    <t>288.24°</t>
  </si>
  <si>
    <t>248.87°</t>
  </si>
  <si>
    <t>WEDW</t>
  </si>
  <si>
    <t>BRIDGEPORT</t>
  </si>
  <si>
    <t>BLEDT--20100513ABG</t>
  </si>
  <si>
    <t>233.47°</t>
  </si>
  <si>
    <t>BLCDT--20040930BBS</t>
  </si>
  <si>
    <t>BLEDT--20120831AAG</t>
  </si>
  <si>
    <t>BLTT--19930517IG</t>
  </si>
  <si>
    <t>241.92°</t>
  </si>
  <si>
    <t>FLUSHING</t>
  </si>
  <si>
    <t>230.98°</t>
  </si>
  <si>
    <t>BLCDT--20091217AEY</t>
  </si>
  <si>
    <t>W50EL-D</t>
  </si>
  <si>
    <t>BDCCDTL--20110630AFX</t>
  </si>
  <si>
    <t>WNWT-LD</t>
  </si>
  <si>
    <t>BLDTL--20111221AFV</t>
  </si>
  <si>
    <t>BPDTL--20120402ARL</t>
  </si>
  <si>
    <t>WDMR-LD</t>
  </si>
  <si>
    <t>BLDTL--20121009ABZ</t>
  </si>
  <si>
    <t>255.48°</t>
  </si>
  <si>
    <t>BLEDT--20061121ADG</t>
  </si>
  <si>
    <t>236.62°</t>
  </si>
  <si>
    <t>Call  Q</t>
  </si>
  <si>
    <t>---KML Maps --</t>
  </si>
  <si>
    <t>Chan</t>
  </si>
  <si>
    <t>nel S</t>
  </si>
  <si>
    <t>s          City</t>
  </si>
  <si>
    <t>PACIFIC AND SOUTHERN, LLC</t>
  </si>
  <si>
    <t>NEW YORK</t>
  </si>
  <si>
    <t>HC2 LPTV HOLDINGS, INC.</t>
  </si>
  <si>
    <t>CP MOD</t>
  </si>
  <si>
    <t>RHODE ISLAND PBS FOUNDATION</t>
  </si>
  <si>
    <t>MIDDLETOWN TOWNSHIP</t>
  </si>
  <si>
    <t>PMCM TV, LLC</t>
  </si>
  <si>
    <t>GUENTER MARKSTEINER</t>
  </si>
  <si>
    <t>NEW HAMPSHIRE 1 NETWORK, INC.</t>
  </si>
  <si>
    <t>EAST ORANGE</t>
  </si>
  <si>
    <t>CARIBEVISION HOLDINGS, INC.</t>
  </si>
  <si>
    <t>SPRINGFIELD TOWNSHIP</t>
  </si>
  <si>
    <t>STATION X, INC.</t>
  </si>
  <si>
    <t>NEW YORK SPECTRUM HOLDING COMPANY, LLC</t>
  </si>
  <si>
    <t>WORD OF GOD FELLOWSHIP, INC.</t>
  </si>
  <si>
    <t>JOHNSON BROADCASTING COMPANY, INC.</t>
  </si>
  <si>
    <t>SOUND OF LONG ISLAND, INC.</t>
  </si>
  <si>
    <t>WRGB LICENSEE, LLC</t>
  </si>
  <si>
    <t>BANGOR COMMUNICATIONS, LLC.</t>
  </si>
  <si>
    <t>WNYT-TV, LLC</t>
  </si>
  <si>
    <t>AMERICAN BROADCASTING COMPANIES, INC</t>
  </si>
  <si>
    <t>WBNG LICENSE, LLC</t>
  </si>
  <si>
    <t>WXXA-TV LLC</t>
  </si>
  <si>
    <t>STAINLESS BROADCASTING, L.P.</t>
  </si>
  <si>
    <t>NEXSTAR BROADCASTING, INC.</t>
  </si>
  <si>
    <t>MISSION BROADCASTING, INC.</t>
  </si>
  <si>
    <t>NEW BRUNSWICK</t>
  </si>
  <si>
    <t>NEW JERSEY PUBLIC BROADCASTING AUTHORITY</t>
  </si>
  <si>
    <t>CONNECTICUT PUBLIC BROADCASTING, INC.</t>
  </si>
  <si>
    <t>HEARST PROPERTIES INC.</t>
  </si>
  <si>
    <t>PORT JERVIS</t>
  </si>
  <si>
    <t>VENTURE TECHNOLOGIES GROUP, LLC</t>
  </si>
  <si>
    <t>K MEDIA, INC.</t>
  </si>
  <si>
    <t>VERMONT ETV, INC.</t>
  </si>
  <si>
    <t>NEW HAVEN</t>
  </si>
  <si>
    <t>MAINE PUBLIC BROADCASTING CORPORATION</t>
  </si>
  <si>
    <t>ENTRAVISION HOLDINGS, LLC</t>
  </si>
  <si>
    <t>RNN BOSTON LICENSE CO., LLC</t>
  </si>
  <si>
    <t>NRJ TV BOSTON LICENSE CO, LLC</t>
  </si>
  <si>
    <t>NEW HAMPSHIRE PUBLIC BROADCASTING</t>
  </si>
  <si>
    <t>UTICA, ETC.</t>
  </si>
  <si>
    <t>WPIX, LLC</t>
  </si>
  <si>
    <t>WNAC, LLC</t>
  </si>
  <si>
    <t>WGBH EDUCATIONAL FOUNDATION</t>
  </si>
  <si>
    <t>HARPSWELL COMMUNITY BROADCASTING CORPORATION</t>
  </si>
  <si>
    <t>NORTH POLE</t>
  </si>
  <si>
    <t>HEARST STATIONS INC.</t>
  </si>
  <si>
    <t>CABLE AD NET NEW YORK, INC.</t>
  </si>
  <si>
    <t>THE EDGE SPECTRUM, INC.</t>
  </si>
  <si>
    <t>LANDOVER 2 LLC</t>
  </si>
  <si>
    <t>SLEEZER, MICHAEL A</t>
  </si>
  <si>
    <t>PORTLAND (WPFO-TV) LICENSEE, INC.</t>
  </si>
  <si>
    <t>NEW BEDFORD</t>
  </si>
  <si>
    <t>ION MEDIA LICENSE COMPANY, LLC</t>
  </si>
  <si>
    <t>LOCAL MEDIA TV NEW YORK, LLC</t>
  </si>
  <si>
    <t>WIRELESS ACCESS, LLC</t>
  </si>
  <si>
    <t>BLOCK ISLAND</t>
  </si>
  <si>
    <t>ION TELEVISION LICENSE, LLC</t>
  </si>
  <si>
    <t>NBC TELEMUNDO LICENSE LLC</t>
  </si>
  <si>
    <t>MAINE FAMILY BROADCASTING, INC.</t>
  </si>
  <si>
    <t>MOUNTAIN BROADCASTING CORPORATION</t>
  </si>
  <si>
    <t>VIDEO VOICE, INC.</t>
  </si>
  <si>
    <t>NORTHEASTERN PENNSYLVANIA EDUCATIONAL TELEVISION ASSOCIATION</t>
  </si>
  <si>
    <t>ION MEDIA ALBANY LICENSE, INC.</t>
  </si>
  <si>
    <t>TRIBUNE BROADCASTING HARTFORD, LLC</t>
  </si>
  <si>
    <t>CBS TELEVISION LICENSES LLC</t>
  </si>
  <si>
    <t>MEREDITH CORPORATION</t>
  </si>
  <si>
    <t>7THDAY ADVENTIST COMMUNITY HEALTH SERV. OF GTR. NY</t>
  </si>
  <si>
    <t>GRAY TELEVISION LICENSEE, LLC</t>
  </si>
  <si>
    <t>POWNAL, ETC.</t>
  </si>
  <si>
    <t>JOHN MESTER INCOME FAMILY TRUST</t>
  </si>
  <si>
    <t>WOODLAND COMMUNICATIONS, LLC</t>
  </si>
  <si>
    <t>ION MEDIA BOSTON LICENSE, LLC</t>
  </si>
  <si>
    <t>DTV AMERICA CORPORATION</t>
  </si>
  <si>
    <t>TRINITY BROADCASTING OF TEXAS, INC.</t>
  </si>
  <si>
    <t>PUBLIC BROADCASTING COUNCIL OF CENTRAL NY, INC.</t>
  </si>
  <si>
    <t>WCWN LICENSEE, LLC</t>
  </si>
  <si>
    <t>TRINITY BROADCASTING OF NEW YORK, INC.</t>
  </si>
  <si>
    <t>WEST ORANGE</t>
  </si>
  <si>
    <t>ST. LAWRENCE VALLEY EDUCATIONAL TV COUNCIL, INC</t>
  </si>
  <si>
    <t>UNIVISION NEW YORK LLC</t>
  </si>
  <si>
    <t>BRIAN A. LARSON</t>
  </si>
  <si>
    <t>WMHT EDUCATIONAL TELECOMMUNICATIONS</t>
  </si>
  <si>
    <t>CITADEL COMMUNICATIONS, LLC</t>
  </si>
  <si>
    <t>NEXSTAR BROADCASTING , INC.</t>
  </si>
  <si>
    <t>NEW YORK CITY DEPT. OF INFO TECHNOLOGY &amp; TELECOMMUNICATIONS</t>
  </si>
  <si>
    <t>CLARKS SUMMIT</t>
  </si>
  <si>
    <t>NEW AGE MEDIA OF PENNSYLVANIA LICENSE, LLC</t>
  </si>
  <si>
    <t>EAST EDDINGTON</t>
  </si>
  <si>
    <t>FOX TELEVISION STATIONS, LLC</t>
  </si>
  <si>
    <t>KRCA LICENSE LLC, DEBTOR-IN-POSSESSION</t>
  </si>
  <si>
    <t>NEW ROCHELLE</t>
  </si>
  <si>
    <t>WRNN LICENSE COMPANY, LLC</t>
  </si>
  <si>
    <t>TYCHE BROADCASTING, LLC</t>
  </si>
  <si>
    <t>WJAR LICENSEE, LLC</t>
  </si>
  <si>
    <t>CHARLESTOWN, ETC.</t>
  </si>
  <si>
    <t>CROSS HILL COMMUNICATIONS, LLC</t>
  </si>
  <si>
    <t>ATLANTIC BROADCASTING SYSTEMS LLC</t>
  </si>
  <si>
    <t>NORTHEAST GOSPEL BROADCASTING INC.</t>
  </si>
  <si>
    <t>WHITE LAKE</t>
  </si>
  <si>
    <t>LOCAL TV PENNSYLVANIA LICENSE, LLC</t>
  </si>
  <si>
    <t>UNIMAS BOSTON LLC</t>
  </si>
  <si>
    <t>UNIVISION LOCAL MEDIA INC.</t>
  </si>
  <si>
    <t>CBS LITV LLC</t>
  </si>
  <si>
    <t>DIGITAL NETWORKS-NORTHEAST, LLC</t>
  </si>
  <si>
    <t>NEW LONDON</t>
  </si>
  <si>
    <t>ION MEDIA HARTFORD LICENSE, INC.</t>
  </si>
  <si>
    <t>WWDGTV, LLC</t>
  </si>
  <si>
    <t>EDGE SPECTRUM, INC.</t>
  </si>
  <si>
    <t>ST. JOHNSBURY</t>
  </si>
  <si>
    <t>HC2 STATION GROUP, INC.</t>
  </si>
  <si>
    <t>WKTV LICENSEE, LLC</t>
  </si>
  <si>
    <t>TVC NY LICENSE LLC</t>
  </si>
  <si>
    <t>NEW YORK CITY</t>
  </si>
  <si>
    <t>MOUNTAIN LAKES PUB.TELECOMM.COUNCIL</t>
  </si>
  <si>
    <t>CLARKS SUMMIT, ETC.</t>
  </si>
  <si>
    <t>WESTERN FAMILY TELEVISION, INC.</t>
  </si>
  <si>
    <t>WXTV LICENSE PARTNERSHIP, G.P.</t>
  </si>
  <si>
    <t>MANCHESTER, ETC.</t>
  </si>
  <si>
    <t>COX MEDIA GROUP NORTHEAST, LLC</t>
  </si>
  <si>
    <t>WSKG PUBLIC TELECOMMUNICATIONS COUNCIL</t>
  </si>
  <si>
    <t>BURLINGTON, ETC.</t>
  </si>
  <si>
    <t>MPS MEDIA OF SCRANTON LICENSE, LLC</t>
  </si>
  <si>
    <t>GLENS FALLS</t>
  </si>
  <si>
    <t>ADULLAM GOSPEL CHURCH</t>
  </si>
  <si>
    <t>ION MEDIA SCRANTON LICENSE, INC.</t>
  </si>
  <si>
    <t>EDUCATIONAL PUBLIC TV CORPORATION</t>
  </si>
  <si>
    <t>CBS BROADCASTING INC.</t>
  </si>
  <si>
    <t>VENTANA TELEVISION, INC.</t>
  </si>
  <si>
    <t>SARANAC LAKE</t>
  </si>
  <si>
    <t>NEW BRITAIN</t>
  </si>
  <si>
    <t>NANTUCKET ISLAND</t>
  </si>
  <si>
    <t>DTV AMERICA 1, LLC</t>
  </si>
  <si>
    <t>C&amp;M BROADCASTING CORPORATION</t>
  </si>
  <si>
    <t>ACME TV CORP.</t>
  </si>
  <si>
    <t>MOUNTAIN LAKE PUBLIC TELECOMMUNICATIONS COUNCIL</t>
  </si>
  <si>
    <t>ION MEDIA SYRACUSE LICENSE, INC.</t>
  </si>
  <si>
    <t>STATION VENTURE OPERATIONS, LP</t>
  </si>
  <si>
    <t>HARTFORD, NEW HAVEN</t>
  </si>
  <si>
    <t>VINEYARD HAVEN</t>
  </si>
  <si>
    <t>MONROE TOWNSHIP</t>
  </si>
  <si>
    <t>PRESS COMMUNICATIONS, L.L.C.</t>
  </si>
  <si>
    <t>Service Status</t>
  </si>
  <si>
    <t>state</t>
  </si>
  <si>
    <t>file</t>
  </si>
  <si>
    <t>number</t>
  </si>
  <si>
    <t>latDeg</t>
  </si>
  <si>
    <t>latMin</t>
  </si>
  <si>
    <t>latSec</t>
  </si>
  <si>
    <t>lonDeg</t>
  </si>
  <si>
    <t>lonMin</t>
  </si>
  <si>
    <t>lonSec</t>
  </si>
  <si>
    <t>asrn</t>
  </si>
  <si>
    <t>country</t>
  </si>
  <si>
    <t>dist(km)</t>
  </si>
  <si>
    <t>dist(mi)</t>
  </si>
  <si>
    <t>bearing</t>
  </si>
  <si>
    <t>liscensee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</si>
</sst>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9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EC8E-9F9B-494E-805E-0003E1BC64F6}">
  <dimension ref="B2:AI434"/>
  <sheetViews>
    <sheetView tabSelected="1" workbookViewId="0">
      <selection activeCell="AI3" sqref="AI3"/>
    </sheetView>
  </sheetViews>
  <sheetFormatPr defaultRowHeight="15" x14ac:dyDescent="0.25"/>
  <sheetData>
    <row r="2" spans="2:35" x14ac:dyDescent="0.25">
      <c r="B2" s="1" t="s">
        <v>648</v>
      </c>
      <c r="C2" t="s">
        <v>649</v>
      </c>
      <c r="D2" t="s">
        <v>650</v>
      </c>
      <c r="E2" t="s">
        <v>651</v>
      </c>
      <c r="F2" t="s">
        <v>795</v>
      </c>
      <c r="G2" t="s">
        <v>652</v>
      </c>
      <c r="H2" t="s">
        <v>796</v>
      </c>
      <c r="I2" t="s">
        <v>806</v>
      </c>
      <c r="J2" t="s">
        <v>797</v>
      </c>
      <c r="K2" t="s">
        <v>798</v>
      </c>
      <c r="L2" t="s">
        <v>0</v>
      </c>
      <c r="O2" t="s">
        <v>1</v>
      </c>
      <c r="Q2" t="s">
        <v>2</v>
      </c>
      <c r="S2" t="s">
        <v>3</v>
      </c>
      <c r="V2" t="s">
        <v>799</v>
      </c>
      <c r="W2" t="s">
        <v>800</v>
      </c>
      <c r="X2" t="s">
        <v>801</v>
      </c>
      <c r="Z2" t="s">
        <v>802</v>
      </c>
      <c r="AA2" t="s">
        <v>803</v>
      </c>
      <c r="AB2" t="s">
        <v>804</v>
      </c>
      <c r="AC2" t="s">
        <v>805</v>
      </c>
      <c r="AD2" t="s">
        <v>807</v>
      </c>
      <c r="AF2" t="s">
        <v>808</v>
      </c>
      <c r="AH2" t="s">
        <v>809</v>
      </c>
      <c r="AI2" t="s">
        <v>810</v>
      </c>
    </row>
    <row r="3" spans="2:35" x14ac:dyDescent="0.25">
      <c r="B3" s="2" t="s">
        <v>4</v>
      </c>
      <c r="C3" t="s">
        <v>5</v>
      </c>
      <c r="D3">
        <v>2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>
        <f>- -2599</f>
        <v>2599</v>
      </c>
      <c r="K3">
        <v>39644</v>
      </c>
      <c r="L3">
        <v>3</v>
      </c>
      <c r="M3" t="s">
        <v>12</v>
      </c>
      <c r="O3">
        <v>192</v>
      </c>
      <c r="P3" t="s">
        <v>13</v>
      </c>
      <c r="Q3">
        <v>268</v>
      </c>
      <c r="R3" t="s">
        <v>13</v>
      </c>
      <c r="S3">
        <v>21.1</v>
      </c>
      <c r="T3" t="s">
        <v>13</v>
      </c>
      <c r="U3" t="s">
        <v>14</v>
      </c>
      <c r="V3">
        <v>44</v>
      </c>
      <c r="W3">
        <v>44</v>
      </c>
      <c r="X3">
        <v>10.199999999999999</v>
      </c>
      <c r="Y3" t="s">
        <v>15</v>
      </c>
      <c r="Z3">
        <v>68</v>
      </c>
      <c r="AA3">
        <v>40</v>
      </c>
      <c r="AB3">
        <v>15.1</v>
      </c>
      <c r="AC3" t="s">
        <v>11</v>
      </c>
      <c r="AD3">
        <v>334.99</v>
      </c>
      <c r="AE3" t="s">
        <v>16</v>
      </c>
      <c r="AF3">
        <v>208.15</v>
      </c>
      <c r="AG3" t="s">
        <v>17</v>
      </c>
      <c r="AH3" t="s">
        <v>18</v>
      </c>
      <c r="AI3" t="s">
        <v>653</v>
      </c>
    </row>
    <row r="4" spans="2:35" x14ac:dyDescent="0.25">
      <c r="B4" s="2" t="s">
        <v>4</v>
      </c>
      <c r="C4" t="s">
        <v>5</v>
      </c>
      <c r="D4">
        <v>2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>
        <f>- -3106</f>
        <v>3106</v>
      </c>
      <c r="K4">
        <v>39644</v>
      </c>
      <c r="L4">
        <v>3</v>
      </c>
      <c r="M4" t="s">
        <v>12</v>
      </c>
      <c r="O4">
        <v>192</v>
      </c>
      <c r="P4" t="s">
        <v>13</v>
      </c>
      <c r="Q4">
        <v>268</v>
      </c>
      <c r="R4" t="s">
        <v>13</v>
      </c>
      <c r="S4">
        <v>21.1</v>
      </c>
      <c r="T4" t="s">
        <v>13</v>
      </c>
      <c r="U4" t="s">
        <v>14</v>
      </c>
      <c r="V4">
        <v>44</v>
      </c>
      <c r="W4">
        <v>44</v>
      </c>
      <c r="X4">
        <v>10.199999999999999</v>
      </c>
      <c r="Y4" t="s">
        <v>15</v>
      </c>
      <c r="Z4">
        <v>68</v>
      </c>
      <c r="AA4">
        <v>40</v>
      </c>
      <c r="AB4">
        <v>15.1</v>
      </c>
      <c r="AC4" t="s">
        <v>11</v>
      </c>
      <c r="AD4">
        <v>334.99</v>
      </c>
      <c r="AE4" t="s">
        <v>16</v>
      </c>
      <c r="AF4">
        <v>208.15</v>
      </c>
      <c r="AG4" t="s">
        <v>17</v>
      </c>
      <c r="AH4" t="s">
        <v>18</v>
      </c>
      <c r="AI4" t="s">
        <v>653</v>
      </c>
    </row>
    <row r="5" spans="2:35" x14ac:dyDescent="0.25">
      <c r="B5" s="2" t="s">
        <v>19</v>
      </c>
      <c r="C5" t="s">
        <v>5</v>
      </c>
      <c r="D5">
        <v>2</v>
      </c>
      <c r="E5" t="s">
        <v>20</v>
      </c>
      <c r="F5" t="s">
        <v>21</v>
      </c>
      <c r="G5" t="s">
        <v>654</v>
      </c>
      <c r="H5" t="s">
        <v>23</v>
      </c>
      <c r="I5" t="s">
        <v>10</v>
      </c>
      <c r="J5" t="s">
        <v>24</v>
      </c>
      <c r="K5">
        <v>51441</v>
      </c>
      <c r="L5">
        <v>0.3</v>
      </c>
      <c r="M5" t="s">
        <v>12</v>
      </c>
      <c r="O5">
        <v>0</v>
      </c>
      <c r="P5" t="s">
        <v>13</v>
      </c>
      <c r="Q5">
        <v>274.89999999999998</v>
      </c>
      <c r="R5" t="s">
        <v>13</v>
      </c>
      <c r="S5">
        <v>265.5</v>
      </c>
      <c r="T5" t="s">
        <v>13</v>
      </c>
      <c r="U5" t="s">
        <v>14</v>
      </c>
      <c r="V5">
        <v>40</v>
      </c>
      <c r="W5">
        <v>45</v>
      </c>
      <c r="X5">
        <v>8.1</v>
      </c>
      <c r="Y5" t="s">
        <v>15</v>
      </c>
      <c r="Z5">
        <v>73</v>
      </c>
      <c r="AA5">
        <v>58</v>
      </c>
      <c r="AB5">
        <v>2.1</v>
      </c>
      <c r="AC5">
        <v>1268297</v>
      </c>
      <c r="AD5">
        <v>289.69</v>
      </c>
      <c r="AE5" t="s">
        <v>16</v>
      </c>
      <c r="AF5">
        <v>180</v>
      </c>
      <c r="AG5" t="s">
        <v>17</v>
      </c>
      <c r="AH5" t="s">
        <v>25</v>
      </c>
      <c r="AI5" t="s">
        <v>655</v>
      </c>
    </row>
    <row r="6" spans="2:35" x14ac:dyDescent="0.25">
      <c r="B6" s="2" t="s">
        <v>26</v>
      </c>
      <c r="C6" t="s">
        <v>5</v>
      </c>
      <c r="D6">
        <v>2</v>
      </c>
      <c r="E6" t="s">
        <v>6</v>
      </c>
      <c r="F6" t="s">
        <v>656</v>
      </c>
      <c r="G6" t="s">
        <v>27</v>
      </c>
      <c r="H6" t="s">
        <v>28</v>
      </c>
      <c r="I6" t="s">
        <v>10</v>
      </c>
      <c r="J6">
        <f>- -29862</f>
        <v>29862</v>
      </c>
      <c r="K6">
        <v>56092</v>
      </c>
      <c r="L6">
        <v>10</v>
      </c>
      <c r="M6" t="s">
        <v>12</v>
      </c>
      <c r="O6">
        <v>273.39999999999998</v>
      </c>
      <c r="P6" t="s">
        <v>13</v>
      </c>
      <c r="Q6">
        <v>302.10000000000002</v>
      </c>
      <c r="R6" t="s">
        <v>13</v>
      </c>
      <c r="S6">
        <v>241.8</v>
      </c>
      <c r="T6" t="s">
        <v>13</v>
      </c>
      <c r="U6" t="s">
        <v>14</v>
      </c>
      <c r="V6">
        <v>41</v>
      </c>
      <c r="W6">
        <v>51</v>
      </c>
      <c r="X6">
        <v>55.4</v>
      </c>
      <c r="Y6" t="s">
        <v>15</v>
      </c>
      <c r="Z6">
        <v>71</v>
      </c>
      <c r="AA6">
        <v>17</v>
      </c>
      <c r="AB6">
        <v>12.7</v>
      </c>
      <c r="AC6">
        <v>1005123</v>
      </c>
      <c r="AD6">
        <v>56.61</v>
      </c>
      <c r="AE6" t="s">
        <v>16</v>
      </c>
      <c r="AF6">
        <v>35.18</v>
      </c>
      <c r="AG6" t="s">
        <v>17</v>
      </c>
      <c r="AH6" t="s">
        <v>29</v>
      </c>
      <c r="AI6" t="s">
        <v>657</v>
      </c>
    </row>
    <row r="7" spans="2:35" x14ac:dyDescent="0.25">
      <c r="B7" s="2" t="s">
        <v>30</v>
      </c>
      <c r="C7" t="s">
        <v>5</v>
      </c>
      <c r="D7">
        <v>3</v>
      </c>
      <c r="E7" t="s">
        <v>6</v>
      </c>
      <c r="F7" t="s">
        <v>21</v>
      </c>
      <c r="G7" t="s">
        <v>658</v>
      </c>
      <c r="H7" t="s">
        <v>31</v>
      </c>
      <c r="I7" t="s">
        <v>10</v>
      </c>
      <c r="J7">
        <f>- -1037</f>
        <v>1037</v>
      </c>
      <c r="K7">
        <v>86537</v>
      </c>
      <c r="L7">
        <v>6.96</v>
      </c>
      <c r="M7" t="s">
        <v>12</v>
      </c>
      <c r="O7">
        <v>340.2</v>
      </c>
      <c r="P7" t="s">
        <v>13</v>
      </c>
      <c r="Q7">
        <v>354.4</v>
      </c>
      <c r="R7" t="s">
        <v>13</v>
      </c>
      <c r="S7">
        <v>339.2</v>
      </c>
      <c r="T7" t="s">
        <v>13</v>
      </c>
      <c r="U7" t="s">
        <v>14</v>
      </c>
      <c r="V7">
        <v>40</v>
      </c>
      <c r="W7">
        <v>45</v>
      </c>
      <c r="X7">
        <v>22.4</v>
      </c>
      <c r="Y7" t="s">
        <v>15</v>
      </c>
      <c r="Z7">
        <v>73</v>
      </c>
      <c r="AA7">
        <v>59</v>
      </c>
      <c r="AB7">
        <v>10.5</v>
      </c>
      <c r="AC7">
        <v>1238745</v>
      </c>
      <c r="AD7">
        <v>290.64999999999998</v>
      </c>
      <c r="AE7" t="s">
        <v>16</v>
      </c>
      <c r="AF7">
        <v>180.6</v>
      </c>
      <c r="AG7" t="s">
        <v>17</v>
      </c>
      <c r="AH7" t="s">
        <v>32</v>
      </c>
      <c r="AI7" t="s">
        <v>659</v>
      </c>
    </row>
    <row r="8" spans="2:35" x14ac:dyDescent="0.25">
      <c r="B8" s="2" t="s">
        <v>30</v>
      </c>
      <c r="C8" t="s">
        <v>5</v>
      </c>
      <c r="D8">
        <v>3</v>
      </c>
      <c r="E8" t="s">
        <v>6</v>
      </c>
      <c r="F8" t="s">
        <v>7</v>
      </c>
      <c r="G8" t="s">
        <v>658</v>
      </c>
      <c r="H8" t="s">
        <v>31</v>
      </c>
      <c r="I8" t="s">
        <v>10</v>
      </c>
      <c r="J8">
        <f>- -35766</f>
        <v>35766</v>
      </c>
      <c r="K8">
        <v>86537</v>
      </c>
      <c r="L8">
        <v>9</v>
      </c>
      <c r="M8" t="s">
        <v>12</v>
      </c>
      <c r="O8">
        <v>476</v>
      </c>
      <c r="P8" t="s">
        <v>13</v>
      </c>
      <c r="Q8">
        <v>484.6</v>
      </c>
      <c r="R8" t="s">
        <v>13</v>
      </c>
      <c r="S8">
        <v>480.3</v>
      </c>
      <c r="T8" t="s">
        <v>13</v>
      </c>
      <c r="U8" t="s">
        <v>14</v>
      </c>
      <c r="V8">
        <v>40</v>
      </c>
      <c r="W8">
        <v>42</v>
      </c>
      <c r="X8">
        <v>46.8</v>
      </c>
      <c r="Y8" t="s">
        <v>15</v>
      </c>
      <c r="Z8">
        <v>74</v>
      </c>
      <c r="AA8">
        <v>0</v>
      </c>
      <c r="AB8">
        <v>47.3</v>
      </c>
      <c r="AC8">
        <v>1263701</v>
      </c>
      <c r="AD8">
        <v>295.45</v>
      </c>
      <c r="AE8" t="s">
        <v>16</v>
      </c>
      <c r="AF8">
        <v>183.59</v>
      </c>
      <c r="AG8" t="s">
        <v>17</v>
      </c>
      <c r="AH8" t="s">
        <v>33</v>
      </c>
      <c r="AI8" t="s">
        <v>659</v>
      </c>
    </row>
    <row r="9" spans="2:35" x14ac:dyDescent="0.25">
      <c r="B9" s="2" t="s">
        <v>30</v>
      </c>
      <c r="C9" t="s">
        <v>5</v>
      </c>
      <c r="D9">
        <v>3</v>
      </c>
      <c r="E9" t="s">
        <v>6</v>
      </c>
      <c r="F9" t="s">
        <v>7</v>
      </c>
      <c r="G9" t="s">
        <v>658</v>
      </c>
      <c r="H9" t="s">
        <v>31</v>
      </c>
      <c r="I9" t="s">
        <v>10</v>
      </c>
      <c r="J9">
        <f>- -68202</f>
        <v>68202</v>
      </c>
      <c r="K9">
        <v>86537</v>
      </c>
      <c r="L9">
        <v>15</v>
      </c>
      <c r="M9" t="s">
        <v>12</v>
      </c>
      <c r="O9">
        <v>340.2</v>
      </c>
      <c r="P9" t="s">
        <v>13</v>
      </c>
      <c r="Q9">
        <v>354.4</v>
      </c>
      <c r="R9" t="s">
        <v>13</v>
      </c>
      <c r="S9">
        <v>339.2</v>
      </c>
      <c r="T9" t="s">
        <v>13</v>
      </c>
      <c r="U9" t="s">
        <v>14</v>
      </c>
      <c r="V9">
        <v>40</v>
      </c>
      <c r="W9">
        <v>45</v>
      </c>
      <c r="X9">
        <v>22.4</v>
      </c>
      <c r="Y9" t="s">
        <v>15</v>
      </c>
      <c r="Z9">
        <v>73</v>
      </c>
      <c r="AA9">
        <v>59</v>
      </c>
      <c r="AB9">
        <v>10.5</v>
      </c>
      <c r="AC9">
        <v>1238745</v>
      </c>
      <c r="AD9">
        <v>290.64999999999998</v>
      </c>
      <c r="AE9" t="s">
        <v>16</v>
      </c>
      <c r="AF9">
        <v>180.6</v>
      </c>
      <c r="AG9" t="s">
        <v>17</v>
      </c>
      <c r="AH9" t="s">
        <v>32</v>
      </c>
      <c r="AI9" t="s">
        <v>659</v>
      </c>
    </row>
    <row r="10" spans="2:35" x14ac:dyDescent="0.25">
      <c r="B10" s="2" t="s">
        <v>11</v>
      </c>
      <c r="C10" t="s">
        <v>5</v>
      </c>
      <c r="D10">
        <v>3</v>
      </c>
      <c r="E10" t="s">
        <v>34</v>
      </c>
      <c r="F10" t="s">
        <v>7</v>
      </c>
      <c r="G10" t="s">
        <v>654</v>
      </c>
      <c r="H10" t="s">
        <v>23</v>
      </c>
      <c r="I10" t="s">
        <v>10</v>
      </c>
      <c r="J10">
        <f>- -8083</f>
        <v>8083</v>
      </c>
      <c r="K10">
        <v>703337</v>
      </c>
      <c r="L10">
        <v>5.0000000000000001E-3</v>
      </c>
      <c r="M10" t="s">
        <v>12</v>
      </c>
      <c r="O10">
        <v>0</v>
      </c>
      <c r="P10" t="s">
        <v>13</v>
      </c>
      <c r="Q10">
        <v>29.5</v>
      </c>
      <c r="R10" t="s">
        <v>13</v>
      </c>
      <c r="S10">
        <v>18.5</v>
      </c>
      <c r="T10" t="s">
        <v>13</v>
      </c>
      <c r="U10" t="s">
        <v>14</v>
      </c>
      <c r="V10">
        <v>40</v>
      </c>
      <c r="W10">
        <v>45</v>
      </c>
      <c r="X10">
        <v>2</v>
      </c>
      <c r="Y10" t="s">
        <v>15</v>
      </c>
      <c r="Z10">
        <v>73</v>
      </c>
      <c r="AA10">
        <v>59</v>
      </c>
      <c r="AB10">
        <v>37</v>
      </c>
      <c r="AC10" t="s">
        <v>11</v>
      </c>
      <c r="AD10">
        <v>291.52999999999997</v>
      </c>
      <c r="AE10" t="s">
        <v>16</v>
      </c>
      <c r="AF10">
        <v>181.15</v>
      </c>
      <c r="AG10" t="s">
        <v>17</v>
      </c>
      <c r="AH10" t="s">
        <v>35</v>
      </c>
      <c r="AI10" t="s">
        <v>11</v>
      </c>
    </row>
    <row r="11" spans="2:35" x14ac:dyDescent="0.25">
      <c r="B11" s="2" t="s">
        <v>36</v>
      </c>
      <c r="C11" t="s">
        <v>5</v>
      </c>
      <c r="D11">
        <v>4</v>
      </c>
      <c r="E11" t="s">
        <v>20</v>
      </c>
      <c r="F11" t="s">
        <v>7</v>
      </c>
      <c r="G11" t="s">
        <v>37</v>
      </c>
      <c r="H11" t="s">
        <v>9</v>
      </c>
      <c r="I11" t="s">
        <v>10</v>
      </c>
      <c r="J11">
        <f>- -2601</f>
        <v>2601</v>
      </c>
      <c r="K11">
        <v>39642</v>
      </c>
      <c r="L11">
        <v>0.3</v>
      </c>
      <c r="M11" t="s">
        <v>12</v>
      </c>
      <c r="O11">
        <v>0</v>
      </c>
      <c r="P11" t="s">
        <v>13</v>
      </c>
      <c r="Q11">
        <v>284</v>
      </c>
      <c r="R11" t="s">
        <v>13</v>
      </c>
      <c r="S11">
        <v>46</v>
      </c>
      <c r="T11" t="s">
        <v>13</v>
      </c>
      <c r="U11" t="s">
        <v>14</v>
      </c>
      <c r="V11">
        <v>44</v>
      </c>
      <c r="W11">
        <v>42</v>
      </c>
      <c r="X11">
        <v>46.2</v>
      </c>
      <c r="Y11" t="s">
        <v>15</v>
      </c>
      <c r="Z11">
        <v>69</v>
      </c>
      <c r="AA11">
        <v>43</v>
      </c>
      <c r="AB11">
        <v>36.1</v>
      </c>
      <c r="AC11" t="s">
        <v>11</v>
      </c>
      <c r="AD11">
        <v>287.43</v>
      </c>
      <c r="AE11" t="s">
        <v>16</v>
      </c>
      <c r="AF11">
        <v>178.6</v>
      </c>
      <c r="AG11" t="s">
        <v>17</v>
      </c>
      <c r="AH11" t="s">
        <v>38</v>
      </c>
      <c r="AI11" t="s">
        <v>653</v>
      </c>
    </row>
    <row r="12" spans="2:35" x14ac:dyDescent="0.25">
      <c r="B12" s="2" t="s">
        <v>36</v>
      </c>
      <c r="C12" t="s">
        <v>5</v>
      </c>
      <c r="D12">
        <v>4</v>
      </c>
      <c r="E12" t="s">
        <v>20</v>
      </c>
      <c r="F12" t="s">
        <v>7</v>
      </c>
      <c r="G12" t="s">
        <v>37</v>
      </c>
      <c r="H12" t="s">
        <v>9</v>
      </c>
      <c r="I12" t="s">
        <v>10</v>
      </c>
      <c r="J12">
        <f>- -3107</f>
        <v>3107</v>
      </c>
      <c r="K12">
        <v>39642</v>
      </c>
      <c r="L12">
        <v>0.3</v>
      </c>
      <c r="M12" t="s">
        <v>12</v>
      </c>
      <c r="O12">
        <v>0</v>
      </c>
      <c r="P12" t="s">
        <v>13</v>
      </c>
      <c r="Q12">
        <v>284</v>
      </c>
      <c r="R12" t="s">
        <v>13</v>
      </c>
      <c r="S12">
        <v>46</v>
      </c>
      <c r="T12" t="s">
        <v>13</v>
      </c>
      <c r="U12" t="s">
        <v>14</v>
      </c>
      <c r="V12">
        <v>44</v>
      </c>
      <c r="W12">
        <v>42</v>
      </c>
      <c r="X12">
        <v>46.2</v>
      </c>
      <c r="Y12" t="s">
        <v>15</v>
      </c>
      <c r="Z12">
        <v>69</v>
      </c>
      <c r="AA12">
        <v>43</v>
      </c>
      <c r="AB12">
        <v>36.1</v>
      </c>
      <c r="AC12" t="s">
        <v>11</v>
      </c>
      <c r="AD12">
        <v>287.43</v>
      </c>
      <c r="AE12" t="s">
        <v>16</v>
      </c>
      <c r="AF12">
        <v>178.6</v>
      </c>
      <c r="AG12" t="s">
        <v>17</v>
      </c>
      <c r="AH12" t="s">
        <v>38</v>
      </c>
      <c r="AI12" t="s">
        <v>653</v>
      </c>
    </row>
    <row r="13" spans="2:35" x14ac:dyDescent="0.25">
      <c r="B13" s="2" t="s">
        <v>39</v>
      </c>
      <c r="C13" t="s">
        <v>5</v>
      </c>
      <c r="D13">
        <v>4</v>
      </c>
      <c r="E13" t="s">
        <v>20</v>
      </c>
      <c r="F13" t="s">
        <v>7</v>
      </c>
      <c r="G13" t="s">
        <v>40</v>
      </c>
      <c r="H13" t="s">
        <v>41</v>
      </c>
      <c r="I13" t="s">
        <v>10</v>
      </c>
      <c r="J13">
        <f>- -52060</f>
        <v>52060</v>
      </c>
      <c r="K13">
        <v>59488</v>
      </c>
      <c r="L13">
        <v>3</v>
      </c>
      <c r="M13" t="s">
        <v>12</v>
      </c>
      <c r="O13">
        <v>0</v>
      </c>
      <c r="P13" t="s">
        <v>13</v>
      </c>
      <c r="Q13">
        <v>193.3</v>
      </c>
      <c r="R13" t="s">
        <v>13</v>
      </c>
      <c r="S13">
        <v>175.3</v>
      </c>
      <c r="T13" t="s">
        <v>13</v>
      </c>
      <c r="U13" t="s">
        <v>14</v>
      </c>
      <c r="V13">
        <v>42</v>
      </c>
      <c r="W13">
        <v>21</v>
      </c>
      <c r="X13">
        <v>31</v>
      </c>
      <c r="Y13" t="s">
        <v>15</v>
      </c>
      <c r="Z13">
        <v>71</v>
      </c>
      <c r="AA13">
        <v>3</v>
      </c>
      <c r="AB13">
        <v>39</v>
      </c>
      <c r="AC13">
        <v>1031648</v>
      </c>
      <c r="AD13">
        <v>15.48</v>
      </c>
      <c r="AE13" t="s">
        <v>16</v>
      </c>
      <c r="AF13">
        <v>9.6199999999999992</v>
      </c>
      <c r="AG13" t="s">
        <v>17</v>
      </c>
      <c r="AH13" t="s">
        <v>42</v>
      </c>
      <c r="AI13" t="s">
        <v>660</v>
      </c>
    </row>
    <row r="14" spans="2:35" x14ac:dyDescent="0.25">
      <c r="B14" s="2" t="s">
        <v>43</v>
      </c>
      <c r="C14" t="s">
        <v>5</v>
      </c>
      <c r="D14">
        <v>4</v>
      </c>
      <c r="E14" t="s">
        <v>20</v>
      </c>
      <c r="F14" t="s">
        <v>7</v>
      </c>
      <c r="G14" t="s">
        <v>44</v>
      </c>
      <c r="H14" t="s">
        <v>45</v>
      </c>
      <c r="I14" t="s">
        <v>10</v>
      </c>
      <c r="J14" t="s">
        <v>46</v>
      </c>
      <c r="K14">
        <v>9768</v>
      </c>
      <c r="L14">
        <v>0.3</v>
      </c>
      <c r="M14" t="s">
        <v>12</v>
      </c>
      <c r="O14">
        <v>0</v>
      </c>
      <c r="P14" t="s">
        <v>13</v>
      </c>
      <c r="Q14">
        <v>487.6</v>
      </c>
      <c r="R14" t="s">
        <v>13</v>
      </c>
      <c r="S14">
        <v>57.9</v>
      </c>
      <c r="T14" t="s">
        <v>13</v>
      </c>
      <c r="U14" t="s">
        <v>14</v>
      </c>
      <c r="V14">
        <v>43</v>
      </c>
      <c r="W14">
        <v>11</v>
      </c>
      <c r="X14">
        <v>4</v>
      </c>
      <c r="Y14" t="s">
        <v>15</v>
      </c>
      <c r="Z14">
        <v>71</v>
      </c>
      <c r="AA14">
        <v>19</v>
      </c>
      <c r="AB14">
        <v>10</v>
      </c>
      <c r="AC14">
        <v>1033792</v>
      </c>
      <c r="AD14">
        <v>90.2</v>
      </c>
      <c r="AE14" t="s">
        <v>16</v>
      </c>
      <c r="AF14">
        <v>56.05</v>
      </c>
      <c r="AG14" t="s">
        <v>17</v>
      </c>
      <c r="AH14" t="s">
        <v>47</v>
      </c>
      <c r="AI14" t="s">
        <v>661</v>
      </c>
    </row>
    <row r="15" spans="2:35" x14ac:dyDescent="0.25">
      <c r="B15" s="2" t="s">
        <v>48</v>
      </c>
      <c r="C15" t="s">
        <v>5</v>
      </c>
      <c r="D15">
        <v>4</v>
      </c>
      <c r="E15" t="s">
        <v>20</v>
      </c>
      <c r="F15" t="s">
        <v>7</v>
      </c>
      <c r="G15" t="s">
        <v>662</v>
      </c>
      <c r="H15" t="s">
        <v>31</v>
      </c>
      <c r="I15" t="s">
        <v>10</v>
      </c>
      <c r="J15" t="s">
        <v>49</v>
      </c>
      <c r="K15">
        <v>14311</v>
      </c>
      <c r="L15">
        <v>0.3</v>
      </c>
      <c r="M15" t="s">
        <v>12</v>
      </c>
      <c r="O15">
        <v>0</v>
      </c>
      <c r="P15" t="s">
        <v>13</v>
      </c>
      <c r="Q15">
        <v>373.7</v>
      </c>
      <c r="R15" t="s">
        <v>13</v>
      </c>
      <c r="S15">
        <v>358.2</v>
      </c>
      <c r="T15" t="s">
        <v>13</v>
      </c>
      <c r="U15" t="s">
        <v>14</v>
      </c>
      <c r="V15">
        <v>40</v>
      </c>
      <c r="W15">
        <v>44</v>
      </c>
      <c r="X15">
        <v>54</v>
      </c>
      <c r="Y15" t="s">
        <v>15</v>
      </c>
      <c r="Z15">
        <v>73</v>
      </c>
      <c r="AA15">
        <v>59</v>
      </c>
      <c r="AB15">
        <v>9</v>
      </c>
      <c r="AC15">
        <v>1007048</v>
      </c>
      <c r="AD15">
        <v>291.18</v>
      </c>
      <c r="AE15" t="s">
        <v>16</v>
      </c>
      <c r="AF15">
        <v>180.93</v>
      </c>
      <c r="AG15" t="s">
        <v>17</v>
      </c>
      <c r="AH15" t="s">
        <v>50</v>
      </c>
      <c r="AI15" t="s">
        <v>663</v>
      </c>
    </row>
    <row r="16" spans="2:35" x14ac:dyDescent="0.25">
      <c r="B16" s="2" t="s">
        <v>11</v>
      </c>
      <c r="C16" t="s">
        <v>5</v>
      </c>
      <c r="D16">
        <v>4</v>
      </c>
      <c r="E16" t="s">
        <v>20</v>
      </c>
      <c r="F16" t="s">
        <v>7</v>
      </c>
      <c r="G16" t="s">
        <v>664</v>
      </c>
      <c r="H16" t="s">
        <v>31</v>
      </c>
      <c r="I16" t="s">
        <v>10</v>
      </c>
      <c r="J16">
        <f>- -8579</f>
        <v>8579</v>
      </c>
      <c r="K16">
        <v>703382</v>
      </c>
      <c r="L16">
        <v>5.0000000000000001E-3</v>
      </c>
      <c r="M16" t="s">
        <v>12</v>
      </c>
      <c r="O16">
        <v>0</v>
      </c>
      <c r="P16" t="s">
        <v>13</v>
      </c>
      <c r="Q16">
        <v>67.5</v>
      </c>
      <c r="R16" t="s">
        <v>13</v>
      </c>
      <c r="S16">
        <v>18.5</v>
      </c>
      <c r="T16" t="s">
        <v>13</v>
      </c>
      <c r="U16" t="s">
        <v>14</v>
      </c>
      <c r="V16">
        <v>40</v>
      </c>
      <c r="W16">
        <v>41</v>
      </c>
      <c r="X16">
        <v>55.93</v>
      </c>
      <c r="Y16" t="s">
        <v>15</v>
      </c>
      <c r="Z16">
        <v>74</v>
      </c>
      <c r="AA16">
        <v>19</v>
      </c>
      <c r="AB16">
        <v>56.66</v>
      </c>
      <c r="AC16" t="s">
        <v>11</v>
      </c>
      <c r="AD16">
        <v>317.64</v>
      </c>
      <c r="AE16" t="s">
        <v>16</v>
      </c>
      <c r="AF16">
        <v>197.37</v>
      </c>
      <c r="AG16" t="s">
        <v>17</v>
      </c>
      <c r="AH16" t="s">
        <v>52</v>
      </c>
      <c r="AI16" t="s">
        <v>11</v>
      </c>
    </row>
    <row r="17" spans="2:35" x14ac:dyDescent="0.25">
      <c r="B17" s="2" t="s">
        <v>48</v>
      </c>
      <c r="C17" t="s">
        <v>5</v>
      </c>
      <c r="D17">
        <v>4</v>
      </c>
      <c r="E17" t="s">
        <v>20</v>
      </c>
      <c r="F17" t="s">
        <v>21</v>
      </c>
      <c r="G17" t="s">
        <v>662</v>
      </c>
      <c r="H17" t="s">
        <v>31</v>
      </c>
      <c r="I17" t="s">
        <v>10</v>
      </c>
      <c r="J17">
        <f>- -29573</f>
        <v>29573</v>
      </c>
      <c r="K17">
        <v>14311</v>
      </c>
      <c r="L17">
        <v>0.3</v>
      </c>
      <c r="M17" t="s">
        <v>12</v>
      </c>
      <c r="N17" t="s">
        <v>53</v>
      </c>
      <c r="O17">
        <v>0</v>
      </c>
      <c r="P17" t="s">
        <v>13</v>
      </c>
      <c r="Q17">
        <v>242.9</v>
      </c>
      <c r="R17" t="s">
        <v>13</v>
      </c>
      <c r="S17">
        <v>53.3</v>
      </c>
      <c r="T17" t="s">
        <v>13</v>
      </c>
      <c r="U17" t="s">
        <v>14</v>
      </c>
      <c r="V17">
        <v>40</v>
      </c>
      <c r="W17">
        <v>48</v>
      </c>
      <c r="X17">
        <v>7.6</v>
      </c>
      <c r="Y17" t="s">
        <v>15</v>
      </c>
      <c r="Z17">
        <v>74</v>
      </c>
      <c r="AA17">
        <v>14</v>
      </c>
      <c r="AB17">
        <v>45.5</v>
      </c>
      <c r="AC17">
        <v>1060205</v>
      </c>
      <c r="AD17">
        <v>304.95</v>
      </c>
      <c r="AE17" t="s">
        <v>16</v>
      </c>
      <c r="AF17">
        <v>189.49</v>
      </c>
      <c r="AG17" t="s">
        <v>17</v>
      </c>
      <c r="AH17" t="s">
        <v>54</v>
      </c>
      <c r="AI17" t="s">
        <v>663</v>
      </c>
    </row>
    <row r="18" spans="2:35" x14ac:dyDescent="0.25">
      <c r="B18" s="2" t="s">
        <v>11</v>
      </c>
      <c r="C18" t="s">
        <v>5</v>
      </c>
      <c r="D18">
        <v>4</v>
      </c>
      <c r="E18" t="s">
        <v>34</v>
      </c>
      <c r="F18" t="s">
        <v>7</v>
      </c>
      <c r="G18" t="s">
        <v>654</v>
      </c>
      <c r="H18" t="s">
        <v>23</v>
      </c>
      <c r="I18" t="s">
        <v>10</v>
      </c>
      <c r="J18">
        <f>- -8084</f>
        <v>8084</v>
      </c>
      <c r="K18">
        <v>703338</v>
      </c>
      <c r="L18">
        <v>5.0000000000000001E-3</v>
      </c>
      <c r="M18" t="s">
        <v>12</v>
      </c>
      <c r="O18">
        <v>0</v>
      </c>
      <c r="P18" t="s">
        <v>13</v>
      </c>
      <c r="Q18">
        <v>29.5</v>
      </c>
      <c r="R18" t="s">
        <v>13</v>
      </c>
      <c r="S18">
        <v>18.5</v>
      </c>
      <c r="T18" t="s">
        <v>13</v>
      </c>
      <c r="U18" t="s">
        <v>14</v>
      </c>
      <c r="V18">
        <v>40</v>
      </c>
      <c r="W18">
        <v>45</v>
      </c>
      <c r="X18">
        <v>2</v>
      </c>
      <c r="Y18" t="s">
        <v>15</v>
      </c>
      <c r="Z18">
        <v>73</v>
      </c>
      <c r="AA18">
        <v>59</v>
      </c>
      <c r="AB18">
        <v>37</v>
      </c>
      <c r="AC18" t="s">
        <v>11</v>
      </c>
      <c r="AD18">
        <v>291.52999999999997</v>
      </c>
      <c r="AE18" t="s">
        <v>16</v>
      </c>
      <c r="AF18">
        <v>181.15</v>
      </c>
      <c r="AG18" t="s">
        <v>17</v>
      </c>
      <c r="AH18" t="s">
        <v>35</v>
      </c>
      <c r="AI18" t="s">
        <v>11</v>
      </c>
    </row>
    <row r="19" spans="2:35" x14ac:dyDescent="0.25">
      <c r="B19" s="2" t="s">
        <v>55</v>
      </c>
      <c r="C19" t="s">
        <v>5</v>
      </c>
      <c r="D19">
        <v>5</v>
      </c>
      <c r="E19" t="s">
        <v>20</v>
      </c>
      <c r="F19" t="s">
        <v>656</v>
      </c>
      <c r="G19" t="s">
        <v>8</v>
      </c>
      <c r="H19" t="s">
        <v>9</v>
      </c>
      <c r="I19" t="s">
        <v>10</v>
      </c>
      <c r="J19" t="s">
        <v>56</v>
      </c>
      <c r="K19">
        <v>183296</v>
      </c>
      <c r="L19">
        <v>2.2000000000000002</v>
      </c>
      <c r="M19" t="s">
        <v>12</v>
      </c>
      <c r="O19">
        <v>0</v>
      </c>
      <c r="P19" t="s">
        <v>13</v>
      </c>
      <c r="Q19">
        <v>76.2</v>
      </c>
      <c r="R19" t="s">
        <v>13</v>
      </c>
      <c r="S19">
        <v>41.1</v>
      </c>
      <c r="T19" t="s">
        <v>13</v>
      </c>
      <c r="U19" t="s">
        <v>14</v>
      </c>
      <c r="V19">
        <v>44</v>
      </c>
      <c r="W19">
        <v>50</v>
      </c>
      <c r="X19">
        <v>50.2</v>
      </c>
      <c r="Y19" t="s">
        <v>15</v>
      </c>
      <c r="Z19">
        <v>68</v>
      </c>
      <c r="AA19">
        <v>40</v>
      </c>
      <c r="AB19">
        <v>46.1</v>
      </c>
      <c r="AC19">
        <v>1237998</v>
      </c>
      <c r="AD19">
        <v>344.21</v>
      </c>
      <c r="AE19" t="s">
        <v>16</v>
      </c>
      <c r="AF19">
        <v>213.88</v>
      </c>
      <c r="AG19" t="s">
        <v>17</v>
      </c>
      <c r="AH19" t="s">
        <v>57</v>
      </c>
      <c r="AI19" t="s">
        <v>665</v>
      </c>
    </row>
    <row r="20" spans="2:35" x14ac:dyDescent="0.25">
      <c r="B20" s="2" t="s">
        <v>55</v>
      </c>
      <c r="C20" t="s">
        <v>5</v>
      </c>
      <c r="D20">
        <v>5</v>
      </c>
      <c r="E20" t="s">
        <v>20</v>
      </c>
      <c r="F20" t="s">
        <v>21</v>
      </c>
      <c r="G20" t="s">
        <v>8</v>
      </c>
      <c r="H20" t="s">
        <v>9</v>
      </c>
      <c r="I20" t="s">
        <v>10</v>
      </c>
      <c r="J20">
        <f>- -63629</f>
        <v>63629</v>
      </c>
      <c r="K20">
        <v>183296</v>
      </c>
      <c r="L20">
        <v>3</v>
      </c>
      <c r="M20" t="s">
        <v>12</v>
      </c>
      <c r="O20">
        <v>0</v>
      </c>
      <c r="P20" t="s">
        <v>13</v>
      </c>
      <c r="Q20">
        <v>153.30000000000001</v>
      </c>
      <c r="R20" t="s">
        <v>13</v>
      </c>
      <c r="S20">
        <v>30.2</v>
      </c>
      <c r="T20" t="s">
        <v>13</v>
      </c>
      <c r="U20" t="s">
        <v>14</v>
      </c>
      <c r="V20">
        <v>45</v>
      </c>
      <c r="W20">
        <v>1</v>
      </c>
      <c r="X20">
        <v>13.4</v>
      </c>
      <c r="Y20" t="s">
        <v>15</v>
      </c>
      <c r="Z20">
        <v>69</v>
      </c>
      <c r="AA20">
        <v>17</v>
      </c>
      <c r="AB20">
        <v>23.7</v>
      </c>
      <c r="AC20" t="s">
        <v>11</v>
      </c>
      <c r="AD20">
        <v>333.68</v>
      </c>
      <c r="AE20" t="s">
        <v>16</v>
      </c>
      <c r="AF20">
        <v>207.34</v>
      </c>
      <c r="AG20" t="s">
        <v>17</v>
      </c>
      <c r="AH20" t="s">
        <v>58</v>
      </c>
      <c r="AI20" t="s">
        <v>665</v>
      </c>
    </row>
    <row r="21" spans="2:35" x14ac:dyDescent="0.25">
      <c r="B21" s="2" t="s">
        <v>59</v>
      </c>
      <c r="C21" t="s">
        <v>5</v>
      </c>
      <c r="D21">
        <v>5</v>
      </c>
      <c r="E21" t="s">
        <v>20</v>
      </c>
      <c r="F21" t="s">
        <v>21</v>
      </c>
      <c r="G21" t="s">
        <v>654</v>
      </c>
      <c r="H21" t="s">
        <v>23</v>
      </c>
      <c r="I21" t="s">
        <v>10</v>
      </c>
      <c r="J21">
        <f>- -60581</f>
        <v>60581</v>
      </c>
      <c r="K21">
        <v>29236</v>
      </c>
      <c r="L21">
        <v>0.3</v>
      </c>
      <c r="M21" t="s">
        <v>12</v>
      </c>
      <c r="N21" t="s">
        <v>53</v>
      </c>
      <c r="O21">
        <v>0</v>
      </c>
      <c r="P21" t="s">
        <v>13</v>
      </c>
      <c r="Q21">
        <v>213</v>
      </c>
      <c r="R21" t="s">
        <v>13</v>
      </c>
      <c r="S21">
        <v>208.1</v>
      </c>
      <c r="T21" t="s">
        <v>13</v>
      </c>
      <c r="U21" t="s">
        <v>14</v>
      </c>
      <c r="V21">
        <v>40</v>
      </c>
      <c r="W21">
        <v>44</v>
      </c>
      <c r="X21">
        <v>50.3</v>
      </c>
      <c r="Y21" t="s">
        <v>15</v>
      </c>
      <c r="Z21">
        <v>73</v>
      </c>
      <c r="AA21">
        <v>56</v>
      </c>
      <c r="AB21">
        <v>36.4</v>
      </c>
      <c r="AC21" t="s">
        <v>11</v>
      </c>
      <c r="AD21">
        <v>288.49</v>
      </c>
      <c r="AE21" t="s">
        <v>16</v>
      </c>
      <c r="AF21">
        <v>179.26</v>
      </c>
      <c r="AG21" t="s">
        <v>17</v>
      </c>
      <c r="AH21" t="s">
        <v>60</v>
      </c>
      <c r="AI21" t="s">
        <v>666</v>
      </c>
    </row>
    <row r="22" spans="2:35" x14ac:dyDescent="0.25">
      <c r="B22" s="2" t="s">
        <v>61</v>
      </c>
      <c r="C22" t="s">
        <v>5</v>
      </c>
      <c r="D22">
        <v>6</v>
      </c>
      <c r="E22" t="s">
        <v>20</v>
      </c>
      <c r="F22" t="s">
        <v>7</v>
      </c>
      <c r="G22" t="s">
        <v>62</v>
      </c>
      <c r="H22" t="s">
        <v>9</v>
      </c>
      <c r="I22" t="s">
        <v>10</v>
      </c>
      <c r="J22">
        <f>- -54937</f>
        <v>54937</v>
      </c>
      <c r="K22">
        <v>9205</v>
      </c>
      <c r="L22">
        <v>2</v>
      </c>
      <c r="M22" t="s">
        <v>12</v>
      </c>
      <c r="O22">
        <v>0</v>
      </c>
      <c r="P22" t="s">
        <v>13</v>
      </c>
      <c r="Q22">
        <v>118.3</v>
      </c>
      <c r="R22" t="s">
        <v>13</v>
      </c>
      <c r="S22">
        <v>51.2</v>
      </c>
      <c r="T22" t="s">
        <v>13</v>
      </c>
      <c r="U22" t="s">
        <v>14</v>
      </c>
      <c r="V22">
        <v>43</v>
      </c>
      <c r="W22">
        <v>41</v>
      </c>
      <c r="X22">
        <v>48.2</v>
      </c>
      <c r="Y22" t="s">
        <v>15</v>
      </c>
      <c r="Z22">
        <v>70</v>
      </c>
      <c r="AA22">
        <v>21</v>
      </c>
      <c r="AB22">
        <v>44.1</v>
      </c>
      <c r="AC22" t="s">
        <v>11</v>
      </c>
      <c r="AD22">
        <v>163.68</v>
      </c>
      <c r="AE22" t="s">
        <v>16</v>
      </c>
      <c r="AF22">
        <v>101.71</v>
      </c>
      <c r="AG22" t="s">
        <v>17</v>
      </c>
      <c r="AH22" t="s">
        <v>63</v>
      </c>
      <c r="AI22" t="s">
        <v>667</v>
      </c>
    </row>
    <row r="23" spans="2:35" x14ac:dyDescent="0.25">
      <c r="B23" s="2" t="s">
        <v>64</v>
      </c>
      <c r="C23" t="s">
        <v>5</v>
      </c>
      <c r="D23">
        <v>6</v>
      </c>
      <c r="E23" t="s">
        <v>34</v>
      </c>
      <c r="F23" t="s">
        <v>21</v>
      </c>
      <c r="G23" t="s">
        <v>65</v>
      </c>
      <c r="H23" t="s">
        <v>23</v>
      </c>
      <c r="I23" t="s">
        <v>10</v>
      </c>
      <c r="J23" t="s">
        <v>66</v>
      </c>
      <c r="K23">
        <v>129224</v>
      </c>
      <c r="L23">
        <v>1.6E-2</v>
      </c>
      <c r="M23" t="s">
        <v>12</v>
      </c>
      <c r="O23">
        <v>0</v>
      </c>
      <c r="P23" t="s">
        <v>13</v>
      </c>
      <c r="Q23">
        <v>324</v>
      </c>
      <c r="R23" t="s">
        <v>13</v>
      </c>
      <c r="S23">
        <v>50</v>
      </c>
      <c r="T23" t="s">
        <v>13</v>
      </c>
      <c r="U23" t="s">
        <v>14</v>
      </c>
      <c r="V23">
        <v>42</v>
      </c>
      <c r="W23">
        <v>6</v>
      </c>
      <c r="X23">
        <v>0.2</v>
      </c>
      <c r="Y23" t="s">
        <v>15</v>
      </c>
      <c r="Z23">
        <v>75</v>
      </c>
      <c r="AA23">
        <v>54</v>
      </c>
      <c r="AB23">
        <v>30.7</v>
      </c>
      <c r="AC23" t="s">
        <v>11</v>
      </c>
      <c r="AD23">
        <v>385.94</v>
      </c>
      <c r="AE23" t="s">
        <v>16</v>
      </c>
      <c r="AF23">
        <v>239.81</v>
      </c>
      <c r="AG23" t="s">
        <v>17</v>
      </c>
      <c r="AH23" t="s">
        <v>67</v>
      </c>
      <c r="AI23" t="s">
        <v>668</v>
      </c>
    </row>
    <row r="24" spans="2:35" x14ac:dyDescent="0.25">
      <c r="B24" s="2" t="s">
        <v>68</v>
      </c>
      <c r="C24" t="s">
        <v>5</v>
      </c>
      <c r="D24">
        <v>6</v>
      </c>
      <c r="E24" t="s">
        <v>34</v>
      </c>
      <c r="F24" t="s">
        <v>21</v>
      </c>
      <c r="G24" t="s">
        <v>654</v>
      </c>
      <c r="H24" t="s">
        <v>23</v>
      </c>
      <c r="I24" t="s">
        <v>10</v>
      </c>
      <c r="J24" t="s">
        <v>69</v>
      </c>
      <c r="K24">
        <v>56043</v>
      </c>
      <c r="L24">
        <v>3</v>
      </c>
      <c r="M24" t="s">
        <v>12</v>
      </c>
      <c r="N24" t="s">
        <v>53</v>
      </c>
      <c r="O24">
        <v>0</v>
      </c>
      <c r="P24" t="s">
        <v>13</v>
      </c>
      <c r="Q24">
        <v>213</v>
      </c>
      <c r="R24" t="s">
        <v>13</v>
      </c>
      <c r="S24">
        <v>208.1</v>
      </c>
      <c r="T24" t="s">
        <v>13</v>
      </c>
      <c r="U24" t="s">
        <v>14</v>
      </c>
      <c r="V24">
        <v>40</v>
      </c>
      <c r="W24">
        <v>44</v>
      </c>
      <c r="X24">
        <v>50.3</v>
      </c>
      <c r="Y24" t="s">
        <v>15</v>
      </c>
      <c r="Z24">
        <v>73</v>
      </c>
      <c r="AA24">
        <v>56</v>
      </c>
      <c r="AB24">
        <v>36.4</v>
      </c>
      <c r="AC24" t="s">
        <v>11</v>
      </c>
      <c r="AD24">
        <v>288.49</v>
      </c>
      <c r="AE24" t="s">
        <v>16</v>
      </c>
      <c r="AF24">
        <v>179.26</v>
      </c>
      <c r="AG24" t="s">
        <v>17</v>
      </c>
      <c r="AH24" t="s">
        <v>60</v>
      </c>
      <c r="AI24" t="s">
        <v>669</v>
      </c>
    </row>
    <row r="25" spans="2:35" x14ac:dyDescent="0.25">
      <c r="B25" s="2" t="s">
        <v>70</v>
      </c>
      <c r="C25" t="s">
        <v>5</v>
      </c>
      <c r="D25">
        <v>6</v>
      </c>
      <c r="E25" t="s">
        <v>6</v>
      </c>
      <c r="F25" t="s">
        <v>21</v>
      </c>
      <c r="G25" t="s">
        <v>71</v>
      </c>
      <c r="H25" t="s">
        <v>23</v>
      </c>
      <c r="I25" t="s">
        <v>10</v>
      </c>
      <c r="J25" t="s">
        <v>72</v>
      </c>
      <c r="K25">
        <v>73942</v>
      </c>
      <c r="L25">
        <v>30.2</v>
      </c>
      <c r="M25" t="s">
        <v>12</v>
      </c>
      <c r="O25">
        <v>392</v>
      </c>
      <c r="P25" t="s">
        <v>13</v>
      </c>
      <c r="Q25">
        <v>649</v>
      </c>
      <c r="R25" t="s">
        <v>13</v>
      </c>
      <c r="S25">
        <v>106</v>
      </c>
      <c r="T25" t="s">
        <v>13</v>
      </c>
      <c r="U25" t="s">
        <v>14</v>
      </c>
      <c r="V25">
        <v>42</v>
      </c>
      <c r="W25">
        <v>37</v>
      </c>
      <c r="X25">
        <v>31.3</v>
      </c>
      <c r="Y25" t="s">
        <v>15</v>
      </c>
      <c r="Z25">
        <v>74</v>
      </c>
      <c r="AA25">
        <v>0</v>
      </c>
      <c r="AB25">
        <v>36.700000000000003</v>
      </c>
      <c r="AC25">
        <v>1231728</v>
      </c>
      <c r="AD25">
        <v>228.8</v>
      </c>
      <c r="AE25" t="s">
        <v>16</v>
      </c>
      <c r="AF25">
        <v>142.16999999999999</v>
      </c>
      <c r="AG25" t="s">
        <v>17</v>
      </c>
      <c r="AH25" t="s">
        <v>73</v>
      </c>
      <c r="AI25" t="s">
        <v>670</v>
      </c>
    </row>
    <row r="26" spans="2:35" x14ac:dyDescent="0.25">
      <c r="B26" s="2" t="s">
        <v>70</v>
      </c>
      <c r="C26" t="s">
        <v>5</v>
      </c>
      <c r="D26">
        <v>6</v>
      </c>
      <c r="E26" t="s">
        <v>6</v>
      </c>
      <c r="F26" t="s">
        <v>7</v>
      </c>
      <c r="G26" t="s">
        <v>71</v>
      </c>
      <c r="H26" t="s">
        <v>23</v>
      </c>
      <c r="I26" t="s">
        <v>10</v>
      </c>
      <c r="J26">
        <f>- -35622</f>
        <v>35622</v>
      </c>
      <c r="K26">
        <v>73942</v>
      </c>
      <c r="L26">
        <v>60</v>
      </c>
      <c r="M26" t="s">
        <v>12</v>
      </c>
      <c r="O26">
        <v>392</v>
      </c>
      <c r="P26" t="s">
        <v>13</v>
      </c>
      <c r="Q26">
        <v>648.79999999999995</v>
      </c>
      <c r="R26" t="s">
        <v>13</v>
      </c>
      <c r="S26">
        <v>106</v>
      </c>
      <c r="T26" t="s">
        <v>13</v>
      </c>
      <c r="U26" t="s">
        <v>14</v>
      </c>
      <c r="V26">
        <v>42</v>
      </c>
      <c r="W26">
        <v>37</v>
      </c>
      <c r="X26">
        <v>31.3</v>
      </c>
      <c r="Y26" t="s">
        <v>15</v>
      </c>
      <c r="Z26">
        <v>74</v>
      </c>
      <c r="AA26">
        <v>0</v>
      </c>
      <c r="AB26">
        <v>36.700000000000003</v>
      </c>
      <c r="AC26">
        <v>1231728</v>
      </c>
      <c r="AD26">
        <v>228.8</v>
      </c>
      <c r="AE26" t="s">
        <v>16</v>
      </c>
      <c r="AF26">
        <v>142.16999999999999</v>
      </c>
      <c r="AG26" t="s">
        <v>17</v>
      </c>
      <c r="AH26" t="s">
        <v>73</v>
      </c>
      <c r="AI26" t="s">
        <v>670</v>
      </c>
    </row>
    <row r="27" spans="2:35" x14ac:dyDescent="0.25">
      <c r="B27" s="2" t="s">
        <v>70</v>
      </c>
      <c r="C27" t="s">
        <v>5</v>
      </c>
      <c r="D27">
        <v>6</v>
      </c>
      <c r="E27" t="s">
        <v>6</v>
      </c>
      <c r="F27" t="s">
        <v>74</v>
      </c>
      <c r="G27" t="s">
        <v>71</v>
      </c>
      <c r="H27" t="s">
        <v>23</v>
      </c>
      <c r="I27" t="s">
        <v>10</v>
      </c>
      <c r="J27">
        <f>- -35659</f>
        <v>35659</v>
      </c>
      <c r="K27">
        <v>73942</v>
      </c>
      <c r="L27">
        <v>60</v>
      </c>
      <c r="M27" t="s">
        <v>12</v>
      </c>
      <c r="O27">
        <v>392</v>
      </c>
      <c r="P27" t="s">
        <v>13</v>
      </c>
      <c r="Q27">
        <v>648.79999999999995</v>
      </c>
      <c r="R27" t="s">
        <v>13</v>
      </c>
      <c r="S27">
        <v>106</v>
      </c>
      <c r="T27" t="s">
        <v>13</v>
      </c>
      <c r="U27" t="s">
        <v>14</v>
      </c>
      <c r="V27">
        <v>42</v>
      </c>
      <c r="W27">
        <v>37</v>
      </c>
      <c r="X27">
        <v>31.3</v>
      </c>
      <c r="Y27" t="s">
        <v>15</v>
      </c>
      <c r="Z27">
        <v>74</v>
      </c>
      <c r="AA27">
        <v>0</v>
      </c>
      <c r="AB27">
        <v>36.700000000000003</v>
      </c>
      <c r="AC27">
        <v>1231728</v>
      </c>
      <c r="AD27">
        <v>228.8</v>
      </c>
      <c r="AE27" t="s">
        <v>16</v>
      </c>
      <c r="AF27">
        <v>142.16999999999999</v>
      </c>
      <c r="AG27" t="s">
        <v>17</v>
      </c>
      <c r="AH27" t="s">
        <v>73</v>
      </c>
      <c r="AI27" t="s">
        <v>670</v>
      </c>
    </row>
    <row r="28" spans="2:35" x14ac:dyDescent="0.25">
      <c r="B28" s="2" t="s">
        <v>75</v>
      </c>
      <c r="C28" t="s">
        <v>5</v>
      </c>
      <c r="D28">
        <v>7</v>
      </c>
      <c r="E28" t="s">
        <v>6</v>
      </c>
      <c r="F28" t="s">
        <v>21</v>
      </c>
      <c r="G28" t="s">
        <v>8</v>
      </c>
      <c r="H28" t="s">
        <v>9</v>
      </c>
      <c r="I28" t="s">
        <v>10</v>
      </c>
      <c r="J28" t="s">
        <v>76</v>
      </c>
      <c r="K28">
        <v>3667</v>
      </c>
      <c r="L28">
        <v>14</v>
      </c>
      <c r="M28" t="s">
        <v>12</v>
      </c>
      <c r="O28">
        <v>229</v>
      </c>
      <c r="P28" t="s">
        <v>13</v>
      </c>
      <c r="Q28">
        <v>324</v>
      </c>
      <c r="R28" t="s">
        <v>13</v>
      </c>
      <c r="S28">
        <v>20</v>
      </c>
      <c r="T28" t="s">
        <v>13</v>
      </c>
      <c r="U28" t="s">
        <v>14</v>
      </c>
      <c r="V28">
        <v>44</v>
      </c>
      <c r="W28">
        <v>45</v>
      </c>
      <c r="X28">
        <v>35.200000000000003</v>
      </c>
      <c r="Y28" t="s">
        <v>15</v>
      </c>
      <c r="Z28">
        <v>68</v>
      </c>
      <c r="AA28">
        <v>33</v>
      </c>
      <c r="AB28">
        <v>59.1</v>
      </c>
      <c r="AC28" t="s">
        <v>11</v>
      </c>
      <c r="AD28">
        <v>342.3</v>
      </c>
      <c r="AE28" t="s">
        <v>16</v>
      </c>
      <c r="AF28">
        <v>212.69</v>
      </c>
      <c r="AG28" t="s">
        <v>17</v>
      </c>
      <c r="AH28" t="s">
        <v>77</v>
      </c>
      <c r="AI28" t="s">
        <v>671</v>
      </c>
    </row>
    <row r="29" spans="2:35" x14ac:dyDescent="0.25">
      <c r="B29" s="2" t="s">
        <v>78</v>
      </c>
      <c r="C29" t="s">
        <v>5</v>
      </c>
      <c r="D29">
        <v>7</v>
      </c>
      <c r="E29" t="s">
        <v>6</v>
      </c>
      <c r="F29" t="s">
        <v>656</v>
      </c>
      <c r="G29" t="s">
        <v>79</v>
      </c>
      <c r="H29" t="s">
        <v>41</v>
      </c>
      <c r="I29" t="s">
        <v>10</v>
      </c>
      <c r="J29">
        <f>- -34578</f>
        <v>34578</v>
      </c>
      <c r="K29">
        <v>136751</v>
      </c>
      <c r="L29">
        <v>22</v>
      </c>
      <c r="M29" t="s">
        <v>12</v>
      </c>
      <c r="N29" t="s">
        <v>53</v>
      </c>
      <c r="O29">
        <v>303</v>
      </c>
      <c r="P29" t="s">
        <v>13</v>
      </c>
      <c r="Q29">
        <v>541</v>
      </c>
      <c r="R29" t="s">
        <v>13</v>
      </c>
      <c r="S29">
        <v>75.3</v>
      </c>
      <c r="T29" t="s">
        <v>13</v>
      </c>
      <c r="U29" t="s">
        <v>14</v>
      </c>
      <c r="V29">
        <v>42</v>
      </c>
      <c r="W29">
        <v>38</v>
      </c>
      <c r="X29">
        <v>13</v>
      </c>
      <c r="Y29" t="s">
        <v>15</v>
      </c>
      <c r="Z29">
        <v>73</v>
      </c>
      <c r="AA29">
        <v>59</v>
      </c>
      <c r="AB29">
        <v>43</v>
      </c>
      <c r="AC29">
        <v>1002871</v>
      </c>
      <c r="AD29">
        <v>227.72</v>
      </c>
      <c r="AE29" t="s">
        <v>16</v>
      </c>
      <c r="AF29">
        <v>141.5</v>
      </c>
      <c r="AG29" t="s">
        <v>17</v>
      </c>
      <c r="AH29" t="s">
        <v>80</v>
      </c>
      <c r="AI29" t="s">
        <v>672</v>
      </c>
    </row>
    <row r="30" spans="2:35" x14ac:dyDescent="0.25">
      <c r="B30" s="2" t="s">
        <v>81</v>
      </c>
      <c r="C30" t="s">
        <v>5</v>
      </c>
      <c r="D30">
        <v>7</v>
      </c>
      <c r="E30" t="s">
        <v>20</v>
      </c>
      <c r="F30" t="s">
        <v>7</v>
      </c>
      <c r="G30" t="s">
        <v>82</v>
      </c>
      <c r="H30" t="s">
        <v>45</v>
      </c>
      <c r="I30" t="s">
        <v>10</v>
      </c>
      <c r="J30" t="s">
        <v>83</v>
      </c>
      <c r="K30">
        <v>189109</v>
      </c>
      <c r="L30">
        <v>0.3</v>
      </c>
      <c r="M30" t="s">
        <v>12</v>
      </c>
      <c r="O30">
        <v>0</v>
      </c>
      <c r="P30" t="s">
        <v>13</v>
      </c>
      <c r="Q30">
        <v>419.7</v>
      </c>
      <c r="R30" t="s">
        <v>13</v>
      </c>
      <c r="S30">
        <v>29.9</v>
      </c>
      <c r="T30" t="s">
        <v>13</v>
      </c>
      <c r="U30" t="s">
        <v>14</v>
      </c>
      <c r="V30">
        <v>42</v>
      </c>
      <c r="W30">
        <v>58</v>
      </c>
      <c r="X30">
        <v>54.7</v>
      </c>
      <c r="Y30" t="s">
        <v>15</v>
      </c>
      <c r="Z30">
        <v>71</v>
      </c>
      <c r="AA30">
        <v>35</v>
      </c>
      <c r="AB30">
        <v>19.5</v>
      </c>
      <c r="AC30">
        <v>1048913</v>
      </c>
      <c r="AD30">
        <v>73.069999999999993</v>
      </c>
      <c r="AE30" t="s">
        <v>16</v>
      </c>
      <c r="AF30">
        <v>45.4</v>
      </c>
      <c r="AG30" t="s">
        <v>17</v>
      </c>
      <c r="AH30" t="s">
        <v>84</v>
      </c>
      <c r="AI30" t="s">
        <v>661</v>
      </c>
    </row>
    <row r="31" spans="2:35" x14ac:dyDescent="0.25">
      <c r="B31" s="2" t="s">
        <v>85</v>
      </c>
      <c r="C31" t="s">
        <v>5</v>
      </c>
      <c r="D31">
        <v>7</v>
      </c>
      <c r="E31" t="s">
        <v>6</v>
      </c>
      <c r="F31" t="s">
        <v>21</v>
      </c>
      <c r="G31" t="s">
        <v>654</v>
      </c>
      <c r="H31" t="s">
        <v>23</v>
      </c>
      <c r="I31" t="s">
        <v>10</v>
      </c>
      <c r="J31" t="s">
        <v>86</v>
      </c>
      <c r="K31">
        <v>1328</v>
      </c>
      <c r="L31">
        <v>34</v>
      </c>
      <c r="M31" t="s">
        <v>12</v>
      </c>
      <c r="O31">
        <v>405</v>
      </c>
      <c r="P31" t="s">
        <v>13</v>
      </c>
      <c r="Q31">
        <v>418.5</v>
      </c>
      <c r="R31" t="s">
        <v>13</v>
      </c>
      <c r="S31">
        <v>403</v>
      </c>
      <c r="T31" t="s">
        <v>13</v>
      </c>
      <c r="U31" t="s">
        <v>14</v>
      </c>
      <c r="V31">
        <v>40</v>
      </c>
      <c r="W31">
        <v>44</v>
      </c>
      <c r="X31">
        <v>54</v>
      </c>
      <c r="Y31" t="s">
        <v>15</v>
      </c>
      <c r="Z31">
        <v>73</v>
      </c>
      <c r="AA31">
        <v>59</v>
      </c>
      <c r="AB31">
        <v>9</v>
      </c>
      <c r="AC31">
        <v>1007048</v>
      </c>
      <c r="AD31">
        <v>291.18</v>
      </c>
      <c r="AE31" t="s">
        <v>16</v>
      </c>
      <c r="AF31">
        <v>180.93</v>
      </c>
      <c r="AG31" t="s">
        <v>17</v>
      </c>
      <c r="AH31" t="s">
        <v>50</v>
      </c>
      <c r="AI31" t="s">
        <v>673</v>
      </c>
    </row>
    <row r="32" spans="2:35" x14ac:dyDescent="0.25">
      <c r="B32" s="2" t="s">
        <v>87</v>
      </c>
      <c r="C32" t="s">
        <v>5</v>
      </c>
      <c r="D32">
        <v>7</v>
      </c>
      <c r="E32" t="s">
        <v>6</v>
      </c>
      <c r="F32" t="s">
        <v>21</v>
      </c>
      <c r="G32" t="s">
        <v>65</v>
      </c>
      <c r="H32" t="s">
        <v>23</v>
      </c>
      <c r="I32" t="s">
        <v>10</v>
      </c>
      <c r="J32" t="s">
        <v>88</v>
      </c>
      <c r="K32">
        <v>23337</v>
      </c>
      <c r="L32">
        <v>34</v>
      </c>
      <c r="M32" t="s">
        <v>12</v>
      </c>
      <c r="O32">
        <v>342.3</v>
      </c>
      <c r="P32" t="s">
        <v>13</v>
      </c>
      <c r="Q32">
        <v>739.2</v>
      </c>
      <c r="R32" t="s">
        <v>13</v>
      </c>
      <c r="S32">
        <v>201.2</v>
      </c>
      <c r="T32" t="s">
        <v>13</v>
      </c>
      <c r="U32" t="s">
        <v>14</v>
      </c>
      <c r="V32">
        <v>42</v>
      </c>
      <c r="W32">
        <v>3</v>
      </c>
      <c r="X32">
        <v>31</v>
      </c>
      <c r="Y32" t="s">
        <v>15</v>
      </c>
      <c r="Z32">
        <v>75</v>
      </c>
      <c r="AA32">
        <v>57</v>
      </c>
      <c r="AB32">
        <v>5</v>
      </c>
      <c r="AC32">
        <v>1016566</v>
      </c>
      <c r="AD32">
        <v>389.98</v>
      </c>
      <c r="AE32" t="s">
        <v>16</v>
      </c>
      <c r="AF32">
        <v>242.32</v>
      </c>
      <c r="AG32" t="s">
        <v>17</v>
      </c>
      <c r="AH32" t="s">
        <v>89</v>
      </c>
      <c r="AI32" t="s">
        <v>674</v>
      </c>
    </row>
    <row r="33" spans="2:35" x14ac:dyDescent="0.25">
      <c r="B33" s="2" t="s">
        <v>90</v>
      </c>
      <c r="C33" t="s">
        <v>5</v>
      </c>
      <c r="D33">
        <v>7</v>
      </c>
      <c r="E33" t="s">
        <v>6</v>
      </c>
      <c r="F33" t="s">
        <v>21</v>
      </c>
      <c r="G33" t="s">
        <v>91</v>
      </c>
      <c r="H33" t="s">
        <v>23</v>
      </c>
      <c r="I33" t="s">
        <v>10</v>
      </c>
      <c r="J33" t="s">
        <v>92</v>
      </c>
      <c r="K33">
        <v>11970</v>
      </c>
      <c r="L33">
        <v>15</v>
      </c>
      <c r="M33" t="s">
        <v>12</v>
      </c>
      <c r="O33">
        <v>434</v>
      </c>
      <c r="P33" t="s">
        <v>13</v>
      </c>
      <c r="Q33">
        <v>692</v>
      </c>
      <c r="R33" t="s">
        <v>13</v>
      </c>
      <c r="S33">
        <v>149</v>
      </c>
      <c r="T33" t="s">
        <v>13</v>
      </c>
      <c r="U33" t="s">
        <v>14</v>
      </c>
      <c r="V33">
        <v>42</v>
      </c>
      <c r="W33">
        <v>37</v>
      </c>
      <c r="X33">
        <v>31.3</v>
      </c>
      <c r="Y33" t="s">
        <v>15</v>
      </c>
      <c r="Z33">
        <v>74</v>
      </c>
      <c r="AA33">
        <v>0</v>
      </c>
      <c r="AB33">
        <v>36.700000000000003</v>
      </c>
      <c r="AC33">
        <v>1231728</v>
      </c>
      <c r="AD33">
        <v>228.8</v>
      </c>
      <c r="AE33" t="s">
        <v>16</v>
      </c>
      <c r="AF33">
        <v>142.16999999999999</v>
      </c>
      <c r="AG33" t="s">
        <v>17</v>
      </c>
      <c r="AH33" t="s">
        <v>73</v>
      </c>
      <c r="AI33" t="s">
        <v>675</v>
      </c>
    </row>
    <row r="34" spans="2:35" x14ac:dyDescent="0.25">
      <c r="B34" s="2" t="s">
        <v>85</v>
      </c>
      <c r="C34" t="s">
        <v>5</v>
      </c>
      <c r="D34">
        <v>7</v>
      </c>
      <c r="E34" t="s">
        <v>6</v>
      </c>
      <c r="F34" t="s">
        <v>656</v>
      </c>
      <c r="G34" t="s">
        <v>654</v>
      </c>
      <c r="H34" t="s">
        <v>23</v>
      </c>
      <c r="I34" t="s">
        <v>10</v>
      </c>
      <c r="J34" t="s">
        <v>93</v>
      </c>
      <c r="K34">
        <v>1328</v>
      </c>
      <c r="L34">
        <v>34</v>
      </c>
      <c r="M34" t="s">
        <v>12</v>
      </c>
      <c r="O34">
        <v>506</v>
      </c>
      <c r="P34" t="s">
        <v>13</v>
      </c>
      <c r="Q34">
        <v>518.20000000000005</v>
      </c>
      <c r="R34" t="s">
        <v>13</v>
      </c>
      <c r="S34">
        <v>513.9</v>
      </c>
      <c r="T34" t="s">
        <v>13</v>
      </c>
      <c r="U34" t="s">
        <v>14</v>
      </c>
      <c r="V34">
        <v>40</v>
      </c>
      <c r="W34">
        <v>42</v>
      </c>
      <c r="X34">
        <v>46.8</v>
      </c>
      <c r="Y34" t="s">
        <v>15</v>
      </c>
      <c r="Z34">
        <v>74</v>
      </c>
      <c r="AA34">
        <v>0</v>
      </c>
      <c r="AB34">
        <v>47.3</v>
      </c>
      <c r="AC34">
        <v>1263701</v>
      </c>
      <c r="AD34">
        <v>295.45</v>
      </c>
      <c r="AE34" t="s">
        <v>16</v>
      </c>
      <c r="AF34">
        <v>183.59</v>
      </c>
      <c r="AG34" t="s">
        <v>17</v>
      </c>
      <c r="AH34" t="s">
        <v>33</v>
      </c>
      <c r="AI34" t="s">
        <v>673</v>
      </c>
    </row>
    <row r="35" spans="2:35" x14ac:dyDescent="0.25">
      <c r="B35" s="2" t="s">
        <v>94</v>
      </c>
      <c r="C35" t="s">
        <v>5</v>
      </c>
      <c r="D35">
        <v>7</v>
      </c>
      <c r="E35" t="s">
        <v>6</v>
      </c>
      <c r="F35" t="s">
        <v>656</v>
      </c>
      <c r="G35" t="s">
        <v>65</v>
      </c>
      <c r="H35" t="s">
        <v>23</v>
      </c>
      <c r="I35" t="s">
        <v>10</v>
      </c>
      <c r="J35">
        <f>- -34576</f>
        <v>34576</v>
      </c>
      <c r="K35">
        <v>62210</v>
      </c>
      <c r="L35">
        <v>40</v>
      </c>
      <c r="M35" t="s">
        <v>12</v>
      </c>
      <c r="N35" t="s">
        <v>53</v>
      </c>
      <c r="O35">
        <v>369.8</v>
      </c>
      <c r="P35" t="s">
        <v>13</v>
      </c>
      <c r="Q35">
        <v>765.3</v>
      </c>
      <c r="R35" t="s">
        <v>13</v>
      </c>
      <c r="S35">
        <v>270</v>
      </c>
      <c r="T35" t="s">
        <v>13</v>
      </c>
      <c r="U35" t="s">
        <v>14</v>
      </c>
      <c r="V35">
        <v>42</v>
      </c>
      <c r="W35">
        <v>3</v>
      </c>
      <c r="X35">
        <v>22</v>
      </c>
      <c r="Y35" t="s">
        <v>15</v>
      </c>
      <c r="Z35">
        <v>75</v>
      </c>
      <c r="AA35">
        <v>56</v>
      </c>
      <c r="AB35">
        <v>38</v>
      </c>
      <c r="AC35">
        <v>1065310</v>
      </c>
      <c r="AD35">
        <v>389.4</v>
      </c>
      <c r="AE35" t="s">
        <v>16</v>
      </c>
      <c r="AF35">
        <v>241.96</v>
      </c>
      <c r="AG35" t="s">
        <v>17</v>
      </c>
      <c r="AH35" t="s">
        <v>95</v>
      </c>
      <c r="AI35" t="s">
        <v>676</v>
      </c>
    </row>
    <row r="36" spans="2:35" x14ac:dyDescent="0.25">
      <c r="B36" s="2" t="s">
        <v>85</v>
      </c>
      <c r="C36" t="s">
        <v>5</v>
      </c>
      <c r="D36">
        <v>7</v>
      </c>
      <c r="E36" t="s">
        <v>96</v>
      </c>
      <c r="F36" t="s">
        <v>21</v>
      </c>
      <c r="G36" t="s">
        <v>654</v>
      </c>
      <c r="H36" t="s">
        <v>23</v>
      </c>
      <c r="I36" t="s">
        <v>10</v>
      </c>
      <c r="J36">
        <f>- -67857</f>
        <v>67857</v>
      </c>
      <c r="K36">
        <v>1328</v>
      </c>
      <c r="L36">
        <v>20.100000000000001</v>
      </c>
      <c r="M36" t="s">
        <v>12</v>
      </c>
      <c r="O36">
        <v>360</v>
      </c>
      <c r="P36" t="s">
        <v>13</v>
      </c>
      <c r="Q36">
        <v>372.5</v>
      </c>
      <c r="R36" t="s">
        <v>13</v>
      </c>
      <c r="S36">
        <v>357</v>
      </c>
      <c r="T36" t="s">
        <v>13</v>
      </c>
      <c r="U36" t="s">
        <v>14</v>
      </c>
      <c r="V36">
        <v>40</v>
      </c>
      <c r="W36">
        <v>44</v>
      </c>
      <c r="X36">
        <v>54</v>
      </c>
      <c r="Y36" t="s">
        <v>15</v>
      </c>
      <c r="Z36">
        <v>73</v>
      </c>
      <c r="AA36">
        <v>59</v>
      </c>
      <c r="AB36">
        <v>9</v>
      </c>
      <c r="AC36">
        <v>1007048</v>
      </c>
      <c r="AD36">
        <v>291.18</v>
      </c>
      <c r="AE36" t="s">
        <v>16</v>
      </c>
      <c r="AF36">
        <v>180.93</v>
      </c>
      <c r="AG36" t="s">
        <v>17</v>
      </c>
      <c r="AH36" t="s">
        <v>50</v>
      </c>
      <c r="AI36" t="s">
        <v>673</v>
      </c>
    </row>
    <row r="37" spans="2:35" x14ac:dyDescent="0.25">
      <c r="B37" s="2" t="s">
        <v>85</v>
      </c>
      <c r="C37" t="s">
        <v>5</v>
      </c>
      <c r="D37">
        <v>7</v>
      </c>
      <c r="E37" t="s">
        <v>96</v>
      </c>
      <c r="F37" t="s">
        <v>7</v>
      </c>
      <c r="G37" t="s">
        <v>654</v>
      </c>
      <c r="H37" t="s">
        <v>23</v>
      </c>
      <c r="I37" t="s">
        <v>10</v>
      </c>
      <c r="J37">
        <f>- -67953</f>
        <v>67953</v>
      </c>
      <c r="K37">
        <v>1328</v>
      </c>
      <c r="L37">
        <v>100</v>
      </c>
      <c r="M37" t="s">
        <v>12</v>
      </c>
      <c r="N37" t="s">
        <v>53</v>
      </c>
      <c r="O37">
        <v>213.6</v>
      </c>
      <c r="P37" t="s">
        <v>13</v>
      </c>
      <c r="Q37">
        <v>277.7</v>
      </c>
      <c r="R37" t="s">
        <v>13</v>
      </c>
      <c r="S37">
        <v>88.1</v>
      </c>
      <c r="T37" t="s">
        <v>13</v>
      </c>
      <c r="U37" t="s">
        <v>14</v>
      </c>
      <c r="V37">
        <v>40</v>
      </c>
      <c r="W37">
        <v>48</v>
      </c>
      <c r="X37">
        <v>7.6</v>
      </c>
      <c r="Y37" t="s">
        <v>15</v>
      </c>
      <c r="Z37">
        <v>74</v>
      </c>
      <c r="AA37">
        <v>14</v>
      </c>
      <c r="AB37">
        <v>45.5</v>
      </c>
      <c r="AC37">
        <v>1060205</v>
      </c>
      <c r="AD37">
        <v>304.95</v>
      </c>
      <c r="AE37" t="s">
        <v>16</v>
      </c>
      <c r="AF37">
        <v>189.49</v>
      </c>
      <c r="AG37" t="s">
        <v>17</v>
      </c>
      <c r="AH37" t="s">
        <v>54</v>
      </c>
      <c r="AI37" t="s">
        <v>673</v>
      </c>
    </row>
    <row r="38" spans="2:35" x14ac:dyDescent="0.25">
      <c r="B38" s="2" t="s">
        <v>97</v>
      </c>
      <c r="C38" t="s">
        <v>5</v>
      </c>
      <c r="D38">
        <v>7</v>
      </c>
      <c r="E38" t="s">
        <v>6</v>
      </c>
      <c r="F38" t="s">
        <v>7</v>
      </c>
      <c r="G38" t="s">
        <v>27</v>
      </c>
      <c r="H38" t="s">
        <v>28</v>
      </c>
      <c r="I38" t="s">
        <v>10</v>
      </c>
      <c r="J38">
        <f>- -28410</f>
        <v>28410</v>
      </c>
      <c r="K38">
        <v>47404</v>
      </c>
      <c r="L38">
        <v>27</v>
      </c>
      <c r="M38" t="s">
        <v>12</v>
      </c>
      <c r="O38">
        <v>308.8</v>
      </c>
      <c r="P38" t="s">
        <v>13</v>
      </c>
      <c r="Q38">
        <v>340.3</v>
      </c>
      <c r="R38" t="s">
        <v>13</v>
      </c>
      <c r="S38">
        <v>287.3</v>
      </c>
      <c r="T38" t="s">
        <v>13</v>
      </c>
      <c r="U38" t="s">
        <v>14</v>
      </c>
      <c r="V38">
        <v>41</v>
      </c>
      <c r="W38">
        <v>52</v>
      </c>
      <c r="X38">
        <v>14</v>
      </c>
      <c r="Y38" t="s">
        <v>15</v>
      </c>
      <c r="Z38">
        <v>71</v>
      </c>
      <c r="AA38">
        <v>17</v>
      </c>
      <c r="AB38">
        <v>43</v>
      </c>
      <c r="AC38">
        <v>1038231</v>
      </c>
      <c r="AD38">
        <v>56.08</v>
      </c>
      <c r="AE38" t="s">
        <v>16</v>
      </c>
      <c r="AF38">
        <v>34.85</v>
      </c>
      <c r="AG38" t="s">
        <v>17</v>
      </c>
      <c r="AH38" t="s">
        <v>98</v>
      </c>
      <c r="AI38" t="s">
        <v>677</v>
      </c>
    </row>
    <row r="39" spans="2:35" x14ac:dyDescent="0.25">
      <c r="B39" s="2" t="s">
        <v>99</v>
      </c>
      <c r="C39" t="s">
        <v>5</v>
      </c>
      <c r="D39">
        <v>7</v>
      </c>
      <c r="E39" t="s">
        <v>6</v>
      </c>
      <c r="F39" t="s">
        <v>7</v>
      </c>
      <c r="G39" t="s">
        <v>100</v>
      </c>
      <c r="H39" t="s">
        <v>101</v>
      </c>
      <c r="I39" t="s">
        <v>10</v>
      </c>
      <c r="J39">
        <f>- -29889</f>
        <v>29889</v>
      </c>
      <c r="K39">
        <v>11259</v>
      </c>
      <c r="L39">
        <v>14</v>
      </c>
      <c r="M39" t="s">
        <v>12</v>
      </c>
      <c r="N39" t="s">
        <v>53</v>
      </c>
      <c r="O39">
        <v>831</v>
      </c>
      <c r="P39" t="s">
        <v>13</v>
      </c>
      <c r="Q39">
        <v>1253.5</v>
      </c>
      <c r="R39" t="s">
        <v>13</v>
      </c>
      <c r="S39">
        <v>30.5</v>
      </c>
      <c r="T39" t="s">
        <v>13</v>
      </c>
      <c r="U39" t="s">
        <v>14</v>
      </c>
      <c r="V39">
        <v>44</v>
      </c>
      <c r="W39">
        <v>31</v>
      </c>
      <c r="X39">
        <v>33.19</v>
      </c>
      <c r="Y39" t="s">
        <v>15</v>
      </c>
      <c r="Z39">
        <v>72</v>
      </c>
      <c r="AA39">
        <v>48</v>
      </c>
      <c r="AB39">
        <v>55.44</v>
      </c>
      <c r="AC39" t="s">
        <v>11</v>
      </c>
      <c r="AD39">
        <v>270.64999999999998</v>
      </c>
      <c r="AE39" t="s">
        <v>16</v>
      </c>
      <c r="AF39">
        <v>168.17</v>
      </c>
      <c r="AG39" t="s">
        <v>17</v>
      </c>
      <c r="AH39" t="s">
        <v>102</v>
      </c>
      <c r="AI39" t="s">
        <v>678</v>
      </c>
    </row>
    <row r="40" spans="2:35" x14ac:dyDescent="0.25">
      <c r="B40" s="2" t="s">
        <v>103</v>
      </c>
      <c r="C40" t="s">
        <v>5</v>
      </c>
      <c r="D40">
        <v>8</v>
      </c>
      <c r="E40" t="s">
        <v>6</v>
      </c>
      <c r="F40" t="s">
        <v>21</v>
      </c>
      <c r="G40" t="s">
        <v>679</v>
      </c>
      <c r="H40" t="s">
        <v>31</v>
      </c>
      <c r="I40" t="s">
        <v>10</v>
      </c>
      <c r="J40" t="s">
        <v>104</v>
      </c>
      <c r="K40">
        <v>48457</v>
      </c>
      <c r="L40">
        <v>40.82</v>
      </c>
      <c r="M40" t="s">
        <v>12</v>
      </c>
      <c r="N40" t="s">
        <v>53</v>
      </c>
      <c r="O40">
        <v>218</v>
      </c>
      <c r="P40" t="s">
        <v>13</v>
      </c>
      <c r="Q40">
        <v>281</v>
      </c>
      <c r="R40" t="s">
        <v>13</v>
      </c>
      <c r="S40">
        <v>114</v>
      </c>
      <c r="T40" t="s">
        <v>13</v>
      </c>
      <c r="U40" t="s">
        <v>14</v>
      </c>
      <c r="V40">
        <v>40</v>
      </c>
      <c r="W40">
        <v>37</v>
      </c>
      <c r="X40">
        <v>17</v>
      </c>
      <c r="Y40" t="s">
        <v>15</v>
      </c>
      <c r="Z40">
        <v>74</v>
      </c>
      <c r="AA40">
        <v>30</v>
      </c>
      <c r="AB40">
        <v>14</v>
      </c>
      <c r="AC40">
        <v>1045121</v>
      </c>
      <c r="AD40">
        <v>334.41</v>
      </c>
      <c r="AE40" t="s">
        <v>16</v>
      </c>
      <c r="AF40">
        <v>207.79</v>
      </c>
      <c r="AG40" t="s">
        <v>17</v>
      </c>
      <c r="AH40" t="s">
        <v>105</v>
      </c>
      <c r="AI40" t="s">
        <v>680</v>
      </c>
    </row>
    <row r="41" spans="2:35" x14ac:dyDescent="0.25">
      <c r="B41" s="2" t="s">
        <v>103</v>
      </c>
      <c r="C41" t="s">
        <v>5</v>
      </c>
      <c r="D41">
        <v>8</v>
      </c>
      <c r="E41" t="s">
        <v>96</v>
      </c>
      <c r="F41" t="s">
        <v>21</v>
      </c>
      <c r="G41" t="s">
        <v>679</v>
      </c>
      <c r="H41" t="s">
        <v>31</v>
      </c>
      <c r="I41" t="s">
        <v>10</v>
      </c>
      <c r="J41">
        <f>- -23059</f>
        <v>23059</v>
      </c>
      <c r="K41">
        <v>48457</v>
      </c>
      <c r="L41">
        <v>24.9</v>
      </c>
      <c r="M41" t="s">
        <v>12</v>
      </c>
      <c r="N41" t="s">
        <v>53</v>
      </c>
      <c r="O41">
        <v>200.5</v>
      </c>
      <c r="P41" t="s">
        <v>13</v>
      </c>
      <c r="Q41">
        <v>264</v>
      </c>
      <c r="R41" t="s">
        <v>13</v>
      </c>
      <c r="S41">
        <v>96.9</v>
      </c>
      <c r="T41" t="s">
        <v>13</v>
      </c>
      <c r="U41" t="s">
        <v>14</v>
      </c>
      <c r="V41">
        <v>40</v>
      </c>
      <c r="W41">
        <v>37</v>
      </c>
      <c r="X41">
        <v>17</v>
      </c>
      <c r="Y41" t="s">
        <v>15</v>
      </c>
      <c r="Z41">
        <v>74</v>
      </c>
      <c r="AA41">
        <v>30</v>
      </c>
      <c r="AB41">
        <v>14</v>
      </c>
      <c r="AC41">
        <v>1045121</v>
      </c>
      <c r="AD41">
        <v>334.41</v>
      </c>
      <c r="AE41" t="s">
        <v>16</v>
      </c>
      <c r="AF41">
        <v>207.79</v>
      </c>
      <c r="AG41" t="s">
        <v>17</v>
      </c>
      <c r="AH41" t="s">
        <v>105</v>
      </c>
      <c r="AI41" t="s">
        <v>680</v>
      </c>
    </row>
    <row r="42" spans="2:35" x14ac:dyDescent="0.25">
      <c r="B42" s="2" t="s">
        <v>106</v>
      </c>
      <c r="C42" t="s">
        <v>5</v>
      </c>
      <c r="D42">
        <v>8</v>
      </c>
      <c r="E42" t="s">
        <v>6</v>
      </c>
      <c r="F42" t="s">
        <v>7</v>
      </c>
      <c r="G42" t="s">
        <v>107</v>
      </c>
      <c r="H42" t="s">
        <v>31</v>
      </c>
      <c r="I42" t="s">
        <v>10</v>
      </c>
      <c r="J42">
        <f>- -40676</f>
        <v>40676</v>
      </c>
      <c r="K42">
        <v>48477</v>
      </c>
      <c r="L42">
        <v>40.82</v>
      </c>
      <c r="M42" t="s">
        <v>12</v>
      </c>
      <c r="N42" t="s">
        <v>53</v>
      </c>
      <c r="O42">
        <v>218</v>
      </c>
      <c r="P42" t="s">
        <v>13</v>
      </c>
      <c r="Q42">
        <v>281.10000000000002</v>
      </c>
      <c r="R42" t="s">
        <v>13</v>
      </c>
      <c r="S42">
        <v>114</v>
      </c>
      <c r="T42" t="s">
        <v>13</v>
      </c>
      <c r="U42" t="s">
        <v>14</v>
      </c>
      <c r="V42">
        <v>40</v>
      </c>
      <c r="W42">
        <v>37</v>
      </c>
      <c r="X42">
        <v>17</v>
      </c>
      <c r="Y42" t="s">
        <v>15</v>
      </c>
      <c r="Z42">
        <v>74</v>
      </c>
      <c r="AA42">
        <v>30</v>
      </c>
      <c r="AB42">
        <v>14</v>
      </c>
      <c r="AC42">
        <v>1045121</v>
      </c>
      <c r="AD42">
        <v>334.41</v>
      </c>
      <c r="AE42" t="s">
        <v>16</v>
      </c>
      <c r="AF42">
        <v>207.79</v>
      </c>
      <c r="AG42" t="s">
        <v>17</v>
      </c>
      <c r="AH42" t="s">
        <v>105</v>
      </c>
      <c r="AI42" t="s">
        <v>680</v>
      </c>
    </row>
    <row r="43" spans="2:35" x14ac:dyDescent="0.25">
      <c r="B43" s="2" t="s">
        <v>103</v>
      </c>
      <c r="C43" t="s">
        <v>5</v>
      </c>
      <c r="D43">
        <v>8</v>
      </c>
      <c r="E43" t="s">
        <v>6</v>
      </c>
      <c r="F43" t="s">
        <v>7</v>
      </c>
      <c r="G43" t="s">
        <v>679</v>
      </c>
      <c r="H43" t="s">
        <v>31</v>
      </c>
      <c r="I43" t="s">
        <v>10</v>
      </c>
      <c r="J43">
        <f>- -40678</f>
        <v>40678</v>
      </c>
      <c r="K43">
        <v>48457</v>
      </c>
      <c r="L43">
        <v>40.82</v>
      </c>
      <c r="M43" t="s">
        <v>12</v>
      </c>
      <c r="N43" t="s">
        <v>53</v>
      </c>
      <c r="O43">
        <v>218</v>
      </c>
      <c r="P43" t="s">
        <v>13</v>
      </c>
      <c r="Q43">
        <v>281.10000000000002</v>
      </c>
      <c r="R43" t="s">
        <v>13</v>
      </c>
      <c r="S43">
        <v>114</v>
      </c>
      <c r="T43" t="s">
        <v>13</v>
      </c>
      <c r="U43" t="s">
        <v>14</v>
      </c>
      <c r="V43">
        <v>40</v>
      </c>
      <c r="W43">
        <v>37</v>
      </c>
      <c r="X43">
        <v>17</v>
      </c>
      <c r="Y43" t="s">
        <v>15</v>
      </c>
      <c r="Z43">
        <v>74</v>
      </c>
      <c r="AA43">
        <v>30</v>
      </c>
      <c r="AB43">
        <v>14</v>
      </c>
      <c r="AC43">
        <v>1045121</v>
      </c>
      <c r="AD43">
        <v>334.41</v>
      </c>
      <c r="AE43" t="s">
        <v>16</v>
      </c>
      <c r="AF43">
        <v>207.79</v>
      </c>
      <c r="AG43" t="s">
        <v>17</v>
      </c>
      <c r="AH43" t="s">
        <v>105</v>
      </c>
      <c r="AI43" t="s">
        <v>680</v>
      </c>
    </row>
    <row r="44" spans="2:35" x14ac:dyDescent="0.25">
      <c r="B44" s="2" t="s">
        <v>94</v>
      </c>
      <c r="C44" t="s">
        <v>5</v>
      </c>
      <c r="D44">
        <v>8</v>
      </c>
      <c r="E44" t="s">
        <v>6</v>
      </c>
      <c r="F44" t="s">
        <v>21</v>
      </c>
      <c r="G44" t="s">
        <v>65</v>
      </c>
      <c r="H44" t="s">
        <v>23</v>
      </c>
      <c r="I44" t="s">
        <v>10</v>
      </c>
      <c r="J44" t="s">
        <v>108</v>
      </c>
      <c r="K44">
        <v>62210</v>
      </c>
      <c r="L44">
        <v>7.9</v>
      </c>
      <c r="M44" t="s">
        <v>12</v>
      </c>
      <c r="N44" t="s">
        <v>53</v>
      </c>
      <c r="O44">
        <v>371</v>
      </c>
      <c r="P44" t="s">
        <v>13</v>
      </c>
      <c r="Q44">
        <v>765.3</v>
      </c>
      <c r="R44" t="s">
        <v>13</v>
      </c>
      <c r="S44">
        <v>270</v>
      </c>
      <c r="T44" t="s">
        <v>13</v>
      </c>
      <c r="U44" t="s">
        <v>14</v>
      </c>
      <c r="V44">
        <v>42</v>
      </c>
      <c r="W44">
        <v>3</v>
      </c>
      <c r="X44">
        <v>22</v>
      </c>
      <c r="Y44" t="s">
        <v>15</v>
      </c>
      <c r="Z44">
        <v>75</v>
      </c>
      <c r="AA44">
        <v>56</v>
      </c>
      <c r="AB44">
        <v>38</v>
      </c>
      <c r="AC44">
        <v>1065310</v>
      </c>
      <c r="AD44">
        <v>389.4</v>
      </c>
      <c r="AE44" t="s">
        <v>16</v>
      </c>
      <c r="AF44">
        <v>241.96</v>
      </c>
      <c r="AG44" t="s">
        <v>17</v>
      </c>
      <c r="AH44" t="s">
        <v>95</v>
      </c>
      <c r="AI44" t="s">
        <v>676</v>
      </c>
    </row>
    <row r="45" spans="2:35" x14ac:dyDescent="0.25">
      <c r="B45" s="2" t="s">
        <v>87</v>
      </c>
      <c r="C45" t="s">
        <v>5</v>
      </c>
      <c r="D45">
        <v>8</v>
      </c>
      <c r="E45" t="s">
        <v>6</v>
      </c>
      <c r="F45" t="s">
        <v>7</v>
      </c>
      <c r="G45" t="s">
        <v>65</v>
      </c>
      <c r="H45" t="s">
        <v>23</v>
      </c>
      <c r="I45" t="s">
        <v>10</v>
      </c>
      <c r="J45">
        <f>- -27445</f>
        <v>27445</v>
      </c>
      <c r="K45">
        <v>23337</v>
      </c>
      <c r="L45">
        <v>34</v>
      </c>
      <c r="M45" t="s">
        <v>12</v>
      </c>
      <c r="O45">
        <v>342.3</v>
      </c>
      <c r="P45" t="s">
        <v>13</v>
      </c>
      <c r="Q45">
        <v>739.2</v>
      </c>
      <c r="R45" t="s">
        <v>13</v>
      </c>
      <c r="S45">
        <v>201.2</v>
      </c>
      <c r="T45" t="s">
        <v>13</v>
      </c>
      <c r="U45" t="s">
        <v>14</v>
      </c>
      <c r="V45">
        <v>42</v>
      </c>
      <c r="W45">
        <v>3</v>
      </c>
      <c r="X45">
        <v>31</v>
      </c>
      <c r="Y45" t="s">
        <v>15</v>
      </c>
      <c r="Z45">
        <v>75</v>
      </c>
      <c r="AA45">
        <v>57</v>
      </c>
      <c r="AB45">
        <v>5</v>
      </c>
      <c r="AC45">
        <v>1016566</v>
      </c>
      <c r="AD45">
        <v>389.98</v>
      </c>
      <c r="AE45" t="s">
        <v>16</v>
      </c>
      <c r="AF45">
        <v>242.32</v>
      </c>
      <c r="AG45" t="s">
        <v>17</v>
      </c>
      <c r="AH45" t="s">
        <v>89</v>
      </c>
      <c r="AI45" t="s">
        <v>674</v>
      </c>
    </row>
    <row r="46" spans="2:35" x14ac:dyDescent="0.25">
      <c r="B46" s="2" t="s">
        <v>90</v>
      </c>
      <c r="C46" t="s">
        <v>5</v>
      </c>
      <c r="D46">
        <v>8</v>
      </c>
      <c r="E46" t="s">
        <v>6</v>
      </c>
      <c r="F46" t="s">
        <v>656</v>
      </c>
      <c r="G46" t="s">
        <v>91</v>
      </c>
      <c r="H46" t="s">
        <v>23</v>
      </c>
      <c r="I46" t="s">
        <v>10</v>
      </c>
      <c r="J46">
        <f>- -34860</f>
        <v>34860</v>
      </c>
      <c r="K46">
        <v>11970</v>
      </c>
      <c r="L46">
        <v>22</v>
      </c>
      <c r="M46" t="s">
        <v>12</v>
      </c>
      <c r="O46">
        <v>437.2</v>
      </c>
      <c r="P46" t="s">
        <v>13</v>
      </c>
      <c r="Q46">
        <v>691.8</v>
      </c>
      <c r="R46" t="s">
        <v>13</v>
      </c>
      <c r="S46">
        <v>149</v>
      </c>
      <c r="T46" t="s">
        <v>13</v>
      </c>
      <c r="U46" t="s">
        <v>14</v>
      </c>
      <c r="V46">
        <v>42</v>
      </c>
      <c r="W46">
        <v>37</v>
      </c>
      <c r="X46">
        <v>31.3</v>
      </c>
      <c r="Y46" t="s">
        <v>15</v>
      </c>
      <c r="Z46">
        <v>74</v>
      </c>
      <c r="AA46">
        <v>0</v>
      </c>
      <c r="AB46">
        <v>36.700000000000003</v>
      </c>
      <c r="AC46">
        <v>1231728</v>
      </c>
      <c r="AD46">
        <v>228.8</v>
      </c>
      <c r="AE46" t="s">
        <v>16</v>
      </c>
      <c r="AF46">
        <v>142.16999999999999</v>
      </c>
      <c r="AG46" t="s">
        <v>17</v>
      </c>
      <c r="AH46" t="s">
        <v>73</v>
      </c>
      <c r="AI46" t="s">
        <v>675</v>
      </c>
    </row>
    <row r="47" spans="2:35" x14ac:dyDescent="0.25">
      <c r="B47" s="2" t="s">
        <v>11</v>
      </c>
      <c r="C47" t="s">
        <v>5</v>
      </c>
      <c r="D47">
        <v>8</v>
      </c>
      <c r="E47" t="s">
        <v>6</v>
      </c>
      <c r="F47" t="s">
        <v>7</v>
      </c>
      <c r="G47" t="s">
        <v>109</v>
      </c>
      <c r="H47" t="s">
        <v>110</v>
      </c>
      <c r="I47" t="s">
        <v>111</v>
      </c>
      <c r="J47" t="e">
        <f>- -CANADA308</f>
        <v>#NAME?</v>
      </c>
      <c r="K47">
        <v>704040</v>
      </c>
      <c r="L47">
        <v>4</v>
      </c>
      <c r="M47" t="s">
        <v>12</v>
      </c>
      <c r="N47" t="s">
        <v>53</v>
      </c>
      <c r="O47">
        <v>0</v>
      </c>
      <c r="P47" t="s">
        <v>13</v>
      </c>
      <c r="Q47">
        <v>881</v>
      </c>
      <c r="R47" t="s">
        <v>13</v>
      </c>
      <c r="S47">
        <v>0</v>
      </c>
      <c r="T47" t="s">
        <v>13</v>
      </c>
      <c r="U47" t="s">
        <v>14</v>
      </c>
      <c r="V47">
        <v>45</v>
      </c>
      <c r="W47">
        <v>18</v>
      </c>
      <c r="X47">
        <v>43.15</v>
      </c>
      <c r="Y47" t="s">
        <v>15</v>
      </c>
      <c r="Z47">
        <v>72</v>
      </c>
      <c r="AA47">
        <v>14</v>
      </c>
      <c r="AB47">
        <v>30.39</v>
      </c>
      <c r="AC47" t="s">
        <v>11</v>
      </c>
      <c r="AD47">
        <v>336.06</v>
      </c>
      <c r="AE47" t="s">
        <v>16</v>
      </c>
      <c r="AF47">
        <v>208.82</v>
      </c>
      <c r="AG47" t="s">
        <v>17</v>
      </c>
      <c r="AH47" t="s">
        <v>112</v>
      </c>
      <c r="AI47" t="s">
        <v>11</v>
      </c>
    </row>
    <row r="48" spans="2:35" x14ac:dyDescent="0.25">
      <c r="B48" s="2" t="s">
        <v>113</v>
      </c>
      <c r="C48" t="s">
        <v>5</v>
      </c>
      <c r="D48">
        <v>9</v>
      </c>
      <c r="E48" t="s">
        <v>6</v>
      </c>
      <c r="F48" t="s">
        <v>21</v>
      </c>
      <c r="G48" t="s">
        <v>114</v>
      </c>
      <c r="H48" t="s">
        <v>115</v>
      </c>
      <c r="I48" t="s">
        <v>10</v>
      </c>
      <c r="J48" t="s">
        <v>116</v>
      </c>
      <c r="K48">
        <v>13607</v>
      </c>
      <c r="L48">
        <v>4.2</v>
      </c>
      <c r="M48" t="s">
        <v>12</v>
      </c>
      <c r="N48" t="s">
        <v>53</v>
      </c>
      <c r="O48">
        <v>192</v>
      </c>
      <c r="P48" t="s">
        <v>13</v>
      </c>
      <c r="Q48">
        <v>284</v>
      </c>
      <c r="R48" t="s">
        <v>13</v>
      </c>
      <c r="S48">
        <v>129</v>
      </c>
      <c r="T48" t="s">
        <v>13</v>
      </c>
      <c r="U48" t="s">
        <v>14</v>
      </c>
      <c r="V48">
        <v>41</v>
      </c>
      <c r="W48">
        <v>31</v>
      </c>
      <c r="X48">
        <v>14</v>
      </c>
      <c r="Y48" t="s">
        <v>15</v>
      </c>
      <c r="Z48">
        <v>72</v>
      </c>
      <c r="AA48">
        <v>10</v>
      </c>
      <c r="AB48">
        <v>1</v>
      </c>
      <c r="AC48">
        <v>1035286</v>
      </c>
      <c r="AD48">
        <v>121.66</v>
      </c>
      <c r="AE48" t="s">
        <v>16</v>
      </c>
      <c r="AF48">
        <v>75.599999999999994</v>
      </c>
      <c r="AG48" t="s">
        <v>17</v>
      </c>
      <c r="AH48" t="s">
        <v>117</v>
      </c>
      <c r="AI48" t="s">
        <v>681</v>
      </c>
    </row>
    <row r="49" spans="2:35" x14ac:dyDescent="0.25">
      <c r="B49" s="2" t="s">
        <v>113</v>
      </c>
      <c r="C49" t="s">
        <v>5</v>
      </c>
      <c r="D49">
        <v>9</v>
      </c>
      <c r="E49" t="s">
        <v>6</v>
      </c>
      <c r="F49" t="s">
        <v>7</v>
      </c>
      <c r="G49" t="s">
        <v>114</v>
      </c>
      <c r="H49" t="s">
        <v>115</v>
      </c>
      <c r="I49" t="s">
        <v>10</v>
      </c>
      <c r="J49">
        <f>- -19302</f>
        <v>19302</v>
      </c>
      <c r="K49">
        <v>13607</v>
      </c>
      <c r="L49">
        <v>4.2</v>
      </c>
      <c r="M49" t="s">
        <v>12</v>
      </c>
      <c r="N49" t="s">
        <v>53</v>
      </c>
      <c r="O49">
        <v>192</v>
      </c>
      <c r="P49" t="s">
        <v>13</v>
      </c>
      <c r="Q49">
        <v>284.39999999999998</v>
      </c>
      <c r="R49" t="s">
        <v>13</v>
      </c>
      <c r="S49">
        <v>129</v>
      </c>
      <c r="T49" t="s">
        <v>13</v>
      </c>
      <c r="U49" t="s">
        <v>14</v>
      </c>
      <c r="V49">
        <v>41</v>
      </c>
      <c r="W49">
        <v>31</v>
      </c>
      <c r="X49">
        <v>14</v>
      </c>
      <c r="Y49" t="s">
        <v>15</v>
      </c>
      <c r="Z49">
        <v>72</v>
      </c>
      <c r="AA49">
        <v>10</v>
      </c>
      <c r="AB49">
        <v>1</v>
      </c>
      <c r="AC49">
        <v>1035286</v>
      </c>
      <c r="AD49">
        <v>121.66</v>
      </c>
      <c r="AE49" t="s">
        <v>16</v>
      </c>
      <c r="AF49">
        <v>75.599999999999994</v>
      </c>
      <c r="AG49" t="s">
        <v>17</v>
      </c>
      <c r="AH49" t="s">
        <v>117</v>
      </c>
      <c r="AI49" t="s">
        <v>681</v>
      </c>
    </row>
    <row r="50" spans="2:35" x14ac:dyDescent="0.25">
      <c r="B50" s="2" t="s">
        <v>118</v>
      </c>
      <c r="C50" t="s">
        <v>5</v>
      </c>
      <c r="D50">
        <v>9</v>
      </c>
      <c r="E50" t="s">
        <v>6</v>
      </c>
      <c r="F50" t="s">
        <v>21</v>
      </c>
      <c r="G50" t="s">
        <v>82</v>
      </c>
      <c r="H50" t="s">
        <v>45</v>
      </c>
      <c r="I50" t="s">
        <v>10</v>
      </c>
      <c r="J50" t="s">
        <v>119</v>
      </c>
      <c r="K50">
        <v>73292</v>
      </c>
      <c r="L50">
        <v>6.5</v>
      </c>
      <c r="M50" t="s">
        <v>12</v>
      </c>
      <c r="O50">
        <v>314</v>
      </c>
      <c r="P50" t="s">
        <v>13</v>
      </c>
      <c r="Q50">
        <v>453</v>
      </c>
      <c r="R50" t="s">
        <v>13</v>
      </c>
      <c r="S50">
        <v>57</v>
      </c>
      <c r="T50" t="s">
        <v>13</v>
      </c>
      <c r="U50" t="s">
        <v>14</v>
      </c>
      <c r="V50">
        <v>42</v>
      </c>
      <c r="W50">
        <v>59</v>
      </c>
      <c r="X50">
        <v>1.3</v>
      </c>
      <c r="Y50" t="s">
        <v>15</v>
      </c>
      <c r="Z50">
        <v>71</v>
      </c>
      <c r="AA50">
        <v>35</v>
      </c>
      <c r="AB50">
        <v>23.2</v>
      </c>
      <c r="AC50">
        <v>1033995</v>
      </c>
      <c r="AD50">
        <v>73.290000000000006</v>
      </c>
      <c r="AE50" t="s">
        <v>16</v>
      </c>
      <c r="AF50">
        <v>45.54</v>
      </c>
      <c r="AG50" t="s">
        <v>17</v>
      </c>
      <c r="AH50" t="s">
        <v>84</v>
      </c>
      <c r="AI50" t="s">
        <v>682</v>
      </c>
    </row>
    <row r="51" spans="2:35" x14ac:dyDescent="0.25">
      <c r="B51" s="2" t="s">
        <v>118</v>
      </c>
      <c r="C51" t="s">
        <v>5</v>
      </c>
      <c r="D51">
        <v>9</v>
      </c>
      <c r="E51" t="s">
        <v>6</v>
      </c>
      <c r="F51" t="s">
        <v>7</v>
      </c>
      <c r="G51" t="s">
        <v>82</v>
      </c>
      <c r="H51" t="s">
        <v>45</v>
      </c>
      <c r="I51" t="s">
        <v>10</v>
      </c>
      <c r="J51">
        <f>- -35700</f>
        <v>35700</v>
      </c>
      <c r="K51">
        <v>73292</v>
      </c>
      <c r="L51">
        <v>7.35</v>
      </c>
      <c r="M51" t="s">
        <v>12</v>
      </c>
      <c r="O51">
        <v>312.39999999999998</v>
      </c>
      <c r="P51" t="s">
        <v>13</v>
      </c>
      <c r="Q51">
        <v>453.2</v>
      </c>
      <c r="R51" t="s">
        <v>13</v>
      </c>
      <c r="S51">
        <v>57</v>
      </c>
      <c r="T51" t="s">
        <v>13</v>
      </c>
      <c r="U51" t="s">
        <v>14</v>
      </c>
      <c r="V51">
        <v>42</v>
      </c>
      <c r="W51">
        <v>59</v>
      </c>
      <c r="X51">
        <v>1.3</v>
      </c>
      <c r="Y51" t="s">
        <v>15</v>
      </c>
      <c r="Z51">
        <v>71</v>
      </c>
      <c r="AA51">
        <v>35</v>
      </c>
      <c r="AB51">
        <v>23.2</v>
      </c>
      <c r="AC51">
        <v>1033995</v>
      </c>
      <c r="AD51">
        <v>73.290000000000006</v>
      </c>
      <c r="AE51" t="s">
        <v>16</v>
      </c>
      <c r="AF51">
        <v>45.54</v>
      </c>
      <c r="AG51" t="s">
        <v>17</v>
      </c>
      <c r="AH51" t="s">
        <v>84</v>
      </c>
      <c r="AI51" t="s">
        <v>682</v>
      </c>
    </row>
    <row r="52" spans="2:35" x14ac:dyDescent="0.25">
      <c r="B52" s="2" t="s">
        <v>120</v>
      </c>
      <c r="C52" t="s">
        <v>5</v>
      </c>
      <c r="D52">
        <v>9</v>
      </c>
      <c r="E52" t="s">
        <v>20</v>
      </c>
      <c r="F52" t="s">
        <v>656</v>
      </c>
      <c r="G52" t="s">
        <v>683</v>
      </c>
      <c r="H52" t="s">
        <v>23</v>
      </c>
      <c r="I52" t="s">
        <v>10</v>
      </c>
      <c r="J52" t="s">
        <v>121</v>
      </c>
      <c r="K52">
        <v>167323</v>
      </c>
      <c r="L52">
        <v>0.3</v>
      </c>
      <c r="M52" t="s">
        <v>12</v>
      </c>
      <c r="N52" t="s">
        <v>53</v>
      </c>
      <c r="O52">
        <v>0</v>
      </c>
      <c r="P52" t="s">
        <v>13</v>
      </c>
      <c r="Q52">
        <v>530</v>
      </c>
      <c r="R52" t="s">
        <v>13</v>
      </c>
      <c r="S52">
        <v>79.5</v>
      </c>
      <c r="T52" t="s">
        <v>13</v>
      </c>
      <c r="U52" t="s">
        <v>14</v>
      </c>
      <c r="V52">
        <v>41</v>
      </c>
      <c r="W52">
        <v>12</v>
      </c>
      <c r="X52">
        <v>30.6</v>
      </c>
      <c r="Y52" t="s">
        <v>15</v>
      </c>
      <c r="Z52">
        <v>74</v>
      </c>
      <c r="AA52">
        <v>21</v>
      </c>
      <c r="AB52">
        <v>21.6</v>
      </c>
      <c r="AC52">
        <v>1006425</v>
      </c>
      <c r="AD52">
        <v>289.01</v>
      </c>
      <c r="AE52" t="s">
        <v>16</v>
      </c>
      <c r="AF52">
        <v>179.58</v>
      </c>
      <c r="AG52" t="s">
        <v>17</v>
      </c>
      <c r="AH52" t="s">
        <v>122</v>
      </c>
      <c r="AI52" t="s">
        <v>684</v>
      </c>
    </row>
    <row r="53" spans="2:35" x14ac:dyDescent="0.25">
      <c r="B53" s="2" t="s">
        <v>123</v>
      </c>
      <c r="C53" t="s">
        <v>5</v>
      </c>
      <c r="D53">
        <v>9</v>
      </c>
      <c r="E53" t="s">
        <v>20</v>
      </c>
      <c r="F53" t="s">
        <v>7</v>
      </c>
      <c r="G53" t="s">
        <v>654</v>
      </c>
      <c r="H53" t="s">
        <v>23</v>
      </c>
      <c r="I53" t="s">
        <v>10</v>
      </c>
      <c r="J53" t="s">
        <v>124</v>
      </c>
      <c r="K53">
        <v>38945</v>
      </c>
      <c r="L53">
        <v>6.8000000000000005E-2</v>
      </c>
      <c r="M53" t="s">
        <v>12</v>
      </c>
      <c r="N53" t="s">
        <v>53</v>
      </c>
      <c r="O53">
        <v>0</v>
      </c>
      <c r="P53" t="s">
        <v>13</v>
      </c>
      <c r="Q53">
        <v>213</v>
      </c>
      <c r="R53" t="s">
        <v>13</v>
      </c>
      <c r="S53">
        <v>208.1</v>
      </c>
      <c r="T53" t="s">
        <v>13</v>
      </c>
      <c r="U53" t="s">
        <v>14</v>
      </c>
      <c r="V53">
        <v>40</v>
      </c>
      <c r="W53">
        <v>44</v>
      </c>
      <c r="X53">
        <v>50.3</v>
      </c>
      <c r="Y53" t="s">
        <v>15</v>
      </c>
      <c r="Z53">
        <v>73</v>
      </c>
      <c r="AA53">
        <v>56</v>
      </c>
      <c r="AB53">
        <v>36.4</v>
      </c>
      <c r="AC53" t="s">
        <v>11</v>
      </c>
      <c r="AD53">
        <v>288.49</v>
      </c>
      <c r="AE53" t="s">
        <v>16</v>
      </c>
      <c r="AF53">
        <v>179.26</v>
      </c>
      <c r="AG53" t="s">
        <v>17</v>
      </c>
      <c r="AH53" t="s">
        <v>60</v>
      </c>
      <c r="AI53" t="s">
        <v>666</v>
      </c>
    </row>
    <row r="54" spans="2:35" x14ac:dyDescent="0.25">
      <c r="B54" s="2" t="s">
        <v>125</v>
      </c>
      <c r="C54" t="s">
        <v>5</v>
      </c>
      <c r="D54">
        <v>9</v>
      </c>
      <c r="E54" t="s">
        <v>20</v>
      </c>
      <c r="F54" t="s">
        <v>21</v>
      </c>
      <c r="G54" t="s">
        <v>126</v>
      </c>
      <c r="H54" t="s">
        <v>23</v>
      </c>
      <c r="I54" t="s">
        <v>10</v>
      </c>
      <c r="J54">
        <f>- -4283</f>
        <v>4283</v>
      </c>
      <c r="K54">
        <v>67859</v>
      </c>
      <c r="L54">
        <v>3</v>
      </c>
      <c r="M54" t="s">
        <v>12</v>
      </c>
      <c r="N54" t="s">
        <v>53</v>
      </c>
      <c r="O54">
        <v>0</v>
      </c>
      <c r="P54" t="s">
        <v>13</v>
      </c>
      <c r="Q54">
        <v>80</v>
      </c>
      <c r="R54" t="s">
        <v>13</v>
      </c>
      <c r="S54">
        <v>10</v>
      </c>
      <c r="T54" t="s">
        <v>13</v>
      </c>
      <c r="U54" t="s">
        <v>14</v>
      </c>
      <c r="V54">
        <v>40</v>
      </c>
      <c r="W54">
        <v>47</v>
      </c>
      <c r="X54">
        <v>59</v>
      </c>
      <c r="Y54" t="s">
        <v>15</v>
      </c>
      <c r="Z54">
        <v>73</v>
      </c>
      <c r="AA54">
        <v>40</v>
      </c>
      <c r="AB54">
        <v>6</v>
      </c>
      <c r="AC54" t="s">
        <v>11</v>
      </c>
      <c r="AD54">
        <v>267.07</v>
      </c>
      <c r="AE54" t="s">
        <v>16</v>
      </c>
      <c r="AF54">
        <v>165.95</v>
      </c>
      <c r="AG54" t="s">
        <v>17</v>
      </c>
      <c r="AH54" t="s">
        <v>127</v>
      </c>
      <c r="AI54" t="s">
        <v>685</v>
      </c>
    </row>
    <row r="55" spans="2:35" x14ac:dyDescent="0.25">
      <c r="B55" s="2" t="s">
        <v>125</v>
      </c>
      <c r="C55" t="s">
        <v>5</v>
      </c>
      <c r="D55">
        <v>9</v>
      </c>
      <c r="E55" t="s">
        <v>20</v>
      </c>
      <c r="F55" t="s">
        <v>656</v>
      </c>
      <c r="G55" t="s">
        <v>126</v>
      </c>
      <c r="H55" t="s">
        <v>23</v>
      </c>
      <c r="I55" t="s">
        <v>10</v>
      </c>
      <c r="J55">
        <f>- -56024</f>
        <v>56024</v>
      </c>
      <c r="K55">
        <v>67859</v>
      </c>
      <c r="L55">
        <v>2</v>
      </c>
      <c r="M55" t="s">
        <v>12</v>
      </c>
      <c r="N55" t="s">
        <v>53</v>
      </c>
      <c r="O55">
        <v>0</v>
      </c>
      <c r="P55" t="s">
        <v>13</v>
      </c>
      <c r="Q55">
        <v>213</v>
      </c>
      <c r="R55" t="s">
        <v>13</v>
      </c>
      <c r="S55">
        <v>208.1</v>
      </c>
      <c r="T55" t="s">
        <v>13</v>
      </c>
      <c r="U55" t="s">
        <v>14</v>
      </c>
      <c r="V55">
        <v>40</v>
      </c>
      <c r="W55">
        <v>44</v>
      </c>
      <c r="X55">
        <v>50</v>
      </c>
      <c r="Y55" t="s">
        <v>15</v>
      </c>
      <c r="Z55">
        <v>73</v>
      </c>
      <c r="AA55">
        <v>56</v>
      </c>
      <c r="AB55">
        <v>38</v>
      </c>
      <c r="AC55" t="s">
        <v>11</v>
      </c>
      <c r="AD55">
        <v>288.52</v>
      </c>
      <c r="AE55" t="s">
        <v>16</v>
      </c>
      <c r="AF55">
        <v>179.28</v>
      </c>
      <c r="AG55" t="s">
        <v>17</v>
      </c>
      <c r="AH55" t="s">
        <v>128</v>
      </c>
      <c r="AI55" t="s">
        <v>685</v>
      </c>
    </row>
    <row r="56" spans="2:35" x14ac:dyDescent="0.25">
      <c r="B56" s="2" t="s">
        <v>129</v>
      </c>
      <c r="C56" t="s">
        <v>5</v>
      </c>
      <c r="D56">
        <v>9</v>
      </c>
      <c r="E56" t="s">
        <v>6</v>
      </c>
      <c r="F56" t="s">
        <v>21</v>
      </c>
      <c r="G56" t="s">
        <v>130</v>
      </c>
      <c r="H56" t="s">
        <v>101</v>
      </c>
      <c r="I56" t="s">
        <v>10</v>
      </c>
      <c r="J56" t="s">
        <v>131</v>
      </c>
      <c r="K56">
        <v>69946</v>
      </c>
      <c r="L56">
        <v>15</v>
      </c>
      <c r="M56" t="s">
        <v>12</v>
      </c>
      <c r="N56" t="s">
        <v>53</v>
      </c>
      <c r="O56">
        <v>385</v>
      </c>
      <c r="P56" t="s">
        <v>13</v>
      </c>
      <c r="Q56">
        <v>641.6</v>
      </c>
      <c r="R56" t="s">
        <v>13</v>
      </c>
      <c r="S56">
        <v>39.6</v>
      </c>
      <c r="T56" t="s">
        <v>13</v>
      </c>
      <c r="U56" t="s">
        <v>14</v>
      </c>
      <c r="V56">
        <v>43</v>
      </c>
      <c r="W56">
        <v>39</v>
      </c>
      <c r="X56">
        <v>31.4</v>
      </c>
      <c r="Y56" t="s">
        <v>15</v>
      </c>
      <c r="Z56">
        <v>73</v>
      </c>
      <c r="AA56">
        <v>6</v>
      </c>
      <c r="AB56">
        <v>23.6</v>
      </c>
      <c r="AC56">
        <v>1210439</v>
      </c>
      <c r="AD56">
        <v>208.16</v>
      </c>
      <c r="AE56" t="s">
        <v>16</v>
      </c>
      <c r="AF56">
        <v>129.34</v>
      </c>
      <c r="AG56" t="s">
        <v>17</v>
      </c>
      <c r="AH56" t="s">
        <v>132</v>
      </c>
      <c r="AI56" t="s">
        <v>686</v>
      </c>
    </row>
    <row r="57" spans="2:35" x14ac:dyDescent="0.25">
      <c r="B57" s="2" t="s">
        <v>133</v>
      </c>
      <c r="C57" t="s">
        <v>5</v>
      </c>
      <c r="D57">
        <v>9</v>
      </c>
      <c r="E57" t="s">
        <v>6</v>
      </c>
      <c r="F57" t="s">
        <v>7</v>
      </c>
      <c r="G57" t="s">
        <v>134</v>
      </c>
      <c r="H57" t="s">
        <v>101</v>
      </c>
      <c r="I57" t="s">
        <v>10</v>
      </c>
      <c r="J57">
        <f>- -35574</f>
        <v>35574</v>
      </c>
      <c r="K57">
        <v>69943</v>
      </c>
      <c r="L57">
        <v>15</v>
      </c>
      <c r="M57" t="s">
        <v>12</v>
      </c>
      <c r="N57" t="s">
        <v>53</v>
      </c>
      <c r="O57">
        <v>385</v>
      </c>
      <c r="P57" t="s">
        <v>13</v>
      </c>
      <c r="Q57">
        <v>641.6</v>
      </c>
      <c r="R57" t="s">
        <v>13</v>
      </c>
      <c r="S57">
        <v>39.6</v>
      </c>
      <c r="T57" t="s">
        <v>13</v>
      </c>
      <c r="U57" t="s">
        <v>14</v>
      </c>
      <c r="V57">
        <v>43</v>
      </c>
      <c r="W57">
        <v>39</v>
      </c>
      <c r="X57">
        <v>31.4</v>
      </c>
      <c r="Y57" t="s">
        <v>15</v>
      </c>
      <c r="Z57">
        <v>73</v>
      </c>
      <c r="AA57">
        <v>6</v>
      </c>
      <c r="AB57">
        <v>23.6</v>
      </c>
      <c r="AC57">
        <v>1210439</v>
      </c>
      <c r="AD57">
        <v>208.16</v>
      </c>
      <c r="AE57" t="s">
        <v>16</v>
      </c>
      <c r="AF57">
        <v>129.34</v>
      </c>
      <c r="AG57" t="s">
        <v>17</v>
      </c>
      <c r="AH57" t="s">
        <v>132</v>
      </c>
      <c r="AI57" t="s">
        <v>686</v>
      </c>
    </row>
    <row r="58" spans="2:35" x14ac:dyDescent="0.25">
      <c r="B58" s="2" t="s">
        <v>135</v>
      </c>
      <c r="C58" t="s">
        <v>5</v>
      </c>
      <c r="D58">
        <v>10</v>
      </c>
      <c r="E58" t="s">
        <v>6</v>
      </c>
      <c r="F58" t="s">
        <v>7</v>
      </c>
      <c r="G58" t="s">
        <v>687</v>
      </c>
      <c r="H58" t="s">
        <v>115</v>
      </c>
      <c r="I58" t="s">
        <v>10</v>
      </c>
      <c r="J58">
        <f>- -55647</f>
        <v>55647</v>
      </c>
      <c r="K58">
        <v>33081</v>
      </c>
      <c r="L58">
        <v>20.5</v>
      </c>
      <c r="M58" t="s">
        <v>12</v>
      </c>
      <c r="N58" t="s">
        <v>53</v>
      </c>
      <c r="O58">
        <v>342</v>
      </c>
      <c r="P58" t="s">
        <v>13</v>
      </c>
      <c r="Q58">
        <v>439.7</v>
      </c>
      <c r="R58" t="s">
        <v>13</v>
      </c>
      <c r="S58">
        <v>244</v>
      </c>
      <c r="T58" t="s">
        <v>13</v>
      </c>
      <c r="U58" t="s">
        <v>14</v>
      </c>
      <c r="V58">
        <v>41</v>
      </c>
      <c r="W58">
        <v>25</v>
      </c>
      <c r="X58">
        <v>22.2</v>
      </c>
      <c r="Y58" t="s">
        <v>15</v>
      </c>
      <c r="Z58">
        <v>72</v>
      </c>
      <c r="AA58">
        <v>57</v>
      </c>
      <c r="AB58">
        <v>4.9000000000000004</v>
      </c>
      <c r="AC58">
        <v>1043980</v>
      </c>
      <c r="AD58">
        <v>176.51</v>
      </c>
      <c r="AE58" t="s">
        <v>16</v>
      </c>
      <c r="AF58">
        <v>109.68</v>
      </c>
      <c r="AG58" t="s">
        <v>17</v>
      </c>
      <c r="AH58" t="s">
        <v>136</v>
      </c>
      <c r="AI58" t="s">
        <v>677</v>
      </c>
    </row>
    <row r="59" spans="2:35" x14ac:dyDescent="0.25">
      <c r="B59" s="2" t="s">
        <v>137</v>
      </c>
      <c r="C59" t="s">
        <v>5</v>
      </c>
      <c r="D59">
        <v>10</v>
      </c>
      <c r="E59" t="s">
        <v>6</v>
      </c>
      <c r="F59" t="s">
        <v>7</v>
      </c>
      <c r="G59" t="s">
        <v>687</v>
      </c>
      <c r="H59" t="s">
        <v>115</v>
      </c>
      <c r="I59" t="s">
        <v>10</v>
      </c>
      <c r="J59">
        <f>- -56790</f>
        <v>56790</v>
      </c>
      <c r="K59">
        <v>74109</v>
      </c>
      <c r="L59">
        <v>20.5</v>
      </c>
      <c r="M59" t="s">
        <v>12</v>
      </c>
      <c r="N59" t="s">
        <v>53</v>
      </c>
      <c r="O59">
        <v>342</v>
      </c>
      <c r="P59" t="s">
        <v>13</v>
      </c>
      <c r="Q59">
        <v>439.7</v>
      </c>
      <c r="R59" t="s">
        <v>13</v>
      </c>
      <c r="S59">
        <v>244</v>
      </c>
      <c r="T59" t="s">
        <v>13</v>
      </c>
      <c r="U59" t="s">
        <v>14</v>
      </c>
      <c r="V59">
        <v>41</v>
      </c>
      <c r="W59">
        <v>25</v>
      </c>
      <c r="X59">
        <v>22.2</v>
      </c>
      <c r="Y59" t="s">
        <v>15</v>
      </c>
      <c r="Z59">
        <v>72</v>
      </c>
      <c r="AA59">
        <v>57</v>
      </c>
      <c r="AB59">
        <v>4.9000000000000004</v>
      </c>
      <c r="AC59">
        <v>1043980</v>
      </c>
      <c r="AD59">
        <v>176.51</v>
      </c>
      <c r="AE59" t="s">
        <v>16</v>
      </c>
      <c r="AF59">
        <v>109.68</v>
      </c>
      <c r="AG59" t="s">
        <v>17</v>
      </c>
      <c r="AH59" t="s">
        <v>136</v>
      </c>
      <c r="AI59" t="s">
        <v>677</v>
      </c>
    </row>
    <row r="60" spans="2:35" x14ac:dyDescent="0.25">
      <c r="B60" s="2" t="s">
        <v>138</v>
      </c>
      <c r="C60" t="s">
        <v>5</v>
      </c>
      <c r="D60">
        <v>10</v>
      </c>
      <c r="E60" t="s">
        <v>6</v>
      </c>
      <c r="F60" t="s">
        <v>21</v>
      </c>
      <c r="G60" t="s">
        <v>139</v>
      </c>
      <c r="H60" t="s">
        <v>9</v>
      </c>
      <c r="I60" t="s">
        <v>10</v>
      </c>
      <c r="J60" t="s">
        <v>140</v>
      </c>
      <c r="K60">
        <v>39659</v>
      </c>
      <c r="L60">
        <v>30</v>
      </c>
      <c r="M60" t="s">
        <v>12</v>
      </c>
      <c r="O60">
        <v>304</v>
      </c>
      <c r="P60" t="s">
        <v>13</v>
      </c>
      <c r="Q60">
        <v>386.7</v>
      </c>
      <c r="R60" t="s">
        <v>13</v>
      </c>
      <c r="S60">
        <v>177</v>
      </c>
      <c r="T60" t="s">
        <v>13</v>
      </c>
      <c r="U60" t="s">
        <v>14</v>
      </c>
      <c r="V60">
        <v>44</v>
      </c>
      <c r="W60">
        <v>9</v>
      </c>
      <c r="X60">
        <v>15</v>
      </c>
      <c r="Y60" t="s">
        <v>15</v>
      </c>
      <c r="Z60">
        <v>70</v>
      </c>
      <c r="AA60">
        <v>0</v>
      </c>
      <c r="AB60">
        <v>35</v>
      </c>
      <c r="AC60">
        <v>1035353</v>
      </c>
      <c r="AD60">
        <v>221.82</v>
      </c>
      <c r="AE60" t="s">
        <v>16</v>
      </c>
      <c r="AF60">
        <v>137.83000000000001</v>
      </c>
      <c r="AG60" t="s">
        <v>17</v>
      </c>
      <c r="AH60" t="s">
        <v>141</v>
      </c>
      <c r="AI60" t="s">
        <v>688</v>
      </c>
    </row>
    <row r="61" spans="2:35" x14ac:dyDescent="0.25">
      <c r="B61" s="2" t="s">
        <v>138</v>
      </c>
      <c r="C61" t="s">
        <v>5</v>
      </c>
      <c r="D61">
        <v>10</v>
      </c>
      <c r="E61" t="s">
        <v>6</v>
      </c>
      <c r="F61" t="s">
        <v>74</v>
      </c>
      <c r="G61" t="s">
        <v>139</v>
      </c>
      <c r="H61" t="s">
        <v>9</v>
      </c>
      <c r="I61" t="s">
        <v>10</v>
      </c>
      <c r="J61">
        <f>- -35738</f>
        <v>35738</v>
      </c>
      <c r="K61">
        <v>39659</v>
      </c>
      <c r="L61">
        <v>43</v>
      </c>
      <c r="M61" t="s">
        <v>12</v>
      </c>
      <c r="O61">
        <v>304</v>
      </c>
      <c r="P61" t="s">
        <v>13</v>
      </c>
      <c r="Q61">
        <v>386.7</v>
      </c>
      <c r="R61" t="s">
        <v>13</v>
      </c>
      <c r="S61">
        <v>177</v>
      </c>
      <c r="T61" t="s">
        <v>13</v>
      </c>
      <c r="U61" t="s">
        <v>14</v>
      </c>
      <c r="V61">
        <v>44</v>
      </c>
      <c r="W61">
        <v>9</v>
      </c>
      <c r="X61">
        <v>15</v>
      </c>
      <c r="Y61" t="s">
        <v>15</v>
      </c>
      <c r="Z61">
        <v>70</v>
      </c>
      <c r="AA61">
        <v>0</v>
      </c>
      <c r="AB61">
        <v>35</v>
      </c>
      <c r="AC61">
        <v>1035353</v>
      </c>
      <c r="AD61">
        <v>221.82</v>
      </c>
      <c r="AE61" t="s">
        <v>16</v>
      </c>
      <c r="AF61">
        <v>137.83000000000001</v>
      </c>
      <c r="AG61" t="s">
        <v>17</v>
      </c>
      <c r="AH61" t="s">
        <v>141</v>
      </c>
      <c r="AI61" t="s">
        <v>688</v>
      </c>
    </row>
    <row r="62" spans="2:35" x14ac:dyDescent="0.25">
      <c r="B62" s="2" t="s">
        <v>138</v>
      </c>
      <c r="C62" t="s">
        <v>5</v>
      </c>
      <c r="D62">
        <v>10</v>
      </c>
      <c r="E62" t="s">
        <v>6</v>
      </c>
      <c r="F62" t="s">
        <v>7</v>
      </c>
      <c r="G62" t="s">
        <v>139</v>
      </c>
      <c r="H62" t="s">
        <v>9</v>
      </c>
      <c r="I62" t="s">
        <v>10</v>
      </c>
      <c r="J62">
        <f>- -68517</f>
        <v>68517</v>
      </c>
      <c r="K62">
        <v>39659</v>
      </c>
      <c r="L62">
        <v>30</v>
      </c>
      <c r="M62" t="s">
        <v>12</v>
      </c>
      <c r="O62">
        <v>304</v>
      </c>
      <c r="P62" t="s">
        <v>13</v>
      </c>
      <c r="Q62">
        <v>386.7</v>
      </c>
      <c r="R62" t="s">
        <v>13</v>
      </c>
      <c r="S62">
        <v>177</v>
      </c>
      <c r="T62" t="s">
        <v>13</v>
      </c>
      <c r="U62" t="s">
        <v>14</v>
      </c>
      <c r="V62">
        <v>44</v>
      </c>
      <c r="W62">
        <v>9</v>
      </c>
      <c r="X62">
        <v>15</v>
      </c>
      <c r="Y62" t="s">
        <v>15</v>
      </c>
      <c r="Z62">
        <v>70</v>
      </c>
      <c r="AA62">
        <v>0</v>
      </c>
      <c r="AB62">
        <v>35</v>
      </c>
      <c r="AC62">
        <v>1035353</v>
      </c>
      <c r="AD62">
        <v>221.82</v>
      </c>
      <c r="AE62" t="s">
        <v>16</v>
      </c>
      <c r="AF62">
        <v>137.83000000000001</v>
      </c>
      <c r="AG62" t="s">
        <v>17</v>
      </c>
      <c r="AH62" t="s">
        <v>141</v>
      </c>
      <c r="AI62" t="s">
        <v>688</v>
      </c>
    </row>
    <row r="63" spans="2:35" x14ac:dyDescent="0.25">
      <c r="B63" s="2" t="s">
        <v>142</v>
      </c>
      <c r="C63" t="s">
        <v>5</v>
      </c>
      <c r="D63">
        <v>10</v>
      </c>
      <c r="E63" t="s">
        <v>34</v>
      </c>
      <c r="F63" t="s">
        <v>11</v>
      </c>
      <c r="G63" t="s">
        <v>143</v>
      </c>
      <c r="H63" t="s">
        <v>115</v>
      </c>
      <c r="I63" t="s">
        <v>10</v>
      </c>
      <c r="J63" t="s">
        <v>144</v>
      </c>
      <c r="K63">
        <v>26337</v>
      </c>
      <c r="L63">
        <v>0.03</v>
      </c>
      <c r="M63" t="s">
        <v>12</v>
      </c>
      <c r="N63" t="s">
        <v>53</v>
      </c>
      <c r="O63">
        <v>0</v>
      </c>
      <c r="P63" t="s">
        <v>13</v>
      </c>
      <c r="Q63">
        <v>99</v>
      </c>
      <c r="R63" t="s">
        <v>13</v>
      </c>
      <c r="S63">
        <v>87</v>
      </c>
      <c r="T63" t="s">
        <v>13</v>
      </c>
      <c r="U63" t="s">
        <v>14</v>
      </c>
      <c r="V63">
        <v>41</v>
      </c>
      <c r="W63">
        <v>45</v>
      </c>
      <c r="X63">
        <v>51.3</v>
      </c>
      <c r="Y63" t="s">
        <v>15</v>
      </c>
      <c r="Z63">
        <v>72</v>
      </c>
      <c r="AA63">
        <v>40</v>
      </c>
      <c r="AB63">
        <v>30.3</v>
      </c>
      <c r="AC63" t="s">
        <v>11</v>
      </c>
      <c r="AD63">
        <v>136.19</v>
      </c>
      <c r="AE63" t="s">
        <v>16</v>
      </c>
      <c r="AF63">
        <v>84.63</v>
      </c>
      <c r="AG63" t="s">
        <v>17</v>
      </c>
      <c r="AH63" t="s">
        <v>145</v>
      </c>
      <c r="AI63" t="s">
        <v>689</v>
      </c>
    </row>
    <row r="64" spans="2:35" x14ac:dyDescent="0.25">
      <c r="B64" s="2" t="s">
        <v>142</v>
      </c>
      <c r="C64" t="s">
        <v>5</v>
      </c>
      <c r="D64">
        <v>10</v>
      </c>
      <c r="E64" t="s">
        <v>34</v>
      </c>
      <c r="F64" t="s">
        <v>21</v>
      </c>
      <c r="G64" t="s">
        <v>143</v>
      </c>
      <c r="H64" t="s">
        <v>115</v>
      </c>
      <c r="I64" t="s">
        <v>10</v>
      </c>
      <c r="J64" t="s">
        <v>146</v>
      </c>
      <c r="K64">
        <v>26337</v>
      </c>
      <c r="L64">
        <v>0.03</v>
      </c>
      <c r="M64" t="s">
        <v>12</v>
      </c>
      <c r="N64" t="s">
        <v>53</v>
      </c>
      <c r="O64">
        <v>0</v>
      </c>
      <c r="P64" t="s">
        <v>13</v>
      </c>
      <c r="Q64">
        <v>99</v>
      </c>
      <c r="R64" t="s">
        <v>13</v>
      </c>
      <c r="S64">
        <v>87</v>
      </c>
      <c r="T64" t="s">
        <v>13</v>
      </c>
      <c r="U64" t="s">
        <v>14</v>
      </c>
      <c r="V64">
        <v>41</v>
      </c>
      <c r="W64">
        <v>45</v>
      </c>
      <c r="X64">
        <v>51.3</v>
      </c>
      <c r="Y64" t="s">
        <v>15</v>
      </c>
      <c r="Z64">
        <v>72</v>
      </c>
      <c r="AA64">
        <v>40</v>
      </c>
      <c r="AB64">
        <v>30.3</v>
      </c>
      <c r="AC64" t="s">
        <v>11</v>
      </c>
      <c r="AD64">
        <v>136.19</v>
      </c>
      <c r="AE64" t="s">
        <v>16</v>
      </c>
      <c r="AF64">
        <v>84.63</v>
      </c>
      <c r="AG64" t="s">
        <v>17</v>
      </c>
      <c r="AH64" t="s">
        <v>145</v>
      </c>
      <c r="AI64" t="s">
        <v>689</v>
      </c>
    </row>
    <row r="65" spans="2:35" x14ac:dyDescent="0.25">
      <c r="B65" s="2" t="s">
        <v>147</v>
      </c>
      <c r="C65" t="s">
        <v>5</v>
      </c>
      <c r="D65">
        <v>10</v>
      </c>
      <c r="E65" t="s">
        <v>6</v>
      </c>
      <c r="F65" t="s">
        <v>21</v>
      </c>
      <c r="G65" t="s">
        <v>148</v>
      </c>
      <c r="H65" t="s">
        <v>41</v>
      </c>
      <c r="I65" t="s">
        <v>10</v>
      </c>
      <c r="J65" t="s">
        <v>149</v>
      </c>
      <c r="K65">
        <v>23671</v>
      </c>
      <c r="L65">
        <v>5</v>
      </c>
      <c r="M65" t="s">
        <v>12</v>
      </c>
      <c r="O65">
        <v>142</v>
      </c>
      <c r="P65" t="s">
        <v>13</v>
      </c>
      <c r="Q65">
        <v>173.5</v>
      </c>
      <c r="R65" t="s">
        <v>13</v>
      </c>
      <c r="S65">
        <v>149.19999999999999</v>
      </c>
      <c r="T65" t="s">
        <v>13</v>
      </c>
      <c r="U65" t="s">
        <v>14</v>
      </c>
      <c r="V65">
        <v>42</v>
      </c>
      <c r="W65">
        <v>0</v>
      </c>
      <c r="X65">
        <v>38</v>
      </c>
      <c r="Y65" t="s">
        <v>15</v>
      </c>
      <c r="Z65">
        <v>71</v>
      </c>
      <c r="AA65">
        <v>2</v>
      </c>
      <c r="AB65">
        <v>40</v>
      </c>
      <c r="AC65">
        <v>1045132</v>
      </c>
      <c r="AD65">
        <v>43.74</v>
      </c>
      <c r="AE65" t="s">
        <v>16</v>
      </c>
      <c r="AF65">
        <v>27.18</v>
      </c>
      <c r="AG65" t="s">
        <v>17</v>
      </c>
      <c r="AH65" t="s">
        <v>150</v>
      </c>
      <c r="AI65" t="s">
        <v>690</v>
      </c>
    </row>
    <row r="66" spans="2:35" x14ac:dyDescent="0.25">
      <c r="B66" s="2" t="s">
        <v>151</v>
      </c>
      <c r="C66" t="s">
        <v>5</v>
      </c>
      <c r="D66">
        <v>10</v>
      </c>
      <c r="E66" t="s">
        <v>6</v>
      </c>
      <c r="F66" t="s">
        <v>7</v>
      </c>
      <c r="G66" t="s">
        <v>152</v>
      </c>
      <c r="H66" t="s">
        <v>41</v>
      </c>
      <c r="I66" t="s">
        <v>10</v>
      </c>
      <c r="J66">
        <f>- -59470</f>
        <v>59470</v>
      </c>
      <c r="K66">
        <v>41436</v>
      </c>
      <c r="L66">
        <v>5</v>
      </c>
      <c r="M66" t="s">
        <v>12</v>
      </c>
      <c r="O66">
        <v>142</v>
      </c>
      <c r="P66" t="s">
        <v>13</v>
      </c>
      <c r="Q66">
        <v>173.5</v>
      </c>
      <c r="R66" t="s">
        <v>13</v>
      </c>
      <c r="S66">
        <v>149.19999999999999</v>
      </c>
      <c r="T66" t="s">
        <v>13</v>
      </c>
      <c r="U66" t="s">
        <v>14</v>
      </c>
      <c r="V66">
        <v>42</v>
      </c>
      <c r="W66">
        <v>0</v>
      </c>
      <c r="X66">
        <v>38</v>
      </c>
      <c r="Y66" t="s">
        <v>15</v>
      </c>
      <c r="Z66">
        <v>71</v>
      </c>
      <c r="AA66">
        <v>2</v>
      </c>
      <c r="AB66">
        <v>40</v>
      </c>
      <c r="AC66">
        <v>1045132</v>
      </c>
      <c r="AD66">
        <v>43.74</v>
      </c>
      <c r="AE66" t="s">
        <v>16</v>
      </c>
      <c r="AF66">
        <v>27.18</v>
      </c>
      <c r="AG66" t="s">
        <v>17</v>
      </c>
      <c r="AH66" t="s">
        <v>150</v>
      </c>
      <c r="AI66" t="s">
        <v>691</v>
      </c>
    </row>
    <row r="67" spans="2:35" x14ac:dyDescent="0.25">
      <c r="B67" s="2" t="s">
        <v>147</v>
      </c>
      <c r="C67" t="s">
        <v>5</v>
      </c>
      <c r="D67">
        <v>10</v>
      </c>
      <c r="E67" t="s">
        <v>6</v>
      </c>
      <c r="F67" t="s">
        <v>7</v>
      </c>
      <c r="G67" t="s">
        <v>148</v>
      </c>
      <c r="H67" t="s">
        <v>41</v>
      </c>
      <c r="I67" t="s">
        <v>10</v>
      </c>
      <c r="J67">
        <f>- -59580</f>
        <v>59580</v>
      </c>
      <c r="K67">
        <v>23671</v>
      </c>
      <c r="L67">
        <v>5</v>
      </c>
      <c r="M67" t="s">
        <v>12</v>
      </c>
      <c r="O67">
        <v>142</v>
      </c>
      <c r="P67" t="s">
        <v>13</v>
      </c>
      <c r="Q67">
        <v>173.5</v>
      </c>
      <c r="R67" t="s">
        <v>13</v>
      </c>
      <c r="S67">
        <v>149.19999999999999</v>
      </c>
      <c r="T67" t="s">
        <v>13</v>
      </c>
      <c r="U67" t="s">
        <v>14</v>
      </c>
      <c r="V67">
        <v>42</v>
      </c>
      <c r="W67">
        <v>0</v>
      </c>
      <c r="X67">
        <v>38</v>
      </c>
      <c r="Y67" t="s">
        <v>15</v>
      </c>
      <c r="Z67">
        <v>71</v>
      </c>
      <c r="AA67">
        <v>2</v>
      </c>
      <c r="AB67">
        <v>40</v>
      </c>
      <c r="AC67">
        <v>1045132</v>
      </c>
      <c r="AD67">
        <v>43.74</v>
      </c>
      <c r="AE67" t="s">
        <v>16</v>
      </c>
      <c r="AF67">
        <v>27.18</v>
      </c>
      <c r="AG67" t="s">
        <v>17</v>
      </c>
      <c r="AH67" t="s">
        <v>150</v>
      </c>
      <c r="AI67" t="s">
        <v>690</v>
      </c>
    </row>
    <row r="68" spans="2:35" x14ac:dyDescent="0.25">
      <c r="B68" s="2" t="s">
        <v>153</v>
      </c>
      <c r="C68" t="s">
        <v>5</v>
      </c>
      <c r="D68">
        <v>10</v>
      </c>
      <c r="E68" t="s">
        <v>20</v>
      </c>
      <c r="F68" t="s">
        <v>7</v>
      </c>
      <c r="G68" t="s">
        <v>654</v>
      </c>
      <c r="H68" t="s">
        <v>23</v>
      </c>
      <c r="I68" t="s">
        <v>10</v>
      </c>
      <c r="J68" t="s">
        <v>154</v>
      </c>
      <c r="K68">
        <v>29233</v>
      </c>
      <c r="L68">
        <v>0.03</v>
      </c>
      <c r="M68" t="s">
        <v>12</v>
      </c>
      <c r="N68" t="s">
        <v>53</v>
      </c>
      <c r="O68">
        <v>0</v>
      </c>
      <c r="P68" t="s">
        <v>13</v>
      </c>
      <c r="Q68">
        <v>213</v>
      </c>
      <c r="R68" t="s">
        <v>13</v>
      </c>
      <c r="S68">
        <v>208.1</v>
      </c>
      <c r="T68" t="s">
        <v>13</v>
      </c>
      <c r="U68" t="s">
        <v>14</v>
      </c>
      <c r="V68">
        <v>40</v>
      </c>
      <c r="W68">
        <v>44</v>
      </c>
      <c r="X68">
        <v>50.3</v>
      </c>
      <c r="Y68" t="s">
        <v>15</v>
      </c>
      <c r="Z68">
        <v>73</v>
      </c>
      <c r="AA68">
        <v>56</v>
      </c>
      <c r="AB68">
        <v>36.4</v>
      </c>
      <c r="AC68" t="s">
        <v>11</v>
      </c>
      <c r="AD68">
        <v>288.49</v>
      </c>
      <c r="AE68" t="s">
        <v>16</v>
      </c>
      <c r="AF68">
        <v>179.26</v>
      </c>
      <c r="AG68" t="s">
        <v>17</v>
      </c>
      <c r="AH68" t="s">
        <v>60</v>
      </c>
      <c r="AI68" t="s">
        <v>666</v>
      </c>
    </row>
    <row r="69" spans="2:35" x14ac:dyDescent="0.25">
      <c r="B69" s="2" t="s">
        <v>153</v>
      </c>
      <c r="C69" t="s">
        <v>5</v>
      </c>
      <c r="D69">
        <v>10</v>
      </c>
      <c r="E69" t="s">
        <v>20</v>
      </c>
      <c r="F69" t="s">
        <v>21</v>
      </c>
      <c r="G69" t="s">
        <v>654</v>
      </c>
      <c r="H69" t="s">
        <v>23</v>
      </c>
      <c r="I69" t="s">
        <v>10</v>
      </c>
      <c r="J69">
        <f>- -63306</f>
        <v>63306</v>
      </c>
      <c r="K69">
        <v>29233</v>
      </c>
      <c r="L69">
        <v>0.27</v>
      </c>
      <c r="M69" t="s">
        <v>12</v>
      </c>
      <c r="N69" t="s">
        <v>53</v>
      </c>
      <c r="O69">
        <v>0</v>
      </c>
      <c r="P69" t="s">
        <v>13</v>
      </c>
      <c r="Q69">
        <v>213</v>
      </c>
      <c r="R69" t="s">
        <v>13</v>
      </c>
      <c r="S69">
        <v>208.1</v>
      </c>
      <c r="T69" t="s">
        <v>13</v>
      </c>
      <c r="U69" t="s">
        <v>14</v>
      </c>
      <c r="V69">
        <v>40</v>
      </c>
      <c r="W69">
        <v>44</v>
      </c>
      <c r="X69">
        <v>50.3</v>
      </c>
      <c r="Y69" t="s">
        <v>15</v>
      </c>
      <c r="Z69">
        <v>73</v>
      </c>
      <c r="AA69">
        <v>56</v>
      </c>
      <c r="AB69">
        <v>36.4</v>
      </c>
      <c r="AC69" t="s">
        <v>11</v>
      </c>
      <c r="AD69">
        <v>288.49</v>
      </c>
      <c r="AE69" t="s">
        <v>16</v>
      </c>
      <c r="AF69">
        <v>179.26</v>
      </c>
      <c r="AG69" t="s">
        <v>17</v>
      </c>
      <c r="AH69" t="s">
        <v>60</v>
      </c>
      <c r="AI69" t="s">
        <v>666</v>
      </c>
    </row>
    <row r="70" spans="2:35" x14ac:dyDescent="0.25">
      <c r="B70" s="2" t="s">
        <v>129</v>
      </c>
      <c r="C70" t="s">
        <v>5</v>
      </c>
      <c r="D70">
        <v>10</v>
      </c>
      <c r="E70" t="s">
        <v>6</v>
      </c>
      <c r="F70" t="s">
        <v>7</v>
      </c>
      <c r="G70" t="s">
        <v>130</v>
      </c>
      <c r="H70" t="s">
        <v>101</v>
      </c>
      <c r="I70" t="s">
        <v>10</v>
      </c>
      <c r="J70">
        <f>- -54181</f>
        <v>54181</v>
      </c>
      <c r="K70">
        <v>69946</v>
      </c>
      <c r="L70">
        <v>5</v>
      </c>
      <c r="M70" t="s">
        <v>12</v>
      </c>
      <c r="N70" t="s">
        <v>53</v>
      </c>
      <c r="O70">
        <v>630.4</v>
      </c>
      <c r="P70" t="s">
        <v>13</v>
      </c>
      <c r="Q70">
        <v>934.5</v>
      </c>
      <c r="R70" t="s">
        <v>13</v>
      </c>
      <c r="S70">
        <v>62.5</v>
      </c>
      <c r="T70" t="s">
        <v>13</v>
      </c>
      <c r="U70" t="s">
        <v>14</v>
      </c>
      <c r="V70">
        <v>43</v>
      </c>
      <c r="W70">
        <v>26</v>
      </c>
      <c r="X70">
        <v>15</v>
      </c>
      <c r="Y70" t="s">
        <v>15</v>
      </c>
      <c r="Z70">
        <v>72</v>
      </c>
      <c r="AA70">
        <v>27</v>
      </c>
      <c r="AB70">
        <v>6</v>
      </c>
      <c r="AC70">
        <v>1060721</v>
      </c>
      <c r="AD70">
        <v>153.69999999999999</v>
      </c>
      <c r="AE70" t="s">
        <v>16</v>
      </c>
      <c r="AF70">
        <v>95.5</v>
      </c>
      <c r="AG70" t="s">
        <v>17</v>
      </c>
      <c r="AH70" t="s">
        <v>155</v>
      </c>
      <c r="AI70" t="s">
        <v>686</v>
      </c>
    </row>
    <row r="71" spans="2:35" x14ac:dyDescent="0.25">
      <c r="B71" s="2" t="s">
        <v>129</v>
      </c>
      <c r="C71" t="s">
        <v>5</v>
      </c>
      <c r="D71">
        <v>10</v>
      </c>
      <c r="E71" t="s">
        <v>6</v>
      </c>
      <c r="F71" t="s">
        <v>7</v>
      </c>
      <c r="G71" t="s">
        <v>130</v>
      </c>
      <c r="H71" t="s">
        <v>101</v>
      </c>
      <c r="I71" t="s">
        <v>10</v>
      </c>
      <c r="J71">
        <f>- -58788</f>
        <v>58788</v>
      </c>
      <c r="K71">
        <v>69946</v>
      </c>
      <c r="L71">
        <v>5</v>
      </c>
      <c r="M71" t="s">
        <v>12</v>
      </c>
      <c r="N71" t="s">
        <v>53</v>
      </c>
      <c r="O71">
        <v>648.9</v>
      </c>
      <c r="P71" t="s">
        <v>13</v>
      </c>
      <c r="Q71">
        <v>953</v>
      </c>
      <c r="R71" t="s">
        <v>13</v>
      </c>
      <c r="S71">
        <v>81</v>
      </c>
      <c r="T71" t="s">
        <v>13</v>
      </c>
      <c r="U71" t="s">
        <v>14</v>
      </c>
      <c r="V71">
        <v>43</v>
      </c>
      <c r="W71">
        <v>26</v>
      </c>
      <c r="X71">
        <v>15</v>
      </c>
      <c r="Y71" t="s">
        <v>15</v>
      </c>
      <c r="Z71">
        <v>72</v>
      </c>
      <c r="AA71">
        <v>27</v>
      </c>
      <c r="AB71">
        <v>6</v>
      </c>
      <c r="AC71">
        <v>1060721</v>
      </c>
      <c r="AD71">
        <v>153.69999999999999</v>
      </c>
      <c r="AE71" t="s">
        <v>16</v>
      </c>
      <c r="AF71">
        <v>95.5</v>
      </c>
      <c r="AG71" t="s">
        <v>17</v>
      </c>
      <c r="AH71" t="s">
        <v>155</v>
      </c>
      <c r="AI71" t="s">
        <v>686</v>
      </c>
    </row>
    <row r="72" spans="2:35" x14ac:dyDescent="0.25">
      <c r="B72" s="2" t="s">
        <v>129</v>
      </c>
      <c r="C72" t="s">
        <v>5</v>
      </c>
      <c r="D72">
        <v>10</v>
      </c>
      <c r="E72" t="s">
        <v>6</v>
      </c>
      <c r="F72" t="s">
        <v>7</v>
      </c>
      <c r="G72" t="s">
        <v>130</v>
      </c>
      <c r="H72" t="s">
        <v>101</v>
      </c>
      <c r="I72" t="s">
        <v>10</v>
      </c>
      <c r="J72">
        <f>- -67036</f>
        <v>67036</v>
      </c>
      <c r="K72">
        <v>69946</v>
      </c>
      <c r="L72">
        <v>5</v>
      </c>
      <c r="M72" t="s">
        <v>12</v>
      </c>
      <c r="N72" t="s">
        <v>53</v>
      </c>
      <c r="O72">
        <v>648.9</v>
      </c>
      <c r="P72" t="s">
        <v>13</v>
      </c>
      <c r="Q72">
        <v>953</v>
      </c>
      <c r="R72" t="s">
        <v>13</v>
      </c>
      <c r="S72">
        <v>81</v>
      </c>
      <c r="T72" t="s">
        <v>13</v>
      </c>
      <c r="U72" t="s">
        <v>14</v>
      </c>
      <c r="V72">
        <v>43</v>
      </c>
      <c r="W72">
        <v>26</v>
      </c>
      <c r="X72">
        <v>15</v>
      </c>
      <c r="Y72" t="s">
        <v>15</v>
      </c>
      <c r="Z72">
        <v>72</v>
      </c>
      <c r="AA72">
        <v>27</v>
      </c>
      <c r="AB72">
        <v>6</v>
      </c>
      <c r="AC72">
        <v>1060721</v>
      </c>
      <c r="AD72">
        <v>153.69999999999999</v>
      </c>
      <c r="AE72" t="s">
        <v>16</v>
      </c>
      <c r="AF72">
        <v>95.5</v>
      </c>
      <c r="AG72" t="s">
        <v>17</v>
      </c>
      <c r="AH72" t="s">
        <v>155</v>
      </c>
      <c r="AI72" t="s">
        <v>686</v>
      </c>
    </row>
    <row r="73" spans="2:35" x14ac:dyDescent="0.25">
      <c r="B73" s="2" t="s">
        <v>11</v>
      </c>
      <c r="C73" t="s">
        <v>5</v>
      </c>
      <c r="D73">
        <v>10</v>
      </c>
      <c r="E73" t="s">
        <v>6</v>
      </c>
      <c r="F73" t="s">
        <v>7</v>
      </c>
      <c r="G73" t="s">
        <v>109</v>
      </c>
      <c r="H73" t="s">
        <v>110</v>
      </c>
      <c r="I73" t="s">
        <v>111</v>
      </c>
      <c r="J73" t="e">
        <f>- -CANADA310</f>
        <v>#NAME?</v>
      </c>
      <c r="K73">
        <v>704042</v>
      </c>
      <c r="L73">
        <v>1</v>
      </c>
      <c r="M73" t="s">
        <v>12</v>
      </c>
      <c r="N73" t="s">
        <v>53</v>
      </c>
      <c r="O73">
        <v>0</v>
      </c>
      <c r="P73" t="s">
        <v>13</v>
      </c>
      <c r="Q73">
        <v>902.9</v>
      </c>
      <c r="R73" t="s">
        <v>13</v>
      </c>
      <c r="S73">
        <v>0</v>
      </c>
      <c r="T73" t="s">
        <v>13</v>
      </c>
      <c r="U73" t="s">
        <v>14</v>
      </c>
      <c r="V73">
        <v>45</v>
      </c>
      <c r="W73">
        <v>18</v>
      </c>
      <c r="X73">
        <v>43.15</v>
      </c>
      <c r="Y73" t="s">
        <v>15</v>
      </c>
      <c r="Z73">
        <v>72</v>
      </c>
      <c r="AA73">
        <v>14</v>
      </c>
      <c r="AB73">
        <v>30.39</v>
      </c>
      <c r="AC73" t="s">
        <v>11</v>
      </c>
      <c r="AD73">
        <v>336.06</v>
      </c>
      <c r="AE73" t="s">
        <v>16</v>
      </c>
      <c r="AF73">
        <v>208.82</v>
      </c>
      <c r="AG73" t="s">
        <v>17</v>
      </c>
      <c r="AH73" t="s">
        <v>112</v>
      </c>
      <c r="AI73" t="s">
        <v>11</v>
      </c>
    </row>
    <row r="74" spans="2:35" x14ac:dyDescent="0.25">
      <c r="B74" s="2" t="s">
        <v>156</v>
      </c>
      <c r="C74" t="s">
        <v>5</v>
      </c>
      <c r="D74">
        <v>11</v>
      </c>
      <c r="E74" t="s">
        <v>6</v>
      </c>
      <c r="F74" t="s">
        <v>21</v>
      </c>
      <c r="G74" t="s">
        <v>51</v>
      </c>
      <c r="H74" t="s">
        <v>41</v>
      </c>
      <c r="I74" t="s">
        <v>10</v>
      </c>
      <c r="J74" t="s">
        <v>157</v>
      </c>
      <c r="K74">
        <v>6868</v>
      </c>
      <c r="L74">
        <v>15.8</v>
      </c>
      <c r="M74" t="s">
        <v>12</v>
      </c>
      <c r="N74" t="s">
        <v>53</v>
      </c>
      <c r="O74">
        <v>247</v>
      </c>
      <c r="P74" t="s">
        <v>13</v>
      </c>
      <c r="Q74">
        <v>325</v>
      </c>
      <c r="R74" t="s">
        <v>13</v>
      </c>
      <c r="S74">
        <v>130</v>
      </c>
      <c r="T74" t="s">
        <v>13</v>
      </c>
      <c r="U74" t="s">
        <v>14</v>
      </c>
      <c r="V74">
        <v>42</v>
      </c>
      <c r="W74">
        <v>5</v>
      </c>
      <c r="X74">
        <v>5</v>
      </c>
      <c r="Y74" t="s">
        <v>15</v>
      </c>
      <c r="Z74">
        <v>72</v>
      </c>
      <c r="AA74">
        <v>42</v>
      </c>
      <c r="AB74">
        <v>12</v>
      </c>
      <c r="AC74">
        <v>1004484</v>
      </c>
      <c r="AD74">
        <v>124.41</v>
      </c>
      <c r="AE74" t="s">
        <v>16</v>
      </c>
      <c r="AF74">
        <v>77.3</v>
      </c>
      <c r="AG74" t="s">
        <v>17</v>
      </c>
      <c r="AH74" t="s">
        <v>158</v>
      </c>
      <c r="AI74" t="s">
        <v>677</v>
      </c>
    </row>
    <row r="75" spans="2:35" x14ac:dyDescent="0.25">
      <c r="B75" s="2" t="s">
        <v>159</v>
      </c>
      <c r="C75" t="s">
        <v>5</v>
      </c>
      <c r="D75">
        <v>11</v>
      </c>
      <c r="E75" t="s">
        <v>6</v>
      </c>
      <c r="F75" t="s">
        <v>74</v>
      </c>
      <c r="G75" t="s">
        <v>160</v>
      </c>
      <c r="H75" t="s">
        <v>45</v>
      </c>
      <c r="I75" t="s">
        <v>10</v>
      </c>
      <c r="J75">
        <f>- -35771</f>
        <v>35771</v>
      </c>
      <c r="K75">
        <v>69237</v>
      </c>
      <c r="L75">
        <v>47.5</v>
      </c>
      <c r="M75" t="s">
        <v>12</v>
      </c>
      <c r="N75" t="s">
        <v>53</v>
      </c>
      <c r="O75">
        <v>304.7</v>
      </c>
      <c r="P75" t="s">
        <v>13</v>
      </c>
      <c r="Q75">
        <v>462.3</v>
      </c>
      <c r="R75" t="s">
        <v>13</v>
      </c>
      <c r="S75">
        <v>131.30000000000001</v>
      </c>
      <c r="T75" t="s">
        <v>13</v>
      </c>
      <c r="U75" t="s">
        <v>14</v>
      </c>
      <c r="V75">
        <v>43</v>
      </c>
      <c r="W75">
        <v>10</v>
      </c>
      <c r="X75">
        <v>33</v>
      </c>
      <c r="Y75" t="s">
        <v>15</v>
      </c>
      <c r="Z75">
        <v>71</v>
      </c>
      <c r="AA75">
        <v>12</v>
      </c>
      <c r="AB75">
        <v>27</v>
      </c>
      <c r="AC75">
        <v>1034696</v>
      </c>
      <c r="AD75">
        <v>89.11</v>
      </c>
      <c r="AE75" t="s">
        <v>16</v>
      </c>
      <c r="AF75">
        <v>55.37</v>
      </c>
      <c r="AG75" t="s">
        <v>17</v>
      </c>
      <c r="AH75" t="s">
        <v>161</v>
      </c>
      <c r="AI75" t="s">
        <v>692</v>
      </c>
    </row>
    <row r="76" spans="2:35" x14ac:dyDescent="0.25">
      <c r="B76" s="2" t="s">
        <v>162</v>
      </c>
      <c r="C76" t="s">
        <v>5</v>
      </c>
      <c r="D76">
        <v>11</v>
      </c>
      <c r="E76" t="s">
        <v>34</v>
      </c>
      <c r="F76" t="s">
        <v>21</v>
      </c>
      <c r="G76" t="s">
        <v>693</v>
      </c>
      <c r="H76" t="s">
        <v>23</v>
      </c>
      <c r="I76" t="s">
        <v>10</v>
      </c>
      <c r="J76" t="s">
        <v>163</v>
      </c>
      <c r="K76">
        <v>34335</v>
      </c>
      <c r="L76">
        <v>9.4E-2</v>
      </c>
      <c r="M76" t="s">
        <v>12</v>
      </c>
      <c r="N76" t="s">
        <v>53</v>
      </c>
      <c r="O76">
        <v>0</v>
      </c>
      <c r="P76" t="s">
        <v>13</v>
      </c>
      <c r="Q76">
        <v>431.2</v>
      </c>
      <c r="R76" t="s">
        <v>13</v>
      </c>
      <c r="S76">
        <v>59.4</v>
      </c>
      <c r="T76" t="s">
        <v>13</v>
      </c>
      <c r="U76" t="s">
        <v>14</v>
      </c>
      <c r="V76">
        <v>43</v>
      </c>
      <c r="W76">
        <v>8</v>
      </c>
      <c r="X76">
        <v>43</v>
      </c>
      <c r="Y76" t="s">
        <v>15</v>
      </c>
      <c r="Z76">
        <v>75</v>
      </c>
      <c r="AA76">
        <v>10</v>
      </c>
      <c r="AB76">
        <v>34</v>
      </c>
      <c r="AC76">
        <v>1003764</v>
      </c>
      <c r="AD76">
        <v>332.8</v>
      </c>
      <c r="AE76" t="s">
        <v>16</v>
      </c>
      <c r="AF76">
        <v>206.79</v>
      </c>
      <c r="AG76" t="s">
        <v>17</v>
      </c>
      <c r="AH76" t="s">
        <v>164</v>
      </c>
      <c r="AI76" t="s">
        <v>677</v>
      </c>
    </row>
    <row r="77" spans="2:35" x14ac:dyDescent="0.25">
      <c r="B77" s="2" t="s">
        <v>165</v>
      </c>
      <c r="C77" t="s">
        <v>5</v>
      </c>
      <c r="D77">
        <v>11</v>
      </c>
      <c r="E77" t="s">
        <v>96</v>
      </c>
      <c r="F77" t="s">
        <v>21</v>
      </c>
      <c r="G77" t="s">
        <v>654</v>
      </c>
      <c r="H77" t="s">
        <v>23</v>
      </c>
      <c r="I77" t="s">
        <v>10</v>
      </c>
      <c r="J77" t="s">
        <v>166</v>
      </c>
      <c r="K77">
        <v>73881</v>
      </c>
      <c r="L77">
        <v>28.2</v>
      </c>
      <c r="M77" t="s">
        <v>12</v>
      </c>
      <c r="N77" t="s">
        <v>53</v>
      </c>
      <c r="O77">
        <v>213</v>
      </c>
      <c r="P77" t="s">
        <v>13</v>
      </c>
      <c r="Q77">
        <v>277.60000000000002</v>
      </c>
      <c r="R77" t="s">
        <v>13</v>
      </c>
      <c r="S77">
        <v>88</v>
      </c>
      <c r="T77" t="s">
        <v>13</v>
      </c>
      <c r="U77" t="s">
        <v>14</v>
      </c>
      <c r="V77">
        <v>40</v>
      </c>
      <c r="W77">
        <v>48</v>
      </c>
      <c r="X77">
        <v>8</v>
      </c>
      <c r="Y77" t="s">
        <v>15</v>
      </c>
      <c r="Z77">
        <v>74</v>
      </c>
      <c r="AA77">
        <v>14</v>
      </c>
      <c r="AB77">
        <v>47</v>
      </c>
      <c r="AC77">
        <v>1060205</v>
      </c>
      <c r="AD77">
        <v>304.98</v>
      </c>
      <c r="AE77" t="s">
        <v>16</v>
      </c>
      <c r="AF77">
        <v>189.5</v>
      </c>
      <c r="AG77" t="s">
        <v>17</v>
      </c>
      <c r="AH77" t="s">
        <v>167</v>
      </c>
      <c r="AI77" t="s">
        <v>694</v>
      </c>
    </row>
    <row r="78" spans="2:35" x14ac:dyDescent="0.25">
      <c r="B78" s="2" t="s">
        <v>162</v>
      </c>
      <c r="C78" t="s">
        <v>5</v>
      </c>
      <c r="D78">
        <v>11</v>
      </c>
      <c r="E78" t="s">
        <v>20</v>
      </c>
      <c r="F78" t="s">
        <v>7</v>
      </c>
      <c r="G78" t="s">
        <v>693</v>
      </c>
      <c r="H78" t="s">
        <v>23</v>
      </c>
      <c r="I78" t="s">
        <v>10</v>
      </c>
      <c r="J78">
        <f>- -54839</f>
        <v>54839</v>
      </c>
      <c r="K78">
        <v>34335</v>
      </c>
      <c r="L78">
        <v>9.4E-2</v>
      </c>
      <c r="M78" t="s">
        <v>12</v>
      </c>
      <c r="N78" t="s">
        <v>53</v>
      </c>
      <c r="O78">
        <v>0</v>
      </c>
      <c r="P78" t="s">
        <v>13</v>
      </c>
      <c r="Q78">
        <v>431.2</v>
      </c>
      <c r="R78" t="s">
        <v>13</v>
      </c>
      <c r="S78">
        <v>59.4</v>
      </c>
      <c r="T78" t="s">
        <v>13</v>
      </c>
      <c r="U78" t="s">
        <v>14</v>
      </c>
      <c r="V78">
        <v>43</v>
      </c>
      <c r="W78">
        <v>8</v>
      </c>
      <c r="X78">
        <v>41.1</v>
      </c>
      <c r="Y78" t="s">
        <v>15</v>
      </c>
      <c r="Z78">
        <v>75</v>
      </c>
      <c r="AA78">
        <v>10</v>
      </c>
      <c r="AB78">
        <v>32.200000000000003</v>
      </c>
      <c r="AC78">
        <v>1003764</v>
      </c>
      <c r="AD78">
        <v>332.75</v>
      </c>
      <c r="AE78" t="s">
        <v>16</v>
      </c>
      <c r="AF78">
        <v>206.76</v>
      </c>
      <c r="AG78" t="s">
        <v>17</v>
      </c>
      <c r="AH78" t="s">
        <v>168</v>
      </c>
      <c r="AI78" t="s">
        <v>677</v>
      </c>
    </row>
    <row r="79" spans="2:35" x14ac:dyDescent="0.25">
      <c r="B79" s="2" t="s">
        <v>169</v>
      </c>
      <c r="C79" t="s">
        <v>5</v>
      </c>
      <c r="D79">
        <v>12</v>
      </c>
      <c r="E79" t="s">
        <v>6</v>
      </c>
      <c r="F79" t="s">
        <v>7</v>
      </c>
      <c r="G79" t="s">
        <v>170</v>
      </c>
      <c r="H79" t="s">
        <v>31</v>
      </c>
      <c r="I79" t="s">
        <v>10</v>
      </c>
      <c r="J79">
        <f>- -60576</f>
        <v>60576</v>
      </c>
      <c r="K79">
        <v>18795</v>
      </c>
      <c r="L79">
        <v>6.5</v>
      </c>
      <c r="M79" t="s">
        <v>12</v>
      </c>
      <c r="O79">
        <v>507</v>
      </c>
      <c r="P79" t="s">
        <v>13</v>
      </c>
      <c r="Q79">
        <v>518.20000000000005</v>
      </c>
      <c r="R79" t="s">
        <v>13</v>
      </c>
      <c r="S79">
        <v>513.9</v>
      </c>
      <c r="T79" t="s">
        <v>13</v>
      </c>
      <c r="U79" t="s">
        <v>14</v>
      </c>
      <c r="V79">
        <v>40</v>
      </c>
      <c r="W79">
        <v>42</v>
      </c>
      <c r="X79">
        <v>46.8</v>
      </c>
      <c r="Y79" t="s">
        <v>15</v>
      </c>
      <c r="Z79">
        <v>74</v>
      </c>
      <c r="AA79">
        <v>0</v>
      </c>
      <c r="AB79">
        <v>47.3</v>
      </c>
      <c r="AC79">
        <v>1263701</v>
      </c>
      <c r="AD79">
        <v>295.45</v>
      </c>
      <c r="AE79" t="s">
        <v>16</v>
      </c>
      <c r="AF79">
        <v>183.59</v>
      </c>
      <c r="AG79" t="s">
        <v>17</v>
      </c>
      <c r="AH79" t="s">
        <v>33</v>
      </c>
      <c r="AI79" t="s">
        <v>169</v>
      </c>
    </row>
    <row r="80" spans="2:35" x14ac:dyDescent="0.25">
      <c r="B80" s="2" t="s">
        <v>171</v>
      </c>
      <c r="C80" t="s">
        <v>5</v>
      </c>
      <c r="D80">
        <v>12</v>
      </c>
      <c r="E80" t="s">
        <v>6</v>
      </c>
      <c r="F80" t="s">
        <v>21</v>
      </c>
      <c r="G80" t="s">
        <v>91</v>
      </c>
      <c r="H80" t="s">
        <v>23</v>
      </c>
      <c r="I80" t="s">
        <v>10</v>
      </c>
      <c r="J80">
        <f>- -4731</f>
        <v>4731</v>
      </c>
      <c r="K80">
        <v>73363</v>
      </c>
      <c r="L80">
        <v>30</v>
      </c>
      <c r="M80" t="s">
        <v>12</v>
      </c>
      <c r="O80">
        <v>412</v>
      </c>
      <c r="P80" t="s">
        <v>13</v>
      </c>
      <c r="Q80">
        <v>668.8</v>
      </c>
      <c r="R80" t="s">
        <v>13</v>
      </c>
      <c r="S80">
        <v>126</v>
      </c>
      <c r="T80" t="s">
        <v>13</v>
      </c>
      <c r="U80" t="s">
        <v>14</v>
      </c>
      <c r="V80">
        <v>42</v>
      </c>
      <c r="W80">
        <v>37</v>
      </c>
      <c r="X80">
        <v>31.3</v>
      </c>
      <c r="Y80" t="s">
        <v>15</v>
      </c>
      <c r="Z80">
        <v>74</v>
      </c>
      <c r="AA80">
        <v>0</v>
      </c>
      <c r="AB80">
        <v>36.700000000000003</v>
      </c>
      <c r="AC80">
        <v>1231728</v>
      </c>
      <c r="AD80">
        <v>228.8</v>
      </c>
      <c r="AE80" t="s">
        <v>16</v>
      </c>
      <c r="AF80">
        <v>142.16999999999999</v>
      </c>
      <c r="AG80" t="s">
        <v>17</v>
      </c>
      <c r="AH80" t="s">
        <v>73</v>
      </c>
      <c r="AI80" t="s">
        <v>672</v>
      </c>
    </row>
    <row r="81" spans="2:35" x14ac:dyDescent="0.25">
      <c r="B81" s="2" t="s">
        <v>171</v>
      </c>
      <c r="C81" t="s">
        <v>5</v>
      </c>
      <c r="D81">
        <v>12</v>
      </c>
      <c r="E81" t="s">
        <v>96</v>
      </c>
      <c r="F81" t="s">
        <v>21</v>
      </c>
      <c r="G81" t="s">
        <v>91</v>
      </c>
      <c r="H81" t="s">
        <v>23</v>
      </c>
      <c r="I81" t="s">
        <v>10</v>
      </c>
      <c r="J81">
        <f>- -29198</f>
        <v>29198</v>
      </c>
      <c r="K81">
        <v>73363</v>
      </c>
      <c r="L81">
        <v>15</v>
      </c>
      <c r="M81" t="s">
        <v>12</v>
      </c>
      <c r="O81">
        <v>435</v>
      </c>
      <c r="P81" t="s">
        <v>13</v>
      </c>
      <c r="Q81">
        <v>691.8</v>
      </c>
      <c r="R81" t="s">
        <v>13</v>
      </c>
      <c r="S81">
        <v>149</v>
      </c>
      <c r="T81" t="s">
        <v>13</v>
      </c>
      <c r="U81" t="s">
        <v>14</v>
      </c>
      <c r="V81">
        <v>42</v>
      </c>
      <c r="W81">
        <v>37</v>
      </c>
      <c r="X81">
        <v>31.3</v>
      </c>
      <c r="Y81" t="s">
        <v>15</v>
      </c>
      <c r="Z81">
        <v>74</v>
      </c>
      <c r="AA81">
        <v>0</v>
      </c>
      <c r="AB81">
        <v>36.700000000000003</v>
      </c>
      <c r="AC81">
        <v>1231728</v>
      </c>
      <c r="AD81">
        <v>228.8</v>
      </c>
      <c r="AE81" t="s">
        <v>16</v>
      </c>
      <c r="AF81">
        <v>142.16999999999999</v>
      </c>
      <c r="AG81" t="s">
        <v>17</v>
      </c>
      <c r="AH81" t="s">
        <v>73</v>
      </c>
      <c r="AI81" t="s">
        <v>672</v>
      </c>
    </row>
    <row r="82" spans="2:35" x14ac:dyDescent="0.25">
      <c r="B82" s="2" t="s">
        <v>172</v>
      </c>
      <c r="C82" t="s">
        <v>5</v>
      </c>
      <c r="D82">
        <v>12</v>
      </c>
      <c r="E82" t="s">
        <v>6</v>
      </c>
      <c r="F82" t="s">
        <v>21</v>
      </c>
      <c r="G82" t="s">
        <v>27</v>
      </c>
      <c r="H82" t="s">
        <v>28</v>
      </c>
      <c r="I82" t="s">
        <v>10</v>
      </c>
      <c r="J82" t="s">
        <v>173</v>
      </c>
      <c r="K82">
        <v>73311</v>
      </c>
      <c r="L82">
        <v>30</v>
      </c>
      <c r="M82" t="s">
        <v>12</v>
      </c>
      <c r="O82">
        <v>305</v>
      </c>
      <c r="P82" t="s">
        <v>13</v>
      </c>
      <c r="Q82">
        <v>335</v>
      </c>
      <c r="R82" t="s">
        <v>13</v>
      </c>
      <c r="S82">
        <v>284.7</v>
      </c>
      <c r="T82" t="s">
        <v>13</v>
      </c>
      <c r="U82" t="s">
        <v>14</v>
      </c>
      <c r="V82">
        <v>41</v>
      </c>
      <c r="W82">
        <v>52</v>
      </c>
      <c r="X82">
        <v>36</v>
      </c>
      <c r="Y82" t="s">
        <v>15</v>
      </c>
      <c r="Z82">
        <v>71</v>
      </c>
      <c r="AA82">
        <v>16</v>
      </c>
      <c r="AB82">
        <v>55</v>
      </c>
      <c r="AC82">
        <v>1021703</v>
      </c>
      <c r="AD82">
        <v>55.34</v>
      </c>
      <c r="AE82" t="s">
        <v>16</v>
      </c>
      <c r="AF82">
        <v>34.380000000000003</v>
      </c>
      <c r="AG82" t="s">
        <v>17</v>
      </c>
      <c r="AH82" t="s">
        <v>174</v>
      </c>
      <c r="AI82" t="s">
        <v>695</v>
      </c>
    </row>
    <row r="83" spans="2:35" x14ac:dyDescent="0.25">
      <c r="B83" s="2" t="s">
        <v>11</v>
      </c>
      <c r="C83" t="s">
        <v>5</v>
      </c>
      <c r="D83">
        <v>12</v>
      </c>
      <c r="E83" t="s">
        <v>6</v>
      </c>
      <c r="F83" t="s">
        <v>7</v>
      </c>
      <c r="G83" t="s">
        <v>175</v>
      </c>
      <c r="H83" t="s">
        <v>110</v>
      </c>
      <c r="I83" t="s">
        <v>111</v>
      </c>
      <c r="J83" t="e">
        <f>- -CANADA273</f>
        <v>#NAME?</v>
      </c>
      <c r="K83">
        <v>704005</v>
      </c>
      <c r="L83">
        <v>10.6</v>
      </c>
      <c r="M83" t="s">
        <v>12</v>
      </c>
      <c r="N83" t="s">
        <v>53</v>
      </c>
      <c r="O83">
        <v>0</v>
      </c>
      <c r="P83" t="s">
        <v>13</v>
      </c>
      <c r="Q83">
        <v>327</v>
      </c>
      <c r="R83" t="s">
        <v>13</v>
      </c>
      <c r="S83">
        <v>0</v>
      </c>
      <c r="T83" t="s">
        <v>13</v>
      </c>
      <c r="U83" t="s">
        <v>14</v>
      </c>
      <c r="V83">
        <v>45</v>
      </c>
      <c r="W83">
        <v>30</v>
      </c>
      <c r="X83">
        <v>20.12</v>
      </c>
      <c r="Y83" t="s">
        <v>15</v>
      </c>
      <c r="Z83">
        <v>73</v>
      </c>
      <c r="AA83">
        <v>35</v>
      </c>
      <c r="AB83">
        <v>29.58</v>
      </c>
      <c r="AC83" t="s">
        <v>11</v>
      </c>
      <c r="AD83">
        <v>395.57</v>
      </c>
      <c r="AE83" t="s">
        <v>16</v>
      </c>
      <c r="AF83">
        <v>245.79</v>
      </c>
      <c r="AG83" t="s">
        <v>17</v>
      </c>
      <c r="AH83" t="s">
        <v>176</v>
      </c>
      <c r="AI83" t="s">
        <v>11</v>
      </c>
    </row>
    <row r="84" spans="2:35" x14ac:dyDescent="0.25">
      <c r="B84" s="2" t="s">
        <v>78</v>
      </c>
      <c r="C84" t="s">
        <v>5</v>
      </c>
      <c r="D84">
        <v>13</v>
      </c>
      <c r="E84" t="s">
        <v>6</v>
      </c>
      <c r="F84" t="s">
        <v>21</v>
      </c>
      <c r="G84" t="s">
        <v>79</v>
      </c>
      <c r="H84" t="s">
        <v>41</v>
      </c>
      <c r="I84" t="s">
        <v>10</v>
      </c>
      <c r="J84" t="s">
        <v>177</v>
      </c>
      <c r="K84">
        <v>136751</v>
      </c>
      <c r="L84">
        <v>12.69</v>
      </c>
      <c r="M84" t="s">
        <v>12</v>
      </c>
      <c r="N84" t="s">
        <v>53</v>
      </c>
      <c r="O84">
        <v>301</v>
      </c>
      <c r="P84" t="s">
        <v>13</v>
      </c>
      <c r="Q84">
        <v>538.29999999999995</v>
      </c>
      <c r="R84" t="s">
        <v>13</v>
      </c>
      <c r="S84">
        <v>75.3</v>
      </c>
      <c r="T84" t="s">
        <v>13</v>
      </c>
      <c r="U84" t="s">
        <v>14</v>
      </c>
      <c r="V84">
        <v>42</v>
      </c>
      <c r="W84">
        <v>38</v>
      </c>
      <c r="X84">
        <v>13</v>
      </c>
      <c r="Y84" t="s">
        <v>15</v>
      </c>
      <c r="Z84">
        <v>73</v>
      </c>
      <c r="AA84">
        <v>59</v>
      </c>
      <c r="AB84">
        <v>43</v>
      </c>
      <c r="AC84">
        <v>1002871</v>
      </c>
      <c r="AD84">
        <v>227.72</v>
      </c>
      <c r="AE84" t="s">
        <v>16</v>
      </c>
      <c r="AF84">
        <v>141.5</v>
      </c>
      <c r="AG84" t="s">
        <v>17</v>
      </c>
      <c r="AH84" t="s">
        <v>80</v>
      </c>
      <c r="AI84" t="s">
        <v>672</v>
      </c>
    </row>
    <row r="85" spans="2:35" x14ac:dyDescent="0.25">
      <c r="B85" s="2" t="s">
        <v>178</v>
      </c>
      <c r="C85" t="s">
        <v>5</v>
      </c>
      <c r="D85">
        <v>13</v>
      </c>
      <c r="E85" t="s">
        <v>6</v>
      </c>
      <c r="F85" t="s">
        <v>7</v>
      </c>
      <c r="G85" t="s">
        <v>51</v>
      </c>
      <c r="H85" t="s">
        <v>41</v>
      </c>
      <c r="I85" t="s">
        <v>10</v>
      </c>
      <c r="J85">
        <f>- -25429</f>
        <v>25429</v>
      </c>
      <c r="K85">
        <v>72096</v>
      </c>
      <c r="L85">
        <v>30</v>
      </c>
      <c r="M85" t="s">
        <v>12</v>
      </c>
      <c r="O85">
        <v>303.2</v>
      </c>
      <c r="P85" t="s">
        <v>13</v>
      </c>
      <c r="Q85">
        <v>402.3</v>
      </c>
      <c r="R85" t="s">
        <v>13</v>
      </c>
      <c r="S85">
        <v>36.299999999999997</v>
      </c>
      <c r="T85" t="s">
        <v>13</v>
      </c>
      <c r="U85" t="s">
        <v>14</v>
      </c>
      <c r="V85">
        <v>42</v>
      </c>
      <c r="W85">
        <v>14</v>
      </c>
      <c r="X85">
        <v>29.5</v>
      </c>
      <c r="Y85" t="s">
        <v>15</v>
      </c>
      <c r="Z85">
        <v>72</v>
      </c>
      <c r="AA85">
        <v>38</v>
      </c>
      <c r="AB85">
        <v>54.1</v>
      </c>
      <c r="AC85" t="s">
        <v>11</v>
      </c>
      <c r="AD85">
        <v>116.44</v>
      </c>
      <c r="AE85" t="s">
        <v>16</v>
      </c>
      <c r="AF85">
        <v>72.349999999999994</v>
      </c>
      <c r="AG85" t="s">
        <v>17</v>
      </c>
      <c r="AH85" t="s">
        <v>179</v>
      </c>
      <c r="AI85" t="s">
        <v>696</v>
      </c>
    </row>
    <row r="86" spans="2:35" x14ac:dyDescent="0.25">
      <c r="B86" s="2" t="s">
        <v>78</v>
      </c>
      <c r="C86" t="s">
        <v>5</v>
      </c>
      <c r="D86">
        <v>13</v>
      </c>
      <c r="E86" t="s">
        <v>6</v>
      </c>
      <c r="F86" t="s">
        <v>7</v>
      </c>
      <c r="G86" t="s">
        <v>79</v>
      </c>
      <c r="H86" t="s">
        <v>41</v>
      </c>
      <c r="I86" t="s">
        <v>10</v>
      </c>
      <c r="J86">
        <f>- -41752</f>
        <v>41752</v>
      </c>
      <c r="K86">
        <v>136751</v>
      </c>
      <c r="L86">
        <v>12.69</v>
      </c>
      <c r="M86" t="s">
        <v>12</v>
      </c>
      <c r="N86" t="s">
        <v>53</v>
      </c>
      <c r="O86">
        <v>301</v>
      </c>
      <c r="P86" t="s">
        <v>13</v>
      </c>
      <c r="Q86">
        <v>541</v>
      </c>
      <c r="R86" t="s">
        <v>13</v>
      </c>
      <c r="S86">
        <v>75.3</v>
      </c>
      <c r="T86" t="s">
        <v>13</v>
      </c>
      <c r="U86" t="s">
        <v>14</v>
      </c>
      <c r="V86">
        <v>42</v>
      </c>
      <c r="W86">
        <v>38</v>
      </c>
      <c r="X86">
        <v>13</v>
      </c>
      <c r="Y86" t="s">
        <v>15</v>
      </c>
      <c r="Z86">
        <v>73</v>
      </c>
      <c r="AA86">
        <v>59</v>
      </c>
      <c r="AB86">
        <v>43</v>
      </c>
      <c r="AC86">
        <v>1002871</v>
      </c>
      <c r="AD86">
        <v>227.72</v>
      </c>
      <c r="AE86" t="s">
        <v>16</v>
      </c>
      <c r="AF86">
        <v>141.5</v>
      </c>
      <c r="AG86" t="s">
        <v>17</v>
      </c>
      <c r="AH86" t="s">
        <v>80</v>
      </c>
      <c r="AI86" t="s">
        <v>672</v>
      </c>
    </row>
    <row r="87" spans="2:35" x14ac:dyDescent="0.25">
      <c r="B87" s="2" t="s">
        <v>169</v>
      </c>
      <c r="C87" t="s">
        <v>5</v>
      </c>
      <c r="D87">
        <v>13</v>
      </c>
      <c r="E87" t="s">
        <v>96</v>
      </c>
      <c r="F87" t="s">
        <v>21</v>
      </c>
      <c r="G87" t="s">
        <v>170</v>
      </c>
      <c r="H87" t="s">
        <v>31</v>
      </c>
      <c r="I87" t="s">
        <v>10</v>
      </c>
      <c r="J87">
        <f>- -41367</f>
        <v>41367</v>
      </c>
      <c r="K87">
        <v>18795</v>
      </c>
      <c r="L87">
        <v>12.5</v>
      </c>
      <c r="M87" t="s">
        <v>12</v>
      </c>
      <c r="O87">
        <v>297</v>
      </c>
      <c r="P87" t="s">
        <v>13</v>
      </c>
      <c r="Q87">
        <v>311.60000000000002</v>
      </c>
      <c r="R87" t="s">
        <v>13</v>
      </c>
      <c r="S87">
        <v>296.39999999999998</v>
      </c>
      <c r="T87" t="s">
        <v>13</v>
      </c>
      <c r="U87" t="s">
        <v>14</v>
      </c>
      <c r="V87">
        <v>40</v>
      </c>
      <c r="W87">
        <v>45</v>
      </c>
      <c r="X87">
        <v>22.4</v>
      </c>
      <c r="Y87" t="s">
        <v>15</v>
      </c>
      <c r="Z87">
        <v>73</v>
      </c>
      <c r="AA87">
        <v>59</v>
      </c>
      <c r="AB87">
        <v>10.5</v>
      </c>
      <c r="AC87">
        <v>1238745</v>
      </c>
      <c r="AD87">
        <v>290.64999999999998</v>
      </c>
      <c r="AE87" t="s">
        <v>16</v>
      </c>
      <c r="AF87">
        <v>180.6</v>
      </c>
      <c r="AG87" t="s">
        <v>17</v>
      </c>
      <c r="AH87" t="s">
        <v>32</v>
      </c>
      <c r="AI87" t="s">
        <v>169</v>
      </c>
    </row>
    <row r="88" spans="2:35" x14ac:dyDescent="0.25">
      <c r="B88" s="2" t="s">
        <v>169</v>
      </c>
      <c r="C88" t="s">
        <v>5</v>
      </c>
      <c r="D88">
        <v>13</v>
      </c>
      <c r="E88" t="s">
        <v>6</v>
      </c>
      <c r="F88" t="s">
        <v>7</v>
      </c>
      <c r="G88" t="s">
        <v>170</v>
      </c>
      <c r="H88" t="s">
        <v>31</v>
      </c>
      <c r="I88" t="s">
        <v>10</v>
      </c>
      <c r="J88">
        <f>- -56301</f>
        <v>56301</v>
      </c>
      <c r="K88">
        <v>18795</v>
      </c>
      <c r="L88">
        <v>4</v>
      </c>
      <c r="M88" t="s">
        <v>12</v>
      </c>
      <c r="O88">
        <v>507</v>
      </c>
      <c r="P88" t="s">
        <v>13</v>
      </c>
      <c r="Q88">
        <v>518.20000000000005</v>
      </c>
      <c r="R88" t="s">
        <v>13</v>
      </c>
      <c r="S88">
        <v>513.9</v>
      </c>
      <c r="T88" t="s">
        <v>13</v>
      </c>
      <c r="U88" t="s">
        <v>14</v>
      </c>
      <c r="V88">
        <v>40</v>
      </c>
      <c r="W88">
        <v>42</v>
      </c>
      <c r="X88">
        <v>46.8</v>
      </c>
      <c r="Y88" t="s">
        <v>15</v>
      </c>
      <c r="Z88">
        <v>74</v>
      </c>
      <c r="AA88">
        <v>0</v>
      </c>
      <c r="AB88">
        <v>47.3</v>
      </c>
      <c r="AC88">
        <v>1263701</v>
      </c>
      <c r="AD88">
        <v>295.45</v>
      </c>
      <c r="AE88" t="s">
        <v>16</v>
      </c>
      <c r="AF88">
        <v>183.59</v>
      </c>
      <c r="AG88" t="s">
        <v>17</v>
      </c>
      <c r="AH88" t="s">
        <v>33</v>
      </c>
      <c r="AI88" t="s">
        <v>169</v>
      </c>
    </row>
    <row r="89" spans="2:35" x14ac:dyDescent="0.25">
      <c r="B89" s="2" t="s">
        <v>180</v>
      </c>
      <c r="C89" t="s">
        <v>5</v>
      </c>
      <c r="D89">
        <v>13</v>
      </c>
      <c r="E89" t="s">
        <v>181</v>
      </c>
      <c r="F89" t="s">
        <v>7</v>
      </c>
      <c r="G89" t="s">
        <v>654</v>
      </c>
      <c r="H89" t="s">
        <v>23</v>
      </c>
      <c r="I89" t="s">
        <v>10</v>
      </c>
      <c r="J89">
        <f>- -57444</f>
        <v>57444</v>
      </c>
      <c r="K89">
        <v>14322</v>
      </c>
      <c r="L89">
        <v>4</v>
      </c>
      <c r="M89" t="s">
        <v>12</v>
      </c>
      <c r="O89">
        <v>507</v>
      </c>
      <c r="P89" t="s">
        <v>13</v>
      </c>
      <c r="Q89">
        <v>518.20000000000005</v>
      </c>
      <c r="R89" t="s">
        <v>13</v>
      </c>
      <c r="S89">
        <v>513.9</v>
      </c>
      <c r="T89" t="s">
        <v>13</v>
      </c>
      <c r="U89" t="s">
        <v>14</v>
      </c>
      <c r="V89">
        <v>40</v>
      </c>
      <c r="W89">
        <v>42</v>
      </c>
      <c r="X89">
        <v>46.8</v>
      </c>
      <c r="Y89" t="s">
        <v>15</v>
      </c>
      <c r="Z89">
        <v>74</v>
      </c>
      <c r="AA89">
        <v>0</v>
      </c>
      <c r="AB89">
        <v>47.3</v>
      </c>
      <c r="AC89">
        <v>1263701</v>
      </c>
      <c r="AD89">
        <v>295.45</v>
      </c>
      <c r="AE89" t="s">
        <v>16</v>
      </c>
      <c r="AF89">
        <v>183.59</v>
      </c>
      <c r="AG89" t="s">
        <v>17</v>
      </c>
      <c r="AH89" t="s">
        <v>33</v>
      </c>
      <c r="AI89" t="s">
        <v>169</v>
      </c>
    </row>
    <row r="90" spans="2:35" x14ac:dyDescent="0.25">
      <c r="B90" s="2" t="s">
        <v>182</v>
      </c>
      <c r="C90" t="s">
        <v>5</v>
      </c>
      <c r="D90">
        <v>13</v>
      </c>
      <c r="E90" t="s">
        <v>181</v>
      </c>
      <c r="F90" t="s">
        <v>7</v>
      </c>
      <c r="G90" t="s">
        <v>183</v>
      </c>
      <c r="H90" t="s">
        <v>23</v>
      </c>
      <c r="I90" t="s">
        <v>10</v>
      </c>
      <c r="J90">
        <f>- -57445</f>
        <v>57445</v>
      </c>
      <c r="K90">
        <v>67866</v>
      </c>
      <c r="L90">
        <v>4</v>
      </c>
      <c r="M90" t="s">
        <v>12</v>
      </c>
      <c r="O90">
        <v>507</v>
      </c>
      <c r="P90" t="s">
        <v>13</v>
      </c>
      <c r="Q90">
        <v>518.20000000000005</v>
      </c>
      <c r="R90" t="s">
        <v>13</v>
      </c>
      <c r="S90">
        <v>513.9</v>
      </c>
      <c r="T90" t="s">
        <v>13</v>
      </c>
      <c r="U90" t="s">
        <v>14</v>
      </c>
      <c r="V90">
        <v>40</v>
      </c>
      <c r="W90">
        <v>42</v>
      </c>
      <c r="X90">
        <v>46.8</v>
      </c>
      <c r="Y90" t="s">
        <v>15</v>
      </c>
      <c r="Z90">
        <v>74</v>
      </c>
      <c r="AA90">
        <v>0</v>
      </c>
      <c r="AB90">
        <v>47.3</v>
      </c>
      <c r="AC90">
        <v>1263701</v>
      </c>
      <c r="AD90">
        <v>295.45</v>
      </c>
      <c r="AE90" t="s">
        <v>16</v>
      </c>
      <c r="AF90">
        <v>183.59</v>
      </c>
      <c r="AG90" t="s">
        <v>17</v>
      </c>
      <c r="AH90" t="s">
        <v>33</v>
      </c>
      <c r="AI90" t="s">
        <v>169</v>
      </c>
    </row>
    <row r="91" spans="2:35" x14ac:dyDescent="0.25">
      <c r="B91" s="2" t="s">
        <v>19</v>
      </c>
      <c r="C91" t="s">
        <v>5</v>
      </c>
      <c r="D91">
        <v>13</v>
      </c>
      <c r="E91" t="s">
        <v>20</v>
      </c>
      <c r="F91" t="s">
        <v>7</v>
      </c>
      <c r="G91" t="s">
        <v>654</v>
      </c>
      <c r="H91" t="s">
        <v>23</v>
      </c>
      <c r="I91" t="s">
        <v>10</v>
      </c>
      <c r="J91">
        <f>- -54730</f>
        <v>54730</v>
      </c>
      <c r="K91">
        <v>51441</v>
      </c>
      <c r="L91">
        <v>1.2</v>
      </c>
      <c r="M91" t="s">
        <v>12</v>
      </c>
      <c r="N91" t="s">
        <v>53</v>
      </c>
      <c r="O91">
        <v>0</v>
      </c>
      <c r="P91" t="s">
        <v>13</v>
      </c>
      <c r="Q91">
        <v>274.89999999999998</v>
      </c>
      <c r="R91" t="s">
        <v>13</v>
      </c>
      <c r="S91">
        <v>265.5</v>
      </c>
      <c r="T91" t="s">
        <v>13</v>
      </c>
      <c r="U91" t="s">
        <v>14</v>
      </c>
      <c r="V91">
        <v>40</v>
      </c>
      <c r="W91">
        <v>45</v>
      </c>
      <c r="X91">
        <v>8.1</v>
      </c>
      <c r="Y91" t="s">
        <v>15</v>
      </c>
      <c r="Z91">
        <v>73</v>
      </c>
      <c r="AA91">
        <v>58</v>
      </c>
      <c r="AB91">
        <v>2.1</v>
      </c>
      <c r="AC91">
        <v>1268297</v>
      </c>
      <c r="AD91">
        <v>289.69</v>
      </c>
      <c r="AE91" t="s">
        <v>16</v>
      </c>
      <c r="AF91">
        <v>180</v>
      </c>
      <c r="AG91" t="s">
        <v>17</v>
      </c>
      <c r="AH91" t="s">
        <v>25</v>
      </c>
      <c r="AI91" t="s">
        <v>655</v>
      </c>
    </row>
    <row r="92" spans="2:35" x14ac:dyDescent="0.25">
      <c r="B92" s="2" t="s">
        <v>99</v>
      </c>
      <c r="C92" t="s">
        <v>5</v>
      </c>
      <c r="D92">
        <v>13</v>
      </c>
      <c r="E92" t="s">
        <v>6</v>
      </c>
      <c r="F92" t="s">
        <v>21</v>
      </c>
      <c r="G92" t="s">
        <v>100</v>
      </c>
      <c r="H92" t="s">
        <v>101</v>
      </c>
      <c r="I92" t="s">
        <v>10</v>
      </c>
      <c r="J92" t="s">
        <v>184</v>
      </c>
      <c r="K92">
        <v>11259</v>
      </c>
      <c r="L92">
        <v>10</v>
      </c>
      <c r="M92" t="s">
        <v>12</v>
      </c>
      <c r="N92" t="s">
        <v>53</v>
      </c>
      <c r="O92">
        <v>831</v>
      </c>
      <c r="P92" t="s">
        <v>13</v>
      </c>
      <c r="Q92">
        <v>1253</v>
      </c>
      <c r="R92" t="s">
        <v>13</v>
      </c>
      <c r="S92">
        <v>30</v>
      </c>
      <c r="T92" t="s">
        <v>13</v>
      </c>
      <c r="U92" t="s">
        <v>14</v>
      </c>
      <c r="V92">
        <v>44</v>
      </c>
      <c r="W92">
        <v>31</v>
      </c>
      <c r="X92">
        <v>33.1</v>
      </c>
      <c r="Y92" t="s">
        <v>15</v>
      </c>
      <c r="Z92">
        <v>72</v>
      </c>
      <c r="AA92">
        <v>48</v>
      </c>
      <c r="AB92">
        <v>55.4</v>
      </c>
      <c r="AC92" t="s">
        <v>11</v>
      </c>
      <c r="AD92">
        <v>270.64999999999998</v>
      </c>
      <c r="AE92" t="s">
        <v>16</v>
      </c>
      <c r="AF92">
        <v>168.17</v>
      </c>
      <c r="AG92" t="s">
        <v>17</v>
      </c>
      <c r="AH92" t="s">
        <v>102</v>
      </c>
      <c r="AI92" t="s">
        <v>678</v>
      </c>
    </row>
    <row r="93" spans="2:35" x14ac:dyDescent="0.25">
      <c r="B93" s="2" t="s">
        <v>11</v>
      </c>
      <c r="C93" t="s">
        <v>5</v>
      </c>
      <c r="D93">
        <v>13</v>
      </c>
      <c r="E93" t="s">
        <v>6</v>
      </c>
      <c r="F93" t="s">
        <v>7</v>
      </c>
      <c r="G93" t="s">
        <v>109</v>
      </c>
      <c r="H93" t="s">
        <v>110</v>
      </c>
      <c r="I93" t="s">
        <v>111</v>
      </c>
      <c r="J93" t="e">
        <f>- -CANADA309</f>
        <v>#NAME?</v>
      </c>
      <c r="K93">
        <v>704041</v>
      </c>
      <c r="L93">
        <v>36</v>
      </c>
      <c r="M93" t="s">
        <v>12</v>
      </c>
      <c r="N93" t="s">
        <v>53</v>
      </c>
      <c r="O93">
        <v>0</v>
      </c>
      <c r="P93" t="s">
        <v>13</v>
      </c>
      <c r="Q93">
        <v>877.2</v>
      </c>
      <c r="R93" t="s">
        <v>13</v>
      </c>
      <c r="S93">
        <v>0</v>
      </c>
      <c r="T93" t="s">
        <v>13</v>
      </c>
      <c r="U93" t="s">
        <v>14</v>
      </c>
      <c r="V93">
        <v>45</v>
      </c>
      <c r="W93">
        <v>18</v>
      </c>
      <c r="X93">
        <v>43.15</v>
      </c>
      <c r="Y93" t="s">
        <v>15</v>
      </c>
      <c r="Z93">
        <v>72</v>
      </c>
      <c r="AA93">
        <v>14</v>
      </c>
      <c r="AB93">
        <v>30.39</v>
      </c>
      <c r="AC93" t="s">
        <v>11</v>
      </c>
      <c r="AD93">
        <v>336.06</v>
      </c>
      <c r="AE93" t="s">
        <v>16</v>
      </c>
      <c r="AF93">
        <v>208.82</v>
      </c>
      <c r="AG93" t="s">
        <v>17</v>
      </c>
      <c r="AH93" t="s">
        <v>112</v>
      </c>
      <c r="AI93" t="s">
        <v>11</v>
      </c>
    </row>
    <row r="94" spans="2:35" x14ac:dyDescent="0.25">
      <c r="B94" s="2" t="s">
        <v>185</v>
      </c>
      <c r="C94" t="s">
        <v>5</v>
      </c>
      <c r="D94">
        <v>14</v>
      </c>
      <c r="E94" t="s">
        <v>20</v>
      </c>
      <c r="F94" t="s">
        <v>21</v>
      </c>
      <c r="G94" t="s">
        <v>186</v>
      </c>
      <c r="H94" t="s">
        <v>9</v>
      </c>
      <c r="I94" t="s">
        <v>10</v>
      </c>
      <c r="J94">
        <f>- -5014</f>
        <v>5014</v>
      </c>
      <c r="K94">
        <v>125877</v>
      </c>
      <c r="L94">
        <v>14.5</v>
      </c>
      <c r="M94" t="s">
        <v>12</v>
      </c>
      <c r="N94" t="s">
        <v>53</v>
      </c>
      <c r="O94">
        <v>0</v>
      </c>
      <c r="P94" t="s">
        <v>13</v>
      </c>
      <c r="Q94">
        <v>72.7</v>
      </c>
      <c r="R94" t="s">
        <v>13</v>
      </c>
      <c r="S94">
        <v>30</v>
      </c>
      <c r="T94" t="s">
        <v>13</v>
      </c>
      <c r="U94" t="s">
        <v>14</v>
      </c>
      <c r="V94">
        <v>43</v>
      </c>
      <c r="W94">
        <v>48</v>
      </c>
      <c r="X94">
        <v>3.86</v>
      </c>
      <c r="Y94" t="s">
        <v>15</v>
      </c>
      <c r="Z94">
        <v>69</v>
      </c>
      <c r="AA94">
        <v>56</v>
      </c>
      <c r="AB94">
        <v>15.01</v>
      </c>
      <c r="AC94" t="s">
        <v>11</v>
      </c>
      <c r="AD94">
        <v>191.07</v>
      </c>
      <c r="AE94" t="s">
        <v>16</v>
      </c>
      <c r="AF94">
        <v>118.72</v>
      </c>
      <c r="AG94" t="s">
        <v>17</v>
      </c>
      <c r="AH94" t="s">
        <v>187</v>
      </c>
      <c r="AI94" t="s">
        <v>697</v>
      </c>
    </row>
    <row r="95" spans="2:35" x14ac:dyDescent="0.25">
      <c r="B95" s="2" t="s">
        <v>188</v>
      </c>
      <c r="C95" t="s">
        <v>5</v>
      </c>
      <c r="D95">
        <v>14</v>
      </c>
      <c r="E95" t="s">
        <v>6</v>
      </c>
      <c r="F95" t="s">
        <v>21</v>
      </c>
      <c r="G95" t="s">
        <v>698</v>
      </c>
      <c r="H95" t="s">
        <v>23</v>
      </c>
      <c r="I95" t="s">
        <v>10</v>
      </c>
      <c r="J95" t="s">
        <v>189</v>
      </c>
      <c r="K95">
        <v>57476</v>
      </c>
      <c r="L95">
        <v>650</v>
      </c>
      <c r="M95" t="s">
        <v>12</v>
      </c>
      <c r="N95" t="s">
        <v>53</v>
      </c>
      <c r="O95">
        <v>845</v>
      </c>
      <c r="P95" t="s">
        <v>13</v>
      </c>
      <c r="Q95">
        <v>1270</v>
      </c>
      <c r="R95" t="s">
        <v>13</v>
      </c>
      <c r="S95">
        <v>46</v>
      </c>
      <c r="T95" t="s">
        <v>13</v>
      </c>
      <c r="U95" t="s">
        <v>14</v>
      </c>
      <c r="V95">
        <v>44</v>
      </c>
      <c r="W95">
        <v>31</v>
      </c>
      <c r="X95">
        <v>32.1</v>
      </c>
      <c r="Y95" t="s">
        <v>15</v>
      </c>
      <c r="Z95">
        <v>72</v>
      </c>
      <c r="AA95">
        <v>48</v>
      </c>
      <c r="AB95">
        <v>56.4</v>
      </c>
      <c r="AC95" t="s">
        <v>11</v>
      </c>
      <c r="AD95">
        <v>270.63</v>
      </c>
      <c r="AE95" t="s">
        <v>16</v>
      </c>
      <c r="AF95">
        <v>168.16</v>
      </c>
      <c r="AG95" t="s">
        <v>17</v>
      </c>
      <c r="AH95" t="s">
        <v>190</v>
      </c>
      <c r="AI95" t="s">
        <v>699</v>
      </c>
    </row>
    <row r="96" spans="2:35" x14ac:dyDescent="0.25">
      <c r="B96" s="2" t="s">
        <v>191</v>
      </c>
      <c r="C96" t="s">
        <v>5</v>
      </c>
      <c r="D96">
        <v>14</v>
      </c>
      <c r="E96" t="s">
        <v>20</v>
      </c>
      <c r="F96" t="s">
        <v>21</v>
      </c>
      <c r="G96" t="s">
        <v>192</v>
      </c>
      <c r="H96" t="s">
        <v>23</v>
      </c>
      <c r="I96" t="s">
        <v>10</v>
      </c>
      <c r="J96" t="s">
        <v>193</v>
      </c>
      <c r="K96">
        <v>130304</v>
      </c>
      <c r="L96">
        <v>15</v>
      </c>
      <c r="M96" t="s">
        <v>12</v>
      </c>
      <c r="N96" t="s">
        <v>53</v>
      </c>
      <c r="O96">
        <v>0</v>
      </c>
      <c r="P96" t="s">
        <v>13</v>
      </c>
      <c r="Q96">
        <v>912.3</v>
      </c>
      <c r="R96" t="s">
        <v>13</v>
      </c>
      <c r="S96">
        <v>11.3</v>
      </c>
      <c r="T96" t="s">
        <v>13</v>
      </c>
      <c r="U96" t="s">
        <v>14</v>
      </c>
      <c r="V96">
        <v>42</v>
      </c>
      <c r="W96">
        <v>17</v>
      </c>
      <c r="X96">
        <v>13.6</v>
      </c>
      <c r="Y96" t="s">
        <v>15</v>
      </c>
      <c r="Z96">
        <v>74</v>
      </c>
      <c r="AA96">
        <v>15</v>
      </c>
      <c r="AB96">
        <v>58.2</v>
      </c>
      <c r="AC96" t="s">
        <v>11</v>
      </c>
      <c r="AD96">
        <v>248.99</v>
      </c>
      <c r="AE96" t="s">
        <v>16</v>
      </c>
      <c r="AF96">
        <v>154.71</v>
      </c>
      <c r="AG96" t="s">
        <v>17</v>
      </c>
      <c r="AH96" t="s">
        <v>194</v>
      </c>
      <c r="AI96" t="s">
        <v>700</v>
      </c>
    </row>
    <row r="97" spans="2:35" x14ac:dyDescent="0.25">
      <c r="B97" s="2" t="s">
        <v>188</v>
      </c>
      <c r="C97" t="s">
        <v>5</v>
      </c>
      <c r="D97">
        <v>14</v>
      </c>
      <c r="E97" t="s">
        <v>6</v>
      </c>
      <c r="F97" t="s">
        <v>7</v>
      </c>
      <c r="G97" t="s">
        <v>195</v>
      </c>
      <c r="H97" t="s">
        <v>23</v>
      </c>
      <c r="I97" t="s">
        <v>10</v>
      </c>
      <c r="J97">
        <f>- -58609</f>
        <v>58609</v>
      </c>
      <c r="K97">
        <v>57476</v>
      </c>
      <c r="L97">
        <v>650</v>
      </c>
      <c r="M97" t="s">
        <v>12</v>
      </c>
      <c r="N97" t="s">
        <v>53</v>
      </c>
      <c r="O97">
        <v>845</v>
      </c>
      <c r="P97" t="s">
        <v>13</v>
      </c>
      <c r="Q97">
        <v>1270</v>
      </c>
      <c r="R97" t="s">
        <v>13</v>
      </c>
      <c r="S97">
        <v>46</v>
      </c>
      <c r="T97" t="s">
        <v>13</v>
      </c>
      <c r="U97" t="s">
        <v>14</v>
      </c>
      <c r="V97">
        <v>44</v>
      </c>
      <c r="W97">
        <v>31</v>
      </c>
      <c r="X97">
        <v>32.1</v>
      </c>
      <c r="Y97" t="s">
        <v>15</v>
      </c>
      <c r="Z97">
        <v>72</v>
      </c>
      <c r="AA97">
        <v>48</v>
      </c>
      <c r="AB97">
        <v>56.4</v>
      </c>
      <c r="AC97" t="s">
        <v>11</v>
      </c>
      <c r="AD97">
        <v>270.63</v>
      </c>
      <c r="AE97" t="s">
        <v>16</v>
      </c>
      <c r="AF97">
        <v>168.16</v>
      </c>
      <c r="AG97" t="s">
        <v>17</v>
      </c>
      <c r="AH97" t="s">
        <v>190</v>
      </c>
      <c r="AI97" t="s">
        <v>699</v>
      </c>
    </row>
    <row r="98" spans="2:35" x14ac:dyDescent="0.25">
      <c r="B98" s="2" t="s">
        <v>191</v>
      </c>
      <c r="C98" t="s">
        <v>5</v>
      </c>
      <c r="D98">
        <v>14</v>
      </c>
      <c r="E98" t="s">
        <v>20</v>
      </c>
      <c r="F98" t="s">
        <v>21</v>
      </c>
      <c r="G98" t="s">
        <v>192</v>
      </c>
      <c r="H98" t="s">
        <v>23</v>
      </c>
      <c r="I98" t="s">
        <v>10</v>
      </c>
      <c r="J98">
        <f>- -59514</f>
        <v>59514</v>
      </c>
      <c r="K98">
        <v>130304</v>
      </c>
      <c r="L98">
        <v>10</v>
      </c>
      <c r="M98" t="s">
        <v>12</v>
      </c>
      <c r="N98" t="s">
        <v>53</v>
      </c>
      <c r="O98">
        <v>0</v>
      </c>
      <c r="P98" t="s">
        <v>13</v>
      </c>
      <c r="Q98">
        <v>591.29999999999995</v>
      </c>
      <c r="R98" t="s">
        <v>13</v>
      </c>
      <c r="S98">
        <v>36.6</v>
      </c>
      <c r="T98" t="s">
        <v>13</v>
      </c>
      <c r="U98" t="s">
        <v>14</v>
      </c>
      <c r="V98">
        <v>42</v>
      </c>
      <c r="W98">
        <v>37</v>
      </c>
      <c r="X98">
        <v>39.4</v>
      </c>
      <c r="Y98" t="s">
        <v>15</v>
      </c>
      <c r="Z98">
        <v>74</v>
      </c>
      <c r="AA98">
        <v>0</v>
      </c>
      <c r="AB98">
        <v>37.4</v>
      </c>
      <c r="AC98" t="s">
        <v>11</v>
      </c>
      <c r="AD98">
        <v>228.84</v>
      </c>
      <c r="AE98" t="s">
        <v>16</v>
      </c>
      <c r="AF98">
        <v>142.19999999999999</v>
      </c>
      <c r="AG98" t="s">
        <v>17</v>
      </c>
      <c r="AH98" t="s">
        <v>196</v>
      </c>
      <c r="AI98" t="s">
        <v>700</v>
      </c>
    </row>
    <row r="99" spans="2:35" x14ac:dyDescent="0.25">
      <c r="B99" s="2" t="s">
        <v>197</v>
      </c>
      <c r="C99" t="s">
        <v>5</v>
      </c>
      <c r="D99">
        <v>14</v>
      </c>
      <c r="E99" t="s">
        <v>6</v>
      </c>
      <c r="F99" t="s">
        <v>7</v>
      </c>
      <c r="G99" t="s">
        <v>198</v>
      </c>
      <c r="H99" t="s">
        <v>101</v>
      </c>
      <c r="I99" t="s">
        <v>10</v>
      </c>
      <c r="J99">
        <f>- -58610</f>
        <v>58610</v>
      </c>
      <c r="K99">
        <v>73344</v>
      </c>
      <c r="L99">
        <v>650</v>
      </c>
      <c r="M99" t="s">
        <v>12</v>
      </c>
      <c r="N99" t="s">
        <v>53</v>
      </c>
      <c r="O99">
        <v>845</v>
      </c>
      <c r="P99" t="s">
        <v>13</v>
      </c>
      <c r="Q99">
        <v>1270</v>
      </c>
      <c r="R99" t="s">
        <v>13</v>
      </c>
      <c r="S99">
        <v>46</v>
      </c>
      <c r="T99" t="s">
        <v>13</v>
      </c>
      <c r="U99" t="s">
        <v>14</v>
      </c>
      <c r="V99">
        <v>44</v>
      </c>
      <c r="W99">
        <v>31</v>
      </c>
      <c r="X99">
        <v>32.1</v>
      </c>
      <c r="Y99" t="s">
        <v>15</v>
      </c>
      <c r="Z99">
        <v>72</v>
      </c>
      <c r="AA99">
        <v>48</v>
      </c>
      <c r="AB99">
        <v>56.4</v>
      </c>
      <c r="AC99" t="s">
        <v>11</v>
      </c>
      <c r="AD99">
        <v>270.63</v>
      </c>
      <c r="AE99" t="s">
        <v>16</v>
      </c>
      <c r="AF99">
        <v>168.16</v>
      </c>
      <c r="AG99" t="s">
        <v>17</v>
      </c>
      <c r="AH99" t="s">
        <v>190</v>
      </c>
      <c r="AI99" t="s">
        <v>699</v>
      </c>
    </row>
    <row r="100" spans="2:35" x14ac:dyDescent="0.25">
      <c r="B100" s="2" t="s">
        <v>199</v>
      </c>
      <c r="C100" t="s">
        <v>5</v>
      </c>
      <c r="D100">
        <v>15</v>
      </c>
      <c r="E100" t="s">
        <v>20</v>
      </c>
      <c r="F100" t="s">
        <v>7</v>
      </c>
      <c r="G100" t="s">
        <v>8</v>
      </c>
      <c r="H100" t="s">
        <v>9</v>
      </c>
      <c r="I100" t="s">
        <v>10</v>
      </c>
      <c r="J100" t="s">
        <v>200</v>
      </c>
      <c r="K100">
        <v>187894</v>
      </c>
      <c r="L100">
        <v>1.2</v>
      </c>
      <c r="M100" t="s">
        <v>12</v>
      </c>
      <c r="N100" t="s">
        <v>53</v>
      </c>
      <c r="O100">
        <v>0</v>
      </c>
      <c r="P100" t="s">
        <v>13</v>
      </c>
      <c r="Q100">
        <v>172</v>
      </c>
      <c r="R100" t="s">
        <v>13</v>
      </c>
      <c r="S100">
        <v>80</v>
      </c>
      <c r="T100" t="s">
        <v>13</v>
      </c>
      <c r="U100" t="s">
        <v>14</v>
      </c>
      <c r="V100">
        <v>44</v>
      </c>
      <c r="W100">
        <v>51</v>
      </c>
      <c r="X100">
        <v>9</v>
      </c>
      <c r="Y100" t="s">
        <v>15</v>
      </c>
      <c r="Z100">
        <v>68</v>
      </c>
      <c r="AA100">
        <v>47</v>
      </c>
      <c r="AB100">
        <v>4</v>
      </c>
      <c r="AC100">
        <v>1019886</v>
      </c>
      <c r="AD100">
        <v>339.64</v>
      </c>
      <c r="AE100" t="s">
        <v>16</v>
      </c>
      <c r="AF100">
        <v>211.04</v>
      </c>
      <c r="AG100" t="s">
        <v>17</v>
      </c>
      <c r="AH100" t="s">
        <v>201</v>
      </c>
      <c r="AI100" t="s">
        <v>701</v>
      </c>
    </row>
    <row r="101" spans="2:35" x14ac:dyDescent="0.25">
      <c r="B101" s="2" t="s">
        <v>61</v>
      </c>
      <c r="C101" t="s">
        <v>5</v>
      </c>
      <c r="D101">
        <v>15</v>
      </c>
      <c r="E101" t="s">
        <v>20</v>
      </c>
      <c r="F101" t="s">
        <v>21</v>
      </c>
      <c r="G101" t="s">
        <v>62</v>
      </c>
      <c r="H101" t="s">
        <v>9</v>
      </c>
      <c r="I101" t="s">
        <v>10</v>
      </c>
      <c r="J101" t="s">
        <v>202</v>
      </c>
      <c r="K101">
        <v>9205</v>
      </c>
      <c r="L101">
        <v>15</v>
      </c>
      <c r="M101" t="s">
        <v>12</v>
      </c>
      <c r="N101" t="s">
        <v>53</v>
      </c>
      <c r="O101">
        <v>0</v>
      </c>
      <c r="P101" t="s">
        <v>13</v>
      </c>
      <c r="Q101">
        <v>118.3</v>
      </c>
      <c r="R101" t="s">
        <v>13</v>
      </c>
      <c r="S101">
        <v>51.2</v>
      </c>
      <c r="T101" t="s">
        <v>13</v>
      </c>
      <c r="U101" t="s">
        <v>14</v>
      </c>
      <c r="V101">
        <v>43</v>
      </c>
      <c r="W101">
        <v>41</v>
      </c>
      <c r="X101">
        <v>48.2</v>
      </c>
      <c r="Y101" t="s">
        <v>15</v>
      </c>
      <c r="Z101">
        <v>70</v>
      </c>
      <c r="AA101">
        <v>21</v>
      </c>
      <c r="AB101">
        <v>44.1</v>
      </c>
      <c r="AC101" t="s">
        <v>11</v>
      </c>
      <c r="AD101">
        <v>163.68</v>
      </c>
      <c r="AE101" t="s">
        <v>16</v>
      </c>
      <c r="AF101">
        <v>101.71</v>
      </c>
      <c r="AG101" t="s">
        <v>17</v>
      </c>
      <c r="AH101" t="s">
        <v>63</v>
      </c>
      <c r="AI101" t="s">
        <v>667</v>
      </c>
    </row>
    <row r="102" spans="2:35" x14ac:dyDescent="0.25">
      <c r="B102" s="2" t="s">
        <v>199</v>
      </c>
      <c r="C102" t="s">
        <v>5</v>
      </c>
      <c r="D102">
        <v>15</v>
      </c>
      <c r="E102" t="s">
        <v>20</v>
      </c>
      <c r="F102" t="s">
        <v>656</v>
      </c>
      <c r="G102" t="s">
        <v>8</v>
      </c>
      <c r="H102" t="s">
        <v>9</v>
      </c>
      <c r="I102" t="s">
        <v>10</v>
      </c>
      <c r="J102">
        <f>- -7298</f>
        <v>7298</v>
      </c>
      <c r="K102">
        <v>187894</v>
      </c>
      <c r="L102">
        <v>1</v>
      </c>
      <c r="M102" t="s">
        <v>12</v>
      </c>
      <c r="N102" t="s">
        <v>53</v>
      </c>
      <c r="O102">
        <v>0</v>
      </c>
      <c r="P102" t="s">
        <v>13</v>
      </c>
      <c r="Q102">
        <v>104.3</v>
      </c>
      <c r="R102" t="s">
        <v>13</v>
      </c>
      <c r="S102">
        <v>18</v>
      </c>
      <c r="T102" t="s">
        <v>13</v>
      </c>
      <c r="U102" t="s">
        <v>14</v>
      </c>
      <c r="V102">
        <v>44</v>
      </c>
      <c r="W102">
        <v>52</v>
      </c>
      <c r="X102">
        <v>43.8</v>
      </c>
      <c r="Y102" t="s">
        <v>15</v>
      </c>
      <c r="Z102">
        <v>68</v>
      </c>
      <c r="AA102">
        <v>52</v>
      </c>
      <c r="AB102">
        <v>57.6</v>
      </c>
      <c r="AC102" t="s">
        <v>11</v>
      </c>
      <c r="AD102">
        <v>337.44</v>
      </c>
      <c r="AE102" t="s">
        <v>16</v>
      </c>
      <c r="AF102">
        <v>209.68</v>
      </c>
      <c r="AG102" t="s">
        <v>17</v>
      </c>
      <c r="AH102" t="s">
        <v>203</v>
      </c>
      <c r="AI102" t="s">
        <v>701</v>
      </c>
    </row>
    <row r="103" spans="2:35" x14ac:dyDescent="0.25">
      <c r="B103" s="2" t="s">
        <v>204</v>
      </c>
      <c r="C103" t="s">
        <v>5</v>
      </c>
      <c r="D103">
        <v>15</v>
      </c>
      <c r="E103" t="s">
        <v>20</v>
      </c>
      <c r="F103" t="s">
        <v>7</v>
      </c>
      <c r="G103" t="s">
        <v>205</v>
      </c>
      <c r="H103" t="s">
        <v>45</v>
      </c>
      <c r="I103" t="s">
        <v>10</v>
      </c>
      <c r="J103" t="s">
        <v>206</v>
      </c>
      <c r="K103">
        <v>186684</v>
      </c>
      <c r="L103">
        <v>1</v>
      </c>
      <c r="M103" t="s">
        <v>12</v>
      </c>
      <c r="N103" t="s">
        <v>53</v>
      </c>
      <c r="O103">
        <v>0</v>
      </c>
      <c r="P103" t="s">
        <v>13</v>
      </c>
      <c r="Q103">
        <v>425.3</v>
      </c>
      <c r="R103" t="s">
        <v>13</v>
      </c>
      <c r="S103">
        <v>30</v>
      </c>
      <c r="T103" t="s">
        <v>13</v>
      </c>
      <c r="U103" t="s">
        <v>14</v>
      </c>
      <c r="V103">
        <v>43</v>
      </c>
      <c r="W103">
        <v>5</v>
      </c>
      <c r="X103">
        <v>38.299999999999997</v>
      </c>
      <c r="Y103" t="s">
        <v>15</v>
      </c>
      <c r="Z103">
        <v>72</v>
      </c>
      <c r="AA103">
        <v>19</v>
      </c>
      <c r="AB103">
        <v>0.8</v>
      </c>
      <c r="AC103" t="s">
        <v>11</v>
      </c>
      <c r="AD103">
        <v>118.58</v>
      </c>
      <c r="AE103" t="s">
        <v>16</v>
      </c>
      <c r="AF103">
        <v>73.680000000000007</v>
      </c>
      <c r="AG103" t="s">
        <v>17</v>
      </c>
      <c r="AH103" t="s">
        <v>207</v>
      </c>
      <c r="AI103" t="s">
        <v>702</v>
      </c>
    </row>
    <row r="104" spans="2:35" x14ac:dyDescent="0.25">
      <c r="B104" s="2" t="s">
        <v>70</v>
      </c>
      <c r="C104" t="s">
        <v>5</v>
      </c>
      <c r="D104">
        <v>15</v>
      </c>
      <c r="E104" t="s">
        <v>20</v>
      </c>
      <c r="F104" t="s">
        <v>7</v>
      </c>
      <c r="G104" t="s">
        <v>71</v>
      </c>
      <c r="H104" t="s">
        <v>23</v>
      </c>
      <c r="I104" t="s">
        <v>10</v>
      </c>
      <c r="J104">
        <f>- -54700</f>
        <v>54700</v>
      </c>
      <c r="K104">
        <v>73942</v>
      </c>
      <c r="L104">
        <v>15</v>
      </c>
      <c r="M104" t="s">
        <v>12</v>
      </c>
      <c r="O104">
        <v>0</v>
      </c>
      <c r="P104" t="s">
        <v>13</v>
      </c>
      <c r="Q104">
        <v>462.3</v>
      </c>
      <c r="R104" t="s">
        <v>13</v>
      </c>
      <c r="S104">
        <v>60</v>
      </c>
      <c r="T104" t="s">
        <v>13</v>
      </c>
      <c r="U104" t="s">
        <v>14</v>
      </c>
      <c r="V104">
        <v>43</v>
      </c>
      <c r="W104">
        <v>18</v>
      </c>
      <c r="X104">
        <v>17</v>
      </c>
      <c r="Y104" t="s">
        <v>15</v>
      </c>
      <c r="Z104">
        <v>73</v>
      </c>
      <c r="AA104">
        <v>45</v>
      </c>
      <c r="AB104">
        <v>5</v>
      </c>
      <c r="AC104">
        <v>1200269</v>
      </c>
      <c r="AD104">
        <v>229.32</v>
      </c>
      <c r="AE104" t="s">
        <v>16</v>
      </c>
      <c r="AF104">
        <v>142.49</v>
      </c>
      <c r="AG104" t="s">
        <v>17</v>
      </c>
      <c r="AH104" t="s">
        <v>208</v>
      </c>
      <c r="AI104" t="s">
        <v>670</v>
      </c>
    </row>
    <row r="105" spans="2:35" x14ac:dyDescent="0.25">
      <c r="B105" s="2" t="s">
        <v>209</v>
      </c>
      <c r="C105" t="s">
        <v>5</v>
      </c>
      <c r="D105">
        <v>16</v>
      </c>
      <c r="E105" t="s">
        <v>20</v>
      </c>
      <c r="F105" t="s">
        <v>7</v>
      </c>
      <c r="G105" t="s">
        <v>8</v>
      </c>
      <c r="H105" t="s">
        <v>9</v>
      </c>
      <c r="I105" t="s">
        <v>10</v>
      </c>
      <c r="J105" t="s">
        <v>210</v>
      </c>
      <c r="K105">
        <v>189731</v>
      </c>
      <c r="L105">
        <v>1</v>
      </c>
      <c r="M105" t="s">
        <v>12</v>
      </c>
      <c r="N105" t="s">
        <v>53</v>
      </c>
      <c r="O105">
        <v>0</v>
      </c>
      <c r="P105" t="s">
        <v>13</v>
      </c>
      <c r="Q105">
        <v>94</v>
      </c>
      <c r="R105" t="s">
        <v>13</v>
      </c>
      <c r="S105">
        <v>30</v>
      </c>
      <c r="T105" t="s">
        <v>13</v>
      </c>
      <c r="U105" t="s">
        <v>14</v>
      </c>
      <c r="V105">
        <v>44</v>
      </c>
      <c r="W105">
        <v>48</v>
      </c>
      <c r="X105">
        <v>13.7</v>
      </c>
      <c r="Y105" t="s">
        <v>15</v>
      </c>
      <c r="Z105">
        <v>68</v>
      </c>
      <c r="AA105">
        <v>48</v>
      </c>
      <c r="AB105">
        <v>15.5</v>
      </c>
      <c r="AC105">
        <v>1244909</v>
      </c>
      <c r="AD105">
        <v>334.37</v>
      </c>
      <c r="AE105" t="s">
        <v>16</v>
      </c>
      <c r="AF105">
        <v>207.76</v>
      </c>
      <c r="AG105" t="s">
        <v>17</v>
      </c>
      <c r="AH105" t="s">
        <v>211</v>
      </c>
      <c r="AI105" t="s">
        <v>701</v>
      </c>
    </row>
    <row r="106" spans="2:35" x14ac:dyDescent="0.25">
      <c r="B106" s="2" t="s">
        <v>209</v>
      </c>
      <c r="C106" t="s">
        <v>5</v>
      </c>
      <c r="D106">
        <v>16</v>
      </c>
      <c r="E106" t="s">
        <v>20</v>
      </c>
      <c r="F106" t="s">
        <v>21</v>
      </c>
      <c r="G106" t="s">
        <v>8</v>
      </c>
      <c r="H106" t="s">
        <v>9</v>
      </c>
      <c r="I106" t="s">
        <v>10</v>
      </c>
      <c r="J106">
        <f>- -13416</f>
        <v>13416</v>
      </c>
      <c r="K106">
        <v>189731</v>
      </c>
      <c r="L106">
        <v>1</v>
      </c>
      <c r="M106" t="s">
        <v>12</v>
      </c>
      <c r="N106" t="s">
        <v>53</v>
      </c>
      <c r="O106">
        <v>0</v>
      </c>
      <c r="P106" t="s">
        <v>13</v>
      </c>
      <c r="Q106">
        <v>104.3</v>
      </c>
      <c r="R106" t="s">
        <v>13</v>
      </c>
      <c r="S106">
        <v>18</v>
      </c>
      <c r="T106" t="s">
        <v>13</v>
      </c>
      <c r="U106" t="s">
        <v>14</v>
      </c>
      <c r="V106">
        <v>44</v>
      </c>
      <c r="W106">
        <v>52</v>
      </c>
      <c r="X106">
        <v>43.8</v>
      </c>
      <c r="Y106" t="s">
        <v>15</v>
      </c>
      <c r="Z106">
        <v>68</v>
      </c>
      <c r="AA106">
        <v>52</v>
      </c>
      <c r="AB106">
        <v>57.6</v>
      </c>
      <c r="AC106" t="s">
        <v>11</v>
      </c>
      <c r="AD106">
        <v>337.44</v>
      </c>
      <c r="AE106" t="s">
        <v>16</v>
      </c>
      <c r="AF106">
        <v>209.68</v>
      </c>
      <c r="AG106" t="s">
        <v>17</v>
      </c>
      <c r="AH106" t="s">
        <v>203</v>
      </c>
      <c r="AI106" t="s">
        <v>701</v>
      </c>
    </row>
    <row r="107" spans="2:35" x14ac:dyDescent="0.25">
      <c r="B107" s="2" t="s">
        <v>212</v>
      </c>
      <c r="C107" t="s">
        <v>5</v>
      </c>
      <c r="D107">
        <v>16</v>
      </c>
      <c r="E107" t="s">
        <v>181</v>
      </c>
      <c r="F107" t="s">
        <v>21</v>
      </c>
      <c r="G107" t="s">
        <v>213</v>
      </c>
      <c r="H107" t="s">
        <v>23</v>
      </c>
      <c r="I107" t="s">
        <v>10</v>
      </c>
      <c r="J107">
        <f>- -68459</f>
        <v>68459</v>
      </c>
      <c r="K107">
        <v>167948</v>
      </c>
      <c r="L107">
        <v>8.8000000000000007</v>
      </c>
      <c r="M107" t="s">
        <v>12</v>
      </c>
      <c r="O107">
        <v>0</v>
      </c>
      <c r="P107" t="s">
        <v>13</v>
      </c>
      <c r="Q107">
        <v>558.9</v>
      </c>
      <c r="R107" t="s">
        <v>13</v>
      </c>
      <c r="S107">
        <v>54.9</v>
      </c>
      <c r="T107" t="s">
        <v>13</v>
      </c>
      <c r="U107" t="s">
        <v>14</v>
      </c>
      <c r="V107">
        <v>43</v>
      </c>
      <c r="W107">
        <v>6</v>
      </c>
      <c r="X107">
        <v>6.26</v>
      </c>
      <c r="Y107" t="s">
        <v>15</v>
      </c>
      <c r="Z107">
        <v>74</v>
      </c>
      <c r="AA107">
        <v>22</v>
      </c>
      <c r="AB107">
        <v>13.49</v>
      </c>
      <c r="AC107" t="s">
        <v>11</v>
      </c>
      <c r="AD107">
        <v>268.19</v>
      </c>
      <c r="AE107" t="s">
        <v>16</v>
      </c>
      <c r="AF107">
        <v>166.65</v>
      </c>
      <c r="AG107" t="s">
        <v>17</v>
      </c>
      <c r="AH107" t="s">
        <v>214</v>
      </c>
      <c r="AI107" t="s">
        <v>703</v>
      </c>
    </row>
    <row r="108" spans="2:35" x14ac:dyDescent="0.25">
      <c r="B108" s="2" t="s">
        <v>215</v>
      </c>
      <c r="C108" t="s">
        <v>5</v>
      </c>
      <c r="D108">
        <v>16</v>
      </c>
      <c r="E108" t="s">
        <v>6</v>
      </c>
      <c r="F108" t="s">
        <v>7</v>
      </c>
      <c r="G108" t="s">
        <v>100</v>
      </c>
      <c r="H108" t="s">
        <v>101</v>
      </c>
      <c r="I108" t="s">
        <v>10</v>
      </c>
      <c r="J108">
        <f>- -29843</f>
        <v>29843</v>
      </c>
      <c r="K108">
        <v>10132</v>
      </c>
      <c r="L108">
        <v>40</v>
      </c>
      <c r="M108" t="s">
        <v>12</v>
      </c>
      <c r="O108">
        <v>839</v>
      </c>
      <c r="P108" t="s">
        <v>13</v>
      </c>
      <c r="Q108">
        <v>1262.2</v>
      </c>
      <c r="R108" t="s">
        <v>13</v>
      </c>
      <c r="S108">
        <v>39.200000000000003</v>
      </c>
      <c r="T108" t="s">
        <v>13</v>
      </c>
      <c r="U108" t="s">
        <v>14</v>
      </c>
      <c r="V108">
        <v>44</v>
      </c>
      <c r="W108">
        <v>31</v>
      </c>
      <c r="X108">
        <v>33.19</v>
      </c>
      <c r="Y108" t="s">
        <v>15</v>
      </c>
      <c r="Z108">
        <v>72</v>
      </c>
      <c r="AA108">
        <v>48</v>
      </c>
      <c r="AB108">
        <v>55.44</v>
      </c>
      <c r="AC108" t="s">
        <v>11</v>
      </c>
      <c r="AD108">
        <v>270.64999999999998</v>
      </c>
      <c r="AE108" t="s">
        <v>16</v>
      </c>
      <c r="AF108">
        <v>168.17</v>
      </c>
      <c r="AG108" t="s">
        <v>17</v>
      </c>
      <c r="AH108" t="s">
        <v>102</v>
      </c>
      <c r="AI108" t="s">
        <v>677</v>
      </c>
    </row>
    <row r="109" spans="2:35" x14ac:dyDescent="0.25">
      <c r="B109" s="2" t="s">
        <v>216</v>
      </c>
      <c r="C109" t="s">
        <v>5</v>
      </c>
      <c r="D109">
        <v>17</v>
      </c>
      <c r="E109" t="s">
        <v>6</v>
      </c>
      <c r="F109" t="s">
        <v>656</v>
      </c>
      <c r="G109" t="s">
        <v>217</v>
      </c>
      <c r="H109" t="s">
        <v>9</v>
      </c>
      <c r="I109" t="s">
        <v>10</v>
      </c>
      <c r="J109">
        <f>- -67174</f>
        <v>67174</v>
      </c>
      <c r="K109">
        <v>84088</v>
      </c>
      <c r="L109">
        <v>1000</v>
      </c>
      <c r="M109" t="s">
        <v>12</v>
      </c>
      <c r="N109" t="s">
        <v>53</v>
      </c>
      <c r="O109">
        <v>479</v>
      </c>
      <c r="P109" t="s">
        <v>13</v>
      </c>
      <c r="Q109">
        <v>595</v>
      </c>
      <c r="R109" t="s">
        <v>13</v>
      </c>
      <c r="S109">
        <v>465.5</v>
      </c>
      <c r="T109" t="s">
        <v>13</v>
      </c>
      <c r="U109" t="s">
        <v>14</v>
      </c>
      <c r="V109">
        <v>43</v>
      </c>
      <c r="W109">
        <v>55</v>
      </c>
      <c r="X109">
        <v>29</v>
      </c>
      <c r="Y109" t="s">
        <v>15</v>
      </c>
      <c r="Z109">
        <v>70</v>
      </c>
      <c r="AA109">
        <v>29</v>
      </c>
      <c r="AB109">
        <v>27</v>
      </c>
      <c r="AC109">
        <v>1024383</v>
      </c>
      <c r="AD109">
        <v>182.92</v>
      </c>
      <c r="AE109" t="s">
        <v>16</v>
      </c>
      <c r="AF109">
        <v>113.66</v>
      </c>
      <c r="AG109" t="s">
        <v>17</v>
      </c>
      <c r="AH109" t="s">
        <v>218</v>
      </c>
      <c r="AI109" t="s">
        <v>704</v>
      </c>
    </row>
    <row r="110" spans="2:35" x14ac:dyDescent="0.25">
      <c r="B110" s="2" t="s">
        <v>219</v>
      </c>
      <c r="C110" t="s">
        <v>5</v>
      </c>
      <c r="D110">
        <v>17</v>
      </c>
      <c r="E110" t="s">
        <v>6</v>
      </c>
      <c r="F110" t="s">
        <v>7</v>
      </c>
      <c r="G110" t="s">
        <v>705</v>
      </c>
      <c r="H110" t="s">
        <v>41</v>
      </c>
      <c r="I110" t="s">
        <v>10</v>
      </c>
      <c r="J110">
        <f>- -68160</f>
        <v>68160</v>
      </c>
      <c r="K110">
        <v>3978</v>
      </c>
      <c r="L110">
        <v>1000</v>
      </c>
      <c r="M110" t="s">
        <v>12</v>
      </c>
      <c r="N110" t="s">
        <v>53</v>
      </c>
      <c r="O110">
        <v>228</v>
      </c>
      <c r="P110" t="s">
        <v>13</v>
      </c>
      <c r="Q110">
        <v>298</v>
      </c>
      <c r="R110" t="s">
        <v>13</v>
      </c>
      <c r="S110">
        <v>179.5</v>
      </c>
      <c r="T110" t="s">
        <v>13</v>
      </c>
      <c r="U110" t="s">
        <v>14</v>
      </c>
      <c r="V110">
        <v>41</v>
      </c>
      <c r="W110">
        <v>29</v>
      </c>
      <c r="X110">
        <v>41.7</v>
      </c>
      <c r="Y110" t="s">
        <v>15</v>
      </c>
      <c r="Z110">
        <v>71</v>
      </c>
      <c r="AA110">
        <v>47</v>
      </c>
      <c r="AB110">
        <v>4.7</v>
      </c>
      <c r="AC110">
        <v>1022425</v>
      </c>
      <c r="AD110">
        <v>107.34</v>
      </c>
      <c r="AE110" t="s">
        <v>16</v>
      </c>
      <c r="AF110">
        <v>66.7</v>
      </c>
      <c r="AG110" t="s">
        <v>17</v>
      </c>
      <c r="AH110" t="s">
        <v>220</v>
      </c>
      <c r="AI110" t="s">
        <v>706</v>
      </c>
    </row>
    <row r="111" spans="2:35" x14ac:dyDescent="0.25">
      <c r="B111" s="2" t="s">
        <v>221</v>
      </c>
      <c r="C111" t="s">
        <v>5</v>
      </c>
      <c r="D111">
        <v>17</v>
      </c>
      <c r="E111" t="s">
        <v>20</v>
      </c>
      <c r="F111" t="s">
        <v>21</v>
      </c>
      <c r="G111" t="s">
        <v>222</v>
      </c>
      <c r="H111" t="s">
        <v>31</v>
      </c>
      <c r="I111" t="s">
        <v>10</v>
      </c>
      <c r="J111" t="s">
        <v>223</v>
      </c>
      <c r="K111">
        <v>74513</v>
      </c>
      <c r="L111">
        <v>1</v>
      </c>
      <c r="M111" t="s">
        <v>12</v>
      </c>
      <c r="N111" t="s">
        <v>53</v>
      </c>
      <c r="O111">
        <v>0</v>
      </c>
      <c r="P111" t="s">
        <v>13</v>
      </c>
      <c r="Q111">
        <v>247.1</v>
      </c>
      <c r="R111" t="s">
        <v>13</v>
      </c>
      <c r="S111">
        <v>33.700000000000003</v>
      </c>
      <c r="T111" t="s">
        <v>13</v>
      </c>
      <c r="U111" t="s">
        <v>14</v>
      </c>
      <c r="V111">
        <v>40</v>
      </c>
      <c r="W111">
        <v>47</v>
      </c>
      <c r="X111">
        <v>8.3000000000000007</v>
      </c>
      <c r="Y111" t="s">
        <v>15</v>
      </c>
      <c r="Z111">
        <v>74</v>
      </c>
      <c r="AA111">
        <v>30</v>
      </c>
      <c r="AB111">
        <v>39.5</v>
      </c>
      <c r="AC111" t="s">
        <v>11</v>
      </c>
      <c r="AD111">
        <v>324.33999999999997</v>
      </c>
      <c r="AE111" t="s">
        <v>16</v>
      </c>
      <c r="AF111">
        <v>201.53</v>
      </c>
      <c r="AG111" t="s">
        <v>17</v>
      </c>
      <c r="AH111" t="s">
        <v>224</v>
      </c>
      <c r="AI111" t="s">
        <v>707</v>
      </c>
    </row>
    <row r="112" spans="2:35" x14ac:dyDescent="0.25">
      <c r="B112" s="2" t="s">
        <v>221</v>
      </c>
      <c r="C112" t="s">
        <v>5</v>
      </c>
      <c r="D112">
        <v>17</v>
      </c>
      <c r="E112" t="s">
        <v>20</v>
      </c>
      <c r="F112" t="s">
        <v>7</v>
      </c>
      <c r="G112" t="s">
        <v>222</v>
      </c>
      <c r="H112" t="s">
        <v>31</v>
      </c>
      <c r="I112" t="s">
        <v>10</v>
      </c>
      <c r="J112">
        <f>- -63470</f>
        <v>63470</v>
      </c>
      <c r="K112">
        <v>74513</v>
      </c>
      <c r="L112">
        <v>5.0000000000000001E-3</v>
      </c>
      <c r="M112" t="s">
        <v>12</v>
      </c>
      <c r="N112" t="s">
        <v>53</v>
      </c>
      <c r="O112">
        <v>0</v>
      </c>
      <c r="P112" t="s">
        <v>13</v>
      </c>
      <c r="Q112">
        <v>232</v>
      </c>
      <c r="R112" t="s">
        <v>13</v>
      </c>
      <c r="S112">
        <v>43</v>
      </c>
      <c r="T112" t="s">
        <v>13</v>
      </c>
      <c r="U112" t="s">
        <v>14</v>
      </c>
      <c r="V112">
        <v>40</v>
      </c>
      <c r="W112">
        <v>47</v>
      </c>
      <c r="X112">
        <v>18</v>
      </c>
      <c r="Y112" t="s">
        <v>15</v>
      </c>
      <c r="Z112">
        <v>74</v>
      </c>
      <c r="AA112">
        <v>15</v>
      </c>
      <c r="AB112">
        <v>18</v>
      </c>
      <c r="AC112">
        <v>1045804</v>
      </c>
      <c r="AD112">
        <v>306.47000000000003</v>
      </c>
      <c r="AE112" t="s">
        <v>16</v>
      </c>
      <c r="AF112">
        <v>190.43</v>
      </c>
      <c r="AG112" t="s">
        <v>17</v>
      </c>
      <c r="AH112" t="s">
        <v>225</v>
      </c>
      <c r="AI112" t="s">
        <v>707</v>
      </c>
    </row>
    <row r="113" spans="2:35" x14ac:dyDescent="0.25">
      <c r="B113" s="2" t="s">
        <v>226</v>
      </c>
      <c r="C113" t="s">
        <v>5</v>
      </c>
      <c r="D113">
        <v>17</v>
      </c>
      <c r="E113" t="s">
        <v>20</v>
      </c>
      <c r="F113" t="s">
        <v>74</v>
      </c>
      <c r="G113" t="s">
        <v>654</v>
      </c>
      <c r="H113" t="s">
        <v>23</v>
      </c>
      <c r="I113" t="s">
        <v>10</v>
      </c>
      <c r="J113">
        <f>- -54825</f>
        <v>54825</v>
      </c>
      <c r="K113">
        <v>74502</v>
      </c>
      <c r="L113">
        <v>0.13500000000000001</v>
      </c>
      <c r="M113" t="s">
        <v>12</v>
      </c>
      <c r="N113" t="s">
        <v>53</v>
      </c>
      <c r="O113">
        <v>0</v>
      </c>
      <c r="P113" t="s">
        <v>13</v>
      </c>
      <c r="Q113">
        <v>275</v>
      </c>
      <c r="R113" t="s">
        <v>13</v>
      </c>
      <c r="S113">
        <v>265.60000000000002</v>
      </c>
      <c r="T113" t="s">
        <v>13</v>
      </c>
      <c r="U113" t="s">
        <v>14</v>
      </c>
      <c r="V113">
        <v>40</v>
      </c>
      <c r="W113">
        <v>45</v>
      </c>
      <c r="X113">
        <v>8.1</v>
      </c>
      <c r="Y113" t="s">
        <v>15</v>
      </c>
      <c r="Z113">
        <v>73</v>
      </c>
      <c r="AA113">
        <v>58</v>
      </c>
      <c r="AB113">
        <v>2.1</v>
      </c>
      <c r="AC113">
        <v>1268297</v>
      </c>
      <c r="AD113">
        <v>289.69</v>
      </c>
      <c r="AE113" t="s">
        <v>16</v>
      </c>
      <c r="AF113">
        <v>180</v>
      </c>
      <c r="AG113" t="s">
        <v>17</v>
      </c>
      <c r="AH113" t="s">
        <v>25</v>
      </c>
      <c r="AI113" t="s">
        <v>707</v>
      </c>
    </row>
    <row r="114" spans="2:35" x14ac:dyDescent="0.25">
      <c r="B114" s="2" t="s">
        <v>227</v>
      </c>
      <c r="C114" t="s">
        <v>5</v>
      </c>
      <c r="D114">
        <v>17</v>
      </c>
      <c r="E114" t="s">
        <v>20</v>
      </c>
      <c r="F114" t="s">
        <v>7</v>
      </c>
      <c r="G114" t="s">
        <v>228</v>
      </c>
      <c r="H114" t="s">
        <v>23</v>
      </c>
      <c r="I114" t="s">
        <v>10</v>
      </c>
      <c r="J114">
        <f>- -54509</f>
        <v>54509</v>
      </c>
      <c r="K114">
        <v>74018</v>
      </c>
      <c r="L114">
        <v>15</v>
      </c>
      <c r="M114" t="s">
        <v>12</v>
      </c>
      <c r="O114">
        <v>0</v>
      </c>
      <c r="P114" t="s">
        <v>13</v>
      </c>
      <c r="Q114">
        <v>397</v>
      </c>
      <c r="R114" t="s">
        <v>13</v>
      </c>
      <c r="S114">
        <v>10</v>
      </c>
      <c r="T114" t="s">
        <v>13</v>
      </c>
      <c r="U114" t="s">
        <v>14</v>
      </c>
      <c r="V114">
        <v>42</v>
      </c>
      <c r="W114">
        <v>32</v>
      </c>
      <c r="X114">
        <v>42.2</v>
      </c>
      <c r="Y114" t="s">
        <v>15</v>
      </c>
      <c r="Z114">
        <v>73</v>
      </c>
      <c r="AA114">
        <v>58</v>
      </c>
      <c r="AB114">
        <v>47.4</v>
      </c>
      <c r="AC114" t="s">
        <v>11</v>
      </c>
      <c r="AD114">
        <v>225.54</v>
      </c>
      <c r="AE114" t="s">
        <v>16</v>
      </c>
      <c r="AF114">
        <v>140.13999999999999</v>
      </c>
      <c r="AG114" t="s">
        <v>17</v>
      </c>
      <c r="AH114" t="s">
        <v>229</v>
      </c>
      <c r="AI114" t="s">
        <v>708</v>
      </c>
    </row>
    <row r="115" spans="2:35" x14ac:dyDescent="0.25">
      <c r="B115" s="2" t="s">
        <v>230</v>
      </c>
      <c r="C115" t="s">
        <v>5</v>
      </c>
      <c r="D115">
        <v>17</v>
      </c>
      <c r="E115" t="s">
        <v>6</v>
      </c>
      <c r="F115" t="s">
        <v>7</v>
      </c>
      <c r="G115" t="s">
        <v>709</v>
      </c>
      <c r="H115" t="s">
        <v>28</v>
      </c>
      <c r="I115" t="s">
        <v>10</v>
      </c>
      <c r="J115">
        <f>- -35377</f>
        <v>35377</v>
      </c>
      <c r="K115">
        <v>50063</v>
      </c>
      <c r="L115">
        <v>1000</v>
      </c>
      <c r="M115" t="s">
        <v>12</v>
      </c>
      <c r="N115" t="s">
        <v>53</v>
      </c>
      <c r="O115">
        <v>228</v>
      </c>
      <c r="P115" t="s">
        <v>13</v>
      </c>
      <c r="Q115">
        <v>298</v>
      </c>
      <c r="R115" t="s">
        <v>13</v>
      </c>
      <c r="S115">
        <v>179.5</v>
      </c>
      <c r="T115" t="s">
        <v>13</v>
      </c>
      <c r="U115" t="s">
        <v>14</v>
      </c>
      <c r="V115">
        <v>41</v>
      </c>
      <c r="W115">
        <v>29</v>
      </c>
      <c r="X115">
        <v>41.7</v>
      </c>
      <c r="Y115" t="s">
        <v>15</v>
      </c>
      <c r="Z115">
        <v>71</v>
      </c>
      <c r="AA115">
        <v>47</v>
      </c>
      <c r="AB115">
        <v>4.7</v>
      </c>
      <c r="AC115">
        <v>1022425</v>
      </c>
      <c r="AD115">
        <v>107.34</v>
      </c>
      <c r="AE115" t="s">
        <v>16</v>
      </c>
      <c r="AF115">
        <v>66.7</v>
      </c>
      <c r="AG115" t="s">
        <v>17</v>
      </c>
      <c r="AH115" t="s">
        <v>220</v>
      </c>
      <c r="AI115" t="s">
        <v>710</v>
      </c>
    </row>
    <row r="116" spans="2:35" x14ac:dyDescent="0.25">
      <c r="B116" s="2" t="s">
        <v>231</v>
      </c>
      <c r="C116" t="s">
        <v>5</v>
      </c>
      <c r="D116">
        <v>17</v>
      </c>
      <c r="E116" t="s">
        <v>181</v>
      </c>
      <c r="F116" t="s">
        <v>74</v>
      </c>
      <c r="G116" t="s">
        <v>27</v>
      </c>
      <c r="H116" t="s">
        <v>28</v>
      </c>
      <c r="I116" t="s">
        <v>10</v>
      </c>
      <c r="J116">
        <f>- -63017</f>
        <v>63017</v>
      </c>
      <c r="K116">
        <v>70184</v>
      </c>
      <c r="L116">
        <v>15</v>
      </c>
      <c r="M116" t="s">
        <v>12</v>
      </c>
      <c r="N116" t="s">
        <v>53</v>
      </c>
      <c r="O116">
        <v>0</v>
      </c>
      <c r="P116" t="s">
        <v>13</v>
      </c>
      <c r="Q116">
        <v>298</v>
      </c>
      <c r="R116" t="s">
        <v>13</v>
      </c>
      <c r="S116">
        <v>179.5</v>
      </c>
      <c r="T116" t="s">
        <v>13</v>
      </c>
      <c r="U116" t="s">
        <v>14</v>
      </c>
      <c r="V116">
        <v>41</v>
      </c>
      <c r="W116">
        <v>29</v>
      </c>
      <c r="X116">
        <v>41.7</v>
      </c>
      <c r="Y116" t="s">
        <v>15</v>
      </c>
      <c r="Z116">
        <v>71</v>
      </c>
      <c r="AA116">
        <v>47</v>
      </c>
      <c r="AB116">
        <v>4.7</v>
      </c>
      <c r="AC116">
        <v>1022425</v>
      </c>
      <c r="AD116">
        <v>107.34</v>
      </c>
      <c r="AE116" t="s">
        <v>16</v>
      </c>
      <c r="AF116">
        <v>66.7</v>
      </c>
      <c r="AG116" t="s">
        <v>17</v>
      </c>
      <c r="AH116" t="s">
        <v>220</v>
      </c>
      <c r="AI116" t="s">
        <v>711</v>
      </c>
    </row>
    <row r="117" spans="2:35" x14ac:dyDescent="0.25">
      <c r="B117" s="2" t="s">
        <v>230</v>
      </c>
      <c r="C117" t="s">
        <v>5</v>
      </c>
      <c r="D117">
        <v>17</v>
      </c>
      <c r="E117" t="s">
        <v>6</v>
      </c>
      <c r="F117" t="s">
        <v>7</v>
      </c>
      <c r="G117" t="s">
        <v>232</v>
      </c>
      <c r="H117" t="s">
        <v>28</v>
      </c>
      <c r="I117" t="s">
        <v>10</v>
      </c>
      <c r="J117">
        <f>- -68158</f>
        <v>68158</v>
      </c>
      <c r="K117">
        <v>50063</v>
      </c>
      <c r="L117">
        <v>1000</v>
      </c>
      <c r="M117" t="s">
        <v>12</v>
      </c>
      <c r="N117" t="s">
        <v>53</v>
      </c>
      <c r="O117">
        <v>228</v>
      </c>
      <c r="P117" t="s">
        <v>13</v>
      </c>
      <c r="Q117">
        <v>298</v>
      </c>
      <c r="R117" t="s">
        <v>13</v>
      </c>
      <c r="S117">
        <v>179.5</v>
      </c>
      <c r="T117" t="s">
        <v>13</v>
      </c>
      <c r="U117" t="s">
        <v>14</v>
      </c>
      <c r="V117">
        <v>41</v>
      </c>
      <c r="W117">
        <v>29</v>
      </c>
      <c r="X117">
        <v>41.7</v>
      </c>
      <c r="Y117" t="s">
        <v>15</v>
      </c>
      <c r="Z117">
        <v>71</v>
      </c>
      <c r="AA117">
        <v>47</v>
      </c>
      <c r="AB117">
        <v>4.7</v>
      </c>
      <c r="AC117">
        <v>1022425</v>
      </c>
      <c r="AD117">
        <v>107.34</v>
      </c>
      <c r="AE117" t="s">
        <v>16</v>
      </c>
      <c r="AF117">
        <v>66.7</v>
      </c>
      <c r="AG117" t="s">
        <v>17</v>
      </c>
      <c r="AH117" t="s">
        <v>220</v>
      </c>
      <c r="AI117" t="s">
        <v>710</v>
      </c>
    </row>
    <row r="118" spans="2:35" x14ac:dyDescent="0.25">
      <c r="B118" s="2" t="s">
        <v>231</v>
      </c>
      <c r="C118" t="s">
        <v>5</v>
      </c>
      <c r="D118">
        <v>17</v>
      </c>
      <c r="E118" t="s">
        <v>181</v>
      </c>
      <c r="F118" t="s">
        <v>7</v>
      </c>
      <c r="G118" t="s">
        <v>27</v>
      </c>
      <c r="H118" t="s">
        <v>28</v>
      </c>
      <c r="I118" t="s">
        <v>10</v>
      </c>
      <c r="J118">
        <f>- -68020</f>
        <v>68020</v>
      </c>
      <c r="K118">
        <v>70184</v>
      </c>
      <c r="L118">
        <v>1000</v>
      </c>
      <c r="M118" t="s">
        <v>12</v>
      </c>
      <c r="N118" t="s">
        <v>53</v>
      </c>
      <c r="O118">
        <v>228</v>
      </c>
      <c r="P118" t="s">
        <v>13</v>
      </c>
      <c r="Q118">
        <v>298</v>
      </c>
      <c r="R118" t="s">
        <v>13</v>
      </c>
      <c r="S118">
        <v>179.5</v>
      </c>
      <c r="T118" t="s">
        <v>13</v>
      </c>
      <c r="U118" t="s">
        <v>14</v>
      </c>
      <c r="V118">
        <v>41</v>
      </c>
      <c r="W118">
        <v>29</v>
      </c>
      <c r="X118">
        <v>41.7</v>
      </c>
      <c r="Y118" t="s">
        <v>15</v>
      </c>
      <c r="Z118">
        <v>71</v>
      </c>
      <c r="AA118">
        <v>47</v>
      </c>
      <c r="AB118">
        <v>4.7</v>
      </c>
      <c r="AC118">
        <v>1022425</v>
      </c>
      <c r="AD118">
        <v>107.34</v>
      </c>
      <c r="AE118" t="s">
        <v>16</v>
      </c>
      <c r="AF118">
        <v>66.7</v>
      </c>
      <c r="AG118" t="s">
        <v>17</v>
      </c>
      <c r="AH118" t="s">
        <v>220</v>
      </c>
      <c r="AI118" t="s">
        <v>711</v>
      </c>
    </row>
    <row r="119" spans="2:35" x14ac:dyDescent="0.25">
      <c r="B119" s="2" t="s">
        <v>11</v>
      </c>
      <c r="C119" t="s">
        <v>5</v>
      </c>
      <c r="D119">
        <v>17</v>
      </c>
      <c r="E119" t="s">
        <v>6</v>
      </c>
      <c r="F119" t="s">
        <v>7</v>
      </c>
      <c r="G119" t="s">
        <v>175</v>
      </c>
      <c r="H119" t="s">
        <v>110</v>
      </c>
      <c r="I119" t="s">
        <v>111</v>
      </c>
      <c r="J119" t="e">
        <f>- -CANADA281</f>
        <v>#NAME?</v>
      </c>
      <c r="K119">
        <v>704013</v>
      </c>
      <c r="L119">
        <v>2.0699999999999998</v>
      </c>
      <c r="M119" t="s">
        <v>12</v>
      </c>
      <c r="N119" t="s">
        <v>53</v>
      </c>
      <c r="O119">
        <v>0</v>
      </c>
      <c r="P119" t="s">
        <v>13</v>
      </c>
      <c r="Q119">
        <v>246</v>
      </c>
      <c r="R119" t="s">
        <v>13</v>
      </c>
      <c r="S119">
        <v>0</v>
      </c>
      <c r="T119" t="s">
        <v>13</v>
      </c>
      <c r="U119" t="s">
        <v>14</v>
      </c>
      <c r="V119">
        <v>45</v>
      </c>
      <c r="W119">
        <v>30</v>
      </c>
      <c r="X119">
        <v>18.12</v>
      </c>
      <c r="Y119" t="s">
        <v>15</v>
      </c>
      <c r="Z119">
        <v>73</v>
      </c>
      <c r="AA119">
        <v>35</v>
      </c>
      <c r="AB119">
        <v>27.58</v>
      </c>
      <c r="AC119" t="s">
        <v>11</v>
      </c>
      <c r="AD119">
        <v>395.49</v>
      </c>
      <c r="AE119" t="s">
        <v>16</v>
      </c>
      <c r="AF119">
        <v>245.75</v>
      </c>
      <c r="AG119" t="s">
        <v>17</v>
      </c>
      <c r="AH119" t="s">
        <v>176</v>
      </c>
      <c r="AI119" t="s">
        <v>11</v>
      </c>
    </row>
    <row r="120" spans="2:35" x14ac:dyDescent="0.25">
      <c r="B120" s="2" t="s">
        <v>233</v>
      </c>
      <c r="C120" t="s">
        <v>5</v>
      </c>
      <c r="D120">
        <v>18</v>
      </c>
      <c r="E120" t="s">
        <v>20</v>
      </c>
      <c r="F120" t="s">
        <v>21</v>
      </c>
      <c r="G120" t="s">
        <v>234</v>
      </c>
      <c r="H120" t="s">
        <v>9</v>
      </c>
      <c r="I120" t="s">
        <v>10</v>
      </c>
      <c r="J120">
        <f>- -24376</f>
        <v>24376</v>
      </c>
      <c r="K120">
        <v>33959</v>
      </c>
      <c r="L120">
        <v>1</v>
      </c>
      <c r="M120" t="s">
        <v>12</v>
      </c>
      <c r="N120" t="s">
        <v>53</v>
      </c>
      <c r="O120">
        <v>0</v>
      </c>
      <c r="P120" t="s">
        <v>13</v>
      </c>
      <c r="Q120">
        <v>123</v>
      </c>
      <c r="R120" t="s">
        <v>13</v>
      </c>
      <c r="S120">
        <v>34</v>
      </c>
      <c r="T120" t="s">
        <v>13</v>
      </c>
      <c r="U120" t="s">
        <v>14</v>
      </c>
      <c r="V120">
        <v>44</v>
      </c>
      <c r="W120">
        <v>52</v>
      </c>
      <c r="X120">
        <v>44</v>
      </c>
      <c r="Y120" t="s">
        <v>15</v>
      </c>
      <c r="Z120">
        <v>68</v>
      </c>
      <c r="AA120">
        <v>52</v>
      </c>
      <c r="AB120">
        <v>55.7</v>
      </c>
      <c r="AC120" t="s">
        <v>11</v>
      </c>
      <c r="AD120">
        <v>337.47</v>
      </c>
      <c r="AE120" t="s">
        <v>16</v>
      </c>
      <c r="AF120">
        <v>209.7</v>
      </c>
      <c r="AG120" t="s">
        <v>17</v>
      </c>
      <c r="AH120" t="s">
        <v>235</v>
      </c>
      <c r="AI120" t="s">
        <v>712</v>
      </c>
    </row>
    <row r="121" spans="2:35" x14ac:dyDescent="0.25">
      <c r="B121" s="2" t="s">
        <v>151</v>
      </c>
      <c r="C121" t="s">
        <v>5</v>
      </c>
      <c r="D121">
        <v>18</v>
      </c>
      <c r="E121" t="s">
        <v>6</v>
      </c>
      <c r="F121" t="s">
        <v>21</v>
      </c>
      <c r="G121" t="s">
        <v>236</v>
      </c>
      <c r="H121" t="s">
        <v>41</v>
      </c>
      <c r="I121" t="s">
        <v>10</v>
      </c>
      <c r="J121" t="s">
        <v>237</v>
      </c>
      <c r="K121">
        <v>41436</v>
      </c>
      <c r="L121">
        <v>1000</v>
      </c>
      <c r="M121" t="s">
        <v>12</v>
      </c>
      <c r="N121" t="s">
        <v>53</v>
      </c>
      <c r="O121">
        <v>289.2</v>
      </c>
      <c r="P121" t="s">
        <v>13</v>
      </c>
      <c r="Q121">
        <v>330.6</v>
      </c>
      <c r="R121" t="s">
        <v>13</v>
      </c>
      <c r="S121">
        <v>302</v>
      </c>
      <c r="T121" t="s">
        <v>13</v>
      </c>
      <c r="U121" t="s">
        <v>14</v>
      </c>
      <c r="V121">
        <v>42</v>
      </c>
      <c r="W121">
        <v>18</v>
      </c>
      <c r="X121">
        <v>27.8</v>
      </c>
      <c r="Y121" t="s">
        <v>15</v>
      </c>
      <c r="Z121">
        <v>71</v>
      </c>
      <c r="AA121">
        <v>13</v>
      </c>
      <c r="AB121">
        <v>24.9</v>
      </c>
      <c r="AC121">
        <v>1004623</v>
      </c>
      <c r="AD121">
        <v>7.64</v>
      </c>
      <c r="AE121" t="s">
        <v>16</v>
      </c>
      <c r="AF121">
        <v>4.75</v>
      </c>
      <c r="AG121" t="s">
        <v>17</v>
      </c>
      <c r="AH121" t="s">
        <v>238</v>
      </c>
      <c r="AI121" t="s">
        <v>691</v>
      </c>
    </row>
    <row r="122" spans="2:35" x14ac:dyDescent="0.25">
      <c r="B122" s="2" t="s">
        <v>239</v>
      </c>
      <c r="C122" t="s">
        <v>5</v>
      </c>
      <c r="D122">
        <v>18</v>
      </c>
      <c r="E122" t="s">
        <v>6</v>
      </c>
      <c r="F122" t="s">
        <v>656</v>
      </c>
      <c r="G122" t="s">
        <v>240</v>
      </c>
      <c r="H122" t="s">
        <v>45</v>
      </c>
      <c r="I122" t="s">
        <v>10</v>
      </c>
      <c r="J122">
        <f>- -34357</f>
        <v>34357</v>
      </c>
      <c r="K122">
        <v>69271</v>
      </c>
      <c r="L122">
        <v>1000</v>
      </c>
      <c r="M122" t="s">
        <v>12</v>
      </c>
      <c r="O122">
        <v>328.2</v>
      </c>
      <c r="P122" t="s">
        <v>13</v>
      </c>
      <c r="Q122">
        <v>607.4</v>
      </c>
      <c r="R122" t="s">
        <v>13</v>
      </c>
      <c r="S122">
        <v>145</v>
      </c>
      <c r="T122" t="s">
        <v>13</v>
      </c>
      <c r="U122" t="s">
        <v>14</v>
      </c>
      <c r="V122">
        <v>43</v>
      </c>
      <c r="W122">
        <v>2</v>
      </c>
      <c r="X122">
        <v>0</v>
      </c>
      <c r="Y122" t="s">
        <v>15</v>
      </c>
      <c r="Z122">
        <v>72</v>
      </c>
      <c r="AA122">
        <v>22</v>
      </c>
      <c r="AB122">
        <v>2</v>
      </c>
      <c r="AC122">
        <v>1034694</v>
      </c>
      <c r="AD122">
        <v>117.38</v>
      </c>
      <c r="AE122" t="s">
        <v>16</v>
      </c>
      <c r="AF122">
        <v>72.930000000000007</v>
      </c>
      <c r="AG122" t="s">
        <v>17</v>
      </c>
      <c r="AH122" t="s">
        <v>241</v>
      </c>
      <c r="AI122" t="s">
        <v>692</v>
      </c>
    </row>
    <row r="123" spans="2:35" x14ac:dyDescent="0.25">
      <c r="B123" s="2" t="s">
        <v>242</v>
      </c>
      <c r="C123" t="s">
        <v>5</v>
      </c>
      <c r="D123">
        <v>18</v>
      </c>
      <c r="E123" t="s">
        <v>6</v>
      </c>
      <c r="F123" t="s">
        <v>7</v>
      </c>
      <c r="G123" t="s">
        <v>243</v>
      </c>
      <c r="H123" t="s">
        <v>31</v>
      </c>
      <c r="I123" t="s">
        <v>10</v>
      </c>
      <c r="J123">
        <f>- -35693</f>
        <v>35693</v>
      </c>
      <c r="K123">
        <v>43952</v>
      </c>
      <c r="L123">
        <v>700</v>
      </c>
      <c r="M123" t="s">
        <v>12</v>
      </c>
      <c r="N123" t="s">
        <v>53</v>
      </c>
      <c r="O123">
        <v>477</v>
      </c>
      <c r="P123" t="s">
        <v>13</v>
      </c>
      <c r="Q123">
        <v>487.8</v>
      </c>
      <c r="R123" t="s">
        <v>13</v>
      </c>
      <c r="S123">
        <v>483.5</v>
      </c>
      <c r="T123" t="s">
        <v>13</v>
      </c>
      <c r="U123" t="s">
        <v>14</v>
      </c>
      <c r="V123">
        <v>40</v>
      </c>
      <c r="W123">
        <v>42</v>
      </c>
      <c r="X123">
        <v>46.8</v>
      </c>
      <c r="Y123" t="s">
        <v>15</v>
      </c>
      <c r="Z123">
        <v>74</v>
      </c>
      <c r="AA123">
        <v>0</v>
      </c>
      <c r="AB123">
        <v>47.3</v>
      </c>
      <c r="AC123">
        <v>1263701</v>
      </c>
      <c r="AD123">
        <v>295.45</v>
      </c>
      <c r="AE123" t="s">
        <v>16</v>
      </c>
      <c r="AF123">
        <v>183.59</v>
      </c>
      <c r="AG123" t="s">
        <v>17</v>
      </c>
      <c r="AH123" t="s">
        <v>33</v>
      </c>
      <c r="AI123" t="s">
        <v>713</v>
      </c>
    </row>
    <row r="124" spans="2:35" x14ac:dyDescent="0.25">
      <c r="B124" s="2" t="s">
        <v>244</v>
      </c>
      <c r="C124" t="s">
        <v>5</v>
      </c>
      <c r="D124">
        <v>18</v>
      </c>
      <c r="E124" t="s">
        <v>181</v>
      </c>
      <c r="F124" t="s">
        <v>656</v>
      </c>
      <c r="G124" t="s">
        <v>245</v>
      </c>
      <c r="H124" t="s">
        <v>23</v>
      </c>
      <c r="I124" t="s">
        <v>10</v>
      </c>
      <c r="J124">
        <f>- -69833</f>
        <v>69833</v>
      </c>
      <c r="K124">
        <v>70158</v>
      </c>
      <c r="L124">
        <v>15</v>
      </c>
      <c r="M124" t="s">
        <v>12</v>
      </c>
      <c r="N124" t="s">
        <v>53</v>
      </c>
      <c r="O124">
        <v>0</v>
      </c>
      <c r="P124" t="s">
        <v>13</v>
      </c>
      <c r="Q124">
        <v>152.1</v>
      </c>
      <c r="R124" t="s">
        <v>13</v>
      </c>
      <c r="S124">
        <v>75</v>
      </c>
      <c r="T124" t="s">
        <v>13</v>
      </c>
      <c r="U124" t="s">
        <v>14</v>
      </c>
      <c r="V124">
        <v>40</v>
      </c>
      <c r="W124">
        <v>58</v>
      </c>
      <c r="X124">
        <v>10.8</v>
      </c>
      <c r="Y124" t="s">
        <v>15</v>
      </c>
      <c r="Z124">
        <v>72</v>
      </c>
      <c r="AA124">
        <v>20</v>
      </c>
      <c r="AB124">
        <v>46.6</v>
      </c>
      <c r="AC124">
        <v>1014849</v>
      </c>
      <c r="AD124">
        <v>180.85</v>
      </c>
      <c r="AE124" t="s">
        <v>16</v>
      </c>
      <c r="AF124">
        <v>112.37</v>
      </c>
      <c r="AG124" t="s">
        <v>17</v>
      </c>
      <c r="AH124" t="s">
        <v>246</v>
      </c>
      <c r="AI124" t="s">
        <v>714</v>
      </c>
    </row>
    <row r="125" spans="2:35" x14ac:dyDescent="0.25">
      <c r="B125" s="2" t="s">
        <v>247</v>
      </c>
      <c r="C125" t="s">
        <v>5</v>
      </c>
      <c r="D125">
        <v>18</v>
      </c>
      <c r="E125" t="s">
        <v>20</v>
      </c>
      <c r="F125" t="s">
        <v>74</v>
      </c>
      <c r="G125" t="s">
        <v>248</v>
      </c>
      <c r="H125" t="s">
        <v>249</v>
      </c>
      <c r="I125" t="s">
        <v>10</v>
      </c>
      <c r="J125">
        <f>- -64154</f>
        <v>64154</v>
      </c>
      <c r="K125">
        <v>47929</v>
      </c>
      <c r="L125">
        <v>0.32300000000000001</v>
      </c>
      <c r="M125" t="s">
        <v>12</v>
      </c>
      <c r="N125" t="s">
        <v>53</v>
      </c>
      <c r="O125">
        <v>0</v>
      </c>
      <c r="P125" t="s">
        <v>13</v>
      </c>
      <c r="Q125">
        <v>683</v>
      </c>
      <c r="R125" t="s">
        <v>13</v>
      </c>
      <c r="S125">
        <v>21.3</v>
      </c>
      <c r="T125" t="s">
        <v>13</v>
      </c>
      <c r="U125" t="s">
        <v>14</v>
      </c>
      <c r="V125">
        <v>41</v>
      </c>
      <c r="W125">
        <v>37</v>
      </c>
      <c r="X125">
        <v>55.3</v>
      </c>
      <c r="Y125" t="s">
        <v>15</v>
      </c>
      <c r="Z125">
        <v>75</v>
      </c>
      <c r="AA125">
        <v>25</v>
      </c>
      <c r="AB125">
        <v>31.6</v>
      </c>
      <c r="AC125" t="s">
        <v>11</v>
      </c>
      <c r="AD125">
        <v>355.81</v>
      </c>
      <c r="AE125" t="s">
        <v>16</v>
      </c>
      <c r="AF125">
        <v>221.09</v>
      </c>
      <c r="AG125" t="s">
        <v>17</v>
      </c>
      <c r="AH125" t="s">
        <v>250</v>
      </c>
      <c r="AI125" t="s">
        <v>715</v>
      </c>
    </row>
    <row r="126" spans="2:35" x14ac:dyDescent="0.25">
      <c r="B126" s="2" t="s">
        <v>251</v>
      </c>
      <c r="C126" t="s">
        <v>5</v>
      </c>
      <c r="D126">
        <v>19</v>
      </c>
      <c r="E126" t="s">
        <v>6</v>
      </c>
      <c r="F126" t="s">
        <v>656</v>
      </c>
      <c r="G126" t="s">
        <v>252</v>
      </c>
      <c r="H126" t="s">
        <v>41</v>
      </c>
      <c r="I126" t="s">
        <v>10</v>
      </c>
      <c r="J126">
        <f>- -34871</f>
        <v>34871</v>
      </c>
      <c r="K126">
        <v>30577</v>
      </c>
      <c r="L126">
        <v>970</v>
      </c>
      <c r="M126" t="s">
        <v>12</v>
      </c>
      <c r="O126">
        <v>374</v>
      </c>
      <c r="P126" t="s">
        <v>13</v>
      </c>
      <c r="Q126">
        <v>416.6</v>
      </c>
      <c r="R126" t="s">
        <v>13</v>
      </c>
      <c r="S126">
        <v>370</v>
      </c>
      <c r="T126" t="s">
        <v>13</v>
      </c>
      <c r="U126" t="s">
        <v>14</v>
      </c>
      <c r="V126">
        <v>42</v>
      </c>
      <c r="W126">
        <v>18</v>
      </c>
      <c r="X126">
        <v>37</v>
      </c>
      <c r="Y126" t="s">
        <v>15</v>
      </c>
      <c r="Z126">
        <v>71</v>
      </c>
      <c r="AA126">
        <v>14</v>
      </c>
      <c r="AB126">
        <v>12</v>
      </c>
      <c r="AC126">
        <v>1003433</v>
      </c>
      <c r="AD126">
        <v>7.16</v>
      </c>
      <c r="AE126" t="s">
        <v>16</v>
      </c>
      <c r="AF126">
        <v>4.45</v>
      </c>
      <c r="AG126" t="s">
        <v>17</v>
      </c>
      <c r="AH126" t="s">
        <v>253</v>
      </c>
      <c r="AI126" t="s">
        <v>689</v>
      </c>
    </row>
    <row r="127" spans="2:35" x14ac:dyDescent="0.25">
      <c r="B127" s="2" t="s">
        <v>254</v>
      </c>
      <c r="C127" t="s">
        <v>5</v>
      </c>
      <c r="D127">
        <v>19</v>
      </c>
      <c r="E127" t="s">
        <v>6</v>
      </c>
      <c r="F127" t="s">
        <v>7</v>
      </c>
      <c r="G127" t="s">
        <v>40</v>
      </c>
      <c r="H127" t="s">
        <v>41</v>
      </c>
      <c r="I127" t="s">
        <v>10</v>
      </c>
      <c r="J127">
        <f>- -36106</f>
        <v>36106</v>
      </c>
      <c r="K127">
        <v>72099</v>
      </c>
      <c r="L127">
        <v>700</v>
      </c>
      <c r="M127" t="s">
        <v>12</v>
      </c>
      <c r="O127">
        <v>374</v>
      </c>
      <c r="P127" t="s">
        <v>13</v>
      </c>
      <c r="Q127">
        <v>416.6</v>
      </c>
      <c r="R127" t="s">
        <v>13</v>
      </c>
      <c r="S127">
        <v>370</v>
      </c>
      <c r="T127" t="s">
        <v>13</v>
      </c>
      <c r="U127" t="s">
        <v>14</v>
      </c>
      <c r="V127">
        <v>42</v>
      </c>
      <c r="W127">
        <v>18</v>
      </c>
      <c r="X127">
        <v>37</v>
      </c>
      <c r="Y127" t="s">
        <v>15</v>
      </c>
      <c r="Z127">
        <v>71</v>
      </c>
      <c r="AA127">
        <v>14</v>
      </c>
      <c r="AB127">
        <v>12</v>
      </c>
      <c r="AC127">
        <v>1003433</v>
      </c>
      <c r="AD127">
        <v>7.16</v>
      </c>
      <c r="AE127" t="s">
        <v>16</v>
      </c>
      <c r="AF127">
        <v>4.45</v>
      </c>
      <c r="AG127" t="s">
        <v>17</v>
      </c>
      <c r="AH127" t="s">
        <v>253</v>
      </c>
      <c r="AI127" t="s">
        <v>696</v>
      </c>
    </row>
    <row r="128" spans="2:35" x14ac:dyDescent="0.25">
      <c r="B128" s="2" t="s">
        <v>255</v>
      </c>
      <c r="C128" t="s">
        <v>5</v>
      </c>
      <c r="D128">
        <v>19</v>
      </c>
      <c r="E128" t="s">
        <v>181</v>
      </c>
      <c r="F128" t="s">
        <v>7</v>
      </c>
      <c r="G128" t="s">
        <v>40</v>
      </c>
      <c r="H128" t="s">
        <v>41</v>
      </c>
      <c r="I128" t="s">
        <v>10</v>
      </c>
      <c r="J128">
        <f>- -57888</f>
        <v>57888</v>
      </c>
      <c r="K128">
        <v>64833</v>
      </c>
      <c r="L128">
        <v>700</v>
      </c>
      <c r="M128" t="s">
        <v>12</v>
      </c>
      <c r="O128">
        <v>374</v>
      </c>
      <c r="P128" t="s">
        <v>13</v>
      </c>
      <c r="Q128">
        <v>416.6</v>
      </c>
      <c r="R128" t="s">
        <v>13</v>
      </c>
      <c r="S128">
        <v>370</v>
      </c>
      <c r="T128" t="s">
        <v>13</v>
      </c>
      <c r="U128" t="s">
        <v>14</v>
      </c>
      <c r="V128">
        <v>42</v>
      </c>
      <c r="W128">
        <v>18</v>
      </c>
      <c r="X128">
        <v>37</v>
      </c>
      <c r="Y128" t="s">
        <v>15</v>
      </c>
      <c r="Z128">
        <v>71</v>
      </c>
      <c r="AA128">
        <v>14</v>
      </c>
      <c r="AB128">
        <v>12</v>
      </c>
      <c r="AC128">
        <v>1003433</v>
      </c>
      <c r="AD128">
        <v>7.16</v>
      </c>
      <c r="AE128" t="s">
        <v>16</v>
      </c>
      <c r="AF128">
        <v>4.45</v>
      </c>
      <c r="AG128" t="s">
        <v>17</v>
      </c>
      <c r="AH128" t="s">
        <v>253</v>
      </c>
      <c r="AI128" t="s">
        <v>696</v>
      </c>
    </row>
    <row r="129" spans="2:35" x14ac:dyDescent="0.25">
      <c r="B129" s="2" t="s">
        <v>70</v>
      </c>
      <c r="C129" t="s">
        <v>5</v>
      </c>
      <c r="D129">
        <v>19</v>
      </c>
      <c r="E129" t="s">
        <v>20</v>
      </c>
      <c r="F129" t="s">
        <v>74</v>
      </c>
      <c r="G129" t="s">
        <v>71</v>
      </c>
      <c r="H129" t="s">
        <v>23</v>
      </c>
      <c r="I129" t="s">
        <v>10</v>
      </c>
      <c r="J129">
        <f>- -54859</f>
        <v>54859</v>
      </c>
      <c r="K129">
        <v>73942</v>
      </c>
      <c r="L129">
        <v>15</v>
      </c>
      <c r="M129" t="s">
        <v>12</v>
      </c>
      <c r="N129" t="s">
        <v>53</v>
      </c>
      <c r="O129">
        <v>0</v>
      </c>
      <c r="P129" t="s">
        <v>13</v>
      </c>
      <c r="Q129">
        <v>740</v>
      </c>
      <c r="R129" t="s">
        <v>13</v>
      </c>
      <c r="S129">
        <v>17</v>
      </c>
      <c r="T129" t="s">
        <v>13</v>
      </c>
      <c r="U129" t="s">
        <v>14</v>
      </c>
      <c r="V129">
        <v>42</v>
      </c>
      <c r="W129">
        <v>32</v>
      </c>
      <c r="X129">
        <v>37.200000000000003</v>
      </c>
      <c r="Y129" t="s">
        <v>15</v>
      </c>
      <c r="Z129">
        <v>73</v>
      </c>
      <c r="AA129">
        <v>17</v>
      </c>
      <c r="AB129">
        <v>14.3</v>
      </c>
      <c r="AC129" t="s">
        <v>11</v>
      </c>
      <c r="AD129">
        <v>168.83</v>
      </c>
      <c r="AE129" t="s">
        <v>16</v>
      </c>
      <c r="AF129">
        <v>104.91</v>
      </c>
      <c r="AG129" t="s">
        <v>17</v>
      </c>
      <c r="AH129" t="s">
        <v>256</v>
      </c>
      <c r="AI129" t="s">
        <v>670</v>
      </c>
    </row>
    <row r="130" spans="2:35" x14ac:dyDescent="0.25">
      <c r="B130" s="2" t="s">
        <v>257</v>
      </c>
      <c r="C130" t="s">
        <v>5</v>
      </c>
      <c r="D130">
        <v>19</v>
      </c>
      <c r="E130" t="s">
        <v>6</v>
      </c>
      <c r="F130" t="s">
        <v>656</v>
      </c>
      <c r="G130" t="s">
        <v>258</v>
      </c>
      <c r="H130" t="s">
        <v>23</v>
      </c>
      <c r="I130" t="s">
        <v>10</v>
      </c>
      <c r="J130">
        <f>- -68031</f>
        <v>68031</v>
      </c>
      <c r="K130">
        <v>13933</v>
      </c>
      <c r="L130">
        <v>600</v>
      </c>
      <c r="M130" t="s">
        <v>12</v>
      </c>
      <c r="N130" t="s">
        <v>53</v>
      </c>
      <c r="O130">
        <v>294.5</v>
      </c>
      <c r="P130" t="s">
        <v>13</v>
      </c>
      <c r="Q130">
        <v>534.4</v>
      </c>
      <c r="R130" t="s">
        <v>13</v>
      </c>
      <c r="S130">
        <v>71.099999999999994</v>
      </c>
      <c r="T130" t="s">
        <v>13</v>
      </c>
      <c r="U130" t="s">
        <v>14</v>
      </c>
      <c r="V130">
        <v>42</v>
      </c>
      <c r="W130">
        <v>38</v>
      </c>
      <c r="X130">
        <v>13</v>
      </c>
      <c r="Y130" t="s">
        <v>15</v>
      </c>
      <c r="Z130">
        <v>74</v>
      </c>
      <c r="AA130">
        <v>0</v>
      </c>
      <c r="AB130">
        <v>3</v>
      </c>
      <c r="AC130">
        <v>1004679</v>
      </c>
      <c r="AD130">
        <v>228.18</v>
      </c>
      <c r="AE130" t="s">
        <v>16</v>
      </c>
      <c r="AF130">
        <v>141.78</v>
      </c>
      <c r="AG130" t="s">
        <v>17</v>
      </c>
      <c r="AH130" t="s">
        <v>259</v>
      </c>
      <c r="AI130" t="s">
        <v>716</v>
      </c>
    </row>
    <row r="131" spans="2:35" x14ac:dyDescent="0.25">
      <c r="B131" s="2" t="s">
        <v>11</v>
      </c>
      <c r="C131" t="s">
        <v>5</v>
      </c>
      <c r="D131">
        <v>19</v>
      </c>
      <c r="E131" t="s">
        <v>6</v>
      </c>
      <c r="F131" t="s">
        <v>7</v>
      </c>
      <c r="G131" t="s">
        <v>175</v>
      </c>
      <c r="H131" t="s">
        <v>110</v>
      </c>
      <c r="I131" t="s">
        <v>111</v>
      </c>
      <c r="J131" t="e">
        <f>- -CANADA275</f>
        <v>#NAME?</v>
      </c>
      <c r="K131">
        <v>704007</v>
      </c>
      <c r="L131">
        <v>448</v>
      </c>
      <c r="M131" t="s">
        <v>12</v>
      </c>
      <c r="N131" t="s">
        <v>53</v>
      </c>
      <c r="O131">
        <v>0</v>
      </c>
      <c r="P131" t="s">
        <v>13</v>
      </c>
      <c r="Q131">
        <v>327</v>
      </c>
      <c r="R131" t="s">
        <v>13</v>
      </c>
      <c r="S131">
        <v>0</v>
      </c>
      <c r="T131" t="s">
        <v>13</v>
      </c>
      <c r="U131" t="s">
        <v>14</v>
      </c>
      <c r="V131">
        <v>45</v>
      </c>
      <c r="W131">
        <v>30</v>
      </c>
      <c r="X131">
        <v>20.12</v>
      </c>
      <c r="Y131" t="s">
        <v>15</v>
      </c>
      <c r="Z131">
        <v>73</v>
      </c>
      <c r="AA131">
        <v>35</v>
      </c>
      <c r="AB131">
        <v>29.58</v>
      </c>
      <c r="AC131" t="s">
        <v>11</v>
      </c>
      <c r="AD131">
        <v>395.57</v>
      </c>
      <c r="AE131" t="s">
        <v>16</v>
      </c>
      <c r="AF131">
        <v>245.79</v>
      </c>
      <c r="AG131" t="s">
        <v>17</v>
      </c>
      <c r="AH131" t="s">
        <v>176</v>
      </c>
      <c r="AI131" t="s">
        <v>11</v>
      </c>
    </row>
    <row r="132" spans="2:35" x14ac:dyDescent="0.25">
      <c r="B132" s="2" t="s">
        <v>260</v>
      </c>
      <c r="C132" t="s">
        <v>5</v>
      </c>
      <c r="D132">
        <v>20</v>
      </c>
      <c r="E132" t="s">
        <v>6</v>
      </c>
      <c r="F132" t="s">
        <v>21</v>
      </c>
      <c r="G132" t="s">
        <v>261</v>
      </c>
      <c r="H132" t="s">
        <v>115</v>
      </c>
      <c r="I132" t="s">
        <v>10</v>
      </c>
      <c r="J132" t="s">
        <v>262</v>
      </c>
      <c r="K132">
        <v>14050</v>
      </c>
      <c r="L132">
        <v>52</v>
      </c>
      <c r="M132" t="s">
        <v>12</v>
      </c>
      <c r="O132">
        <v>516</v>
      </c>
      <c r="P132" t="s">
        <v>13</v>
      </c>
      <c r="Q132">
        <v>615</v>
      </c>
      <c r="R132" t="s">
        <v>13</v>
      </c>
      <c r="S132">
        <v>399</v>
      </c>
      <c r="T132" t="s">
        <v>13</v>
      </c>
      <c r="U132" t="s">
        <v>14</v>
      </c>
      <c r="V132">
        <v>41</v>
      </c>
      <c r="W132">
        <v>42</v>
      </c>
      <c r="X132">
        <v>13</v>
      </c>
      <c r="Y132" t="s">
        <v>15</v>
      </c>
      <c r="Z132">
        <v>72</v>
      </c>
      <c r="AA132">
        <v>49</v>
      </c>
      <c r="AB132">
        <v>55</v>
      </c>
      <c r="AC132">
        <v>1041624</v>
      </c>
      <c r="AD132">
        <v>150.86000000000001</v>
      </c>
      <c r="AE132" t="s">
        <v>16</v>
      </c>
      <c r="AF132">
        <v>93.74</v>
      </c>
      <c r="AG132" t="s">
        <v>17</v>
      </c>
      <c r="AH132" t="s">
        <v>263</v>
      </c>
      <c r="AI132" t="s">
        <v>717</v>
      </c>
    </row>
    <row r="133" spans="2:35" x14ac:dyDescent="0.25">
      <c r="B133" s="2" t="s">
        <v>260</v>
      </c>
      <c r="C133" t="s">
        <v>5</v>
      </c>
      <c r="D133">
        <v>20</v>
      </c>
      <c r="E133" t="s">
        <v>6</v>
      </c>
      <c r="F133" t="s">
        <v>7</v>
      </c>
      <c r="G133" t="s">
        <v>261</v>
      </c>
      <c r="H133" t="s">
        <v>115</v>
      </c>
      <c r="I133" t="s">
        <v>10</v>
      </c>
      <c r="J133">
        <f>- -59403</f>
        <v>59403</v>
      </c>
      <c r="K133">
        <v>14050</v>
      </c>
      <c r="L133">
        <v>89</v>
      </c>
      <c r="M133" t="s">
        <v>12</v>
      </c>
      <c r="N133" t="s">
        <v>53</v>
      </c>
      <c r="O133">
        <v>456</v>
      </c>
      <c r="P133" t="s">
        <v>13</v>
      </c>
      <c r="Q133">
        <v>555.4</v>
      </c>
      <c r="R133" t="s">
        <v>13</v>
      </c>
      <c r="S133">
        <v>339</v>
      </c>
      <c r="T133" t="s">
        <v>13</v>
      </c>
      <c r="U133" t="s">
        <v>14</v>
      </c>
      <c r="V133">
        <v>41</v>
      </c>
      <c r="W133">
        <v>42</v>
      </c>
      <c r="X133">
        <v>13</v>
      </c>
      <c r="Y133" t="s">
        <v>15</v>
      </c>
      <c r="Z133">
        <v>72</v>
      </c>
      <c r="AA133">
        <v>49</v>
      </c>
      <c r="AB133">
        <v>55</v>
      </c>
      <c r="AC133">
        <v>1041624</v>
      </c>
      <c r="AD133">
        <v>150.86000000000001</v>
      </c>
      <c r="AE133" t="s">
        <v>16</v>
      </c>
      <c r="AF133">
        <v>93.74</v>
      </c>
      <c r="AG133" t="s">
        <v>17</v>
      </c>
      <c r="AH133" t="s">
        <v>263</v>
      </c>
      <c r="AI133" t="s">
        <v>717</v>
      </c>
    </row>
    <row r="134" spans="2:35" x14ac:dyDescent="0.25">
      <c r="B134" s="2" t="s">
        <v>260</v>
      </c>
      <c r="C134" t="s">
        <v>5</v>
      </c>
      <c r="D134">
        <v>20</v>
      </c>
      <c r="E134" t="s">
        <v>6</v>
      </c>
      <c r="F134" t="s">
        <v>7</v>
      </c>
      <c r="G134" t="s">
        <v>261</v>
      </c>
      <c r="H134" t="s">
        <v>115</v>
      </c>
      <c r="I134" t="s">
        <v>10</v>
      </c>
      <c r="J134">
        <f>- -67970</f>
        <v>67970</v>
      </c>
      <c r="K134">
        <v>14050</v>
      </c>
      <c r="L134">
        <v>89</v>
      </c>
      <c r="M134" t="s">
        <v>12</v>
      </c>
      <c r="N134" t="s">
        <v>53</v>
      </c>
      <c r="O134">
        <v>456</v>
      </c>
      <c r="P134" t="s">
        <v>13</v>
      </c>
      <c r="Q134">
        <v>555.4</v>
      </c>
      <c r="R134" t="s">
        <v>13</v>
      </c>
      <c r="S134">
        <v>339</v>
      </c>
      <c r="T134" t="s">
        <v>13</v>
      </c>
      <c r="U134" t="s">
        <v>14</v>
      </c>
      <c r="V134">
        <v>41</v>
      </c>
      <c r="W134">
        <v>42</v>
      </c>
      <c r="X134">
        <v>13</v>
      </c>
      <c r="Y134" t="s">
        <v>15</v>
      </c>
      <c r="Z134">
        <v>72</v>
      </c>
      <c r="AA134">
        <v>49</v>
      </c>
      <c r="AB134">
        <v>55</v>
      </c>
      <c r="AC134">
        <v>1041624</v>
      </c>
      <c r="AD134">
        <v>150.86000000000001</v>
      </c>
      <c r="AE134" t="s">
        <v>16</v>
      </c>
      <c r="AF134">
        <v>93.74</v>
      </c>
      <c r="AG134" t="s">
        <v>17</v>
      </c>
      <c r="AH134" t="s">
        <v>263</v>
      </c>
      <c r="AI134" t="s">
        <v>717</v>
      </c>
    </row>
    <row r="135" spans="2:35" x14ac:dyDescent="0.25">
      <c r="B135" s="2" t="s">
        <v>264</v>
      </c>
      <c r="C135" t="s">
        <v>5</v>
      </c>
      <c r="D135">
        <v>20</v>
      </c>
      <c r="E135" t="s">
        <v>96</v>
      </c>
      <c r="F135" t="s">
        <v>21</v>
      </c>
      <c r="G135" t="s">
        <v>40</v>
      </c>
      <c r="H135" t="s">
        <v>41</v>
      </c>
      <c r="I135" t="s">
        <v>10</v>
      </c>
      <c r="J135" t="s">
        <v>265</v>
      </c>
      <c r="K135">
        <v>65684</v>
      </c>
      <c r="L135">
        <v>200</v>
      </c>
      <c r="M135" t="s">
        <v>12</v>
      </c>
      <c r="N135" t="s">
        <v>53</v>
      </c>
      <c r="O135">
        <v>191</v>
      </c>
      <c r="P135" t="s">
        <v>13</v>
      </c>
      <c r="Q135">
        <v>235</v>
      </c>
      <c r="R135" t="s">
        <v>13</v>
      </c>
      <c r="S135">
        <v>188</v>
      </c>
      <c r="T135" t="s">
        <v>13</v>
      </c>
      <c r="U135" t="s">
        <v>14</v>
      </c>
      <c r="V135">
        <v>42</v>
      </c>
      <c r="W135">
        <v>18</v>
      </c>
      <c r="X135">
        <v>37</v>
      </c>
      <c r="Y135" t="s">
        <v>15</v>
      </c>
      <c r="Z135">
        <v>71</v>
      </c>
      <c r="AA135">
        <v>14</v>
      </c>
      <c r="AB135">
        <v>12</v>
      </c>
      <c r="AC135">
        <v>1003433</v>
      </c>
      <c r="AD135">
        <v>7.16</v>
      </c>
      <c r="AE135" t="s">
        <v>16</v>
      </c>
      <c r="AF135">
        <v>4.45</v>
      </c>
      <c r="AG135" t="s">
        <v>17</v>
      </c>
      <c r="AH135" t="s">
        <v>253</v>
      </c>
      <c r="AI135" t="s">
        <v>699</v>
      </c>
    </row>
    <row r="136" spans="2:35" x14ac:dyDescent="0.25">
      <c r="B136" s="2" t="s">
        <v>264</v>
      </c>
      <c r="C136" t="s">
        <v>5</v>
      </c>
      <c r="D136">
        <v>20</v>
      </c>
      <c r="E136" t="s">
        <v>6</v>
      </c>
      <c r="F136" t="s">
        <v>7</v>
      </c>
      <c r="G136" t="s">
        <v>40</v>
      </c>
      <c r="H136" t="s">
        <v>41</v>
      </c>
      <c r="I136" t="s">
        <v>10</v>
      </c>
      <c r="J136">
        <f>- -17782</f>
        <v>17782</v>
      </c>
      <c r="K136">
        <v>65684</v>
      </c>
      <c r="L136">
        <v>625</v>
      </c>
      <c r="M136" t="s">
        <v>12</v>
      </c>
      <c r="O136">
        <v>374</v>
      </c>
      <c r="P136" t="s">
        <v>13</v>
      </c>
      <c r="Q136">
        <v>416.6</v>
      </c>
      <c r="R136" t="s">
        <v>13</v>
      </c>
      <c r="S136">
        <v>370</v>
      </c>
      <c r="T136" t="s">
        <v>13</v>
      </c>
      <c r="U136" t="s">
        <v>14</v>
      </c>
      <c r="V136">
        <v>42</v>
      </c>
      <c r="W136">
        <v>18</v>
      </c>
      <c r="X136">
        <v>37</v>
      </c>
      <c r="Y136" t="s">
        <v>15</v>
      </c>
      <c r="Z136">
        <v>71</v>
      </c>
      <c r="AA136">
        <v>14</v>
      </c>
      <c r="AB136">
        <v>12</v>
      </c>
      <c r="AC136">
        <v>1003433</v>
      </c>
      <c r="AD136">
        <v>7.16</v>
      </c>
      <c r="AE136" t="s">
        <v>16</v>
      </c>
      <c r="AF136">
        <v>4.45</v>
      </c>
      <c r="AG136" t="s">
        <v>17</v>
      </c>
      <c r="AH136" t="s">
        <v>253</v>
      </c>
      <c r="AI136" t="s">
        <v>699</v>
      </c>
    </row>
    <row r="137" spans="2:35" x14ac:dyDescent="0.25">
      <c r="B137" s="2" t="s">
        <v>266</v>
      </c>
      <c r="C137" t="s">
        <v>5</v>
      </c>
      <c r="D137">
        <v>20</v>
      </c>
      <c r="E137" t="s">
        <v>6</v>
      </c>
      <c r="F137" t="s">
        <v>656</v>
      </c>
      <c r="G137" t="s">
        <v>40</v>
      </c>
      <c r="H137" t="s">
        <v>41</v>
      </c>
      <c r="I137" t="s">
        <v>10</v>
      </c>
      <c r="J137">
        <f>- -34573</f>
        <v>34573</v>
      </c>
      <c r="K137">
        <v>25456</v>
      </c>
      <c r="L137">
        <v>922</v>
      </c>
      <c r="M137" t="s">
        <v>12</v>
      </c>
      <c r="O137">
        <v>388.3</v>
      </c>
      <c r="P137" t="s">
        <v>13</v>
      </c>
      <c r="Q137">
        <v>431.9</v>
      </c>
      <c r="R137" t="s">
        <v>13</v>
      </c>
      <c r="S137">
        <v>385.3</v>
      </c>
      <c r="T137" t="s">
        <v>13</v>
      </c>
      <c r="U137" t="s">
        <v>14</v>
      </c>
      <c r="V137">
        <v>42</v>
      </c>
      <c r="W137">
        <v>18</v>
      </c>
      <c r="X137">
        <v>37</v>
      </c>
      <c r="Y137" t="s">
        <v>15</v>
      </c>
      <c r="Z137">
        <v>71</v>
      </c>
      <c r="AA137">
        <v>14</v>
      </c>
      <c r="AB137">
        <v>12</v>
      </c>
      <c r="AC137">
        <v>1003433</v>
      </c>
      <c r="AD137">
        <v>7.16</v>
      </c>
      <c r="AE137" t="s">
        <v>16</v>
      </c>
      <c r="AF137">
        <v>4.45</v>
      </c>
      <c r="AG137" t="s">
        <v>17</v>
      </c>
      <c r="AH137" t="s">
        <v>253</v>
      </c>
      <c r="AI137" t="s">
        <v>718</v>
      </c>
    </row>
    <row r="138" spans="2:35" x14ac:dyDescent="0.25">
      <c r="B138" s="2" t="s">
        <v>267</v>
      </c>
      <c r="C138" t="s">
        <v>5</v>
      </c>
      <c r="D138">
        <v>20</v>
      </c>
      <c r="E138" t="s">
        <v>20</v>
      </c>
      <c r="F138" t="s">
        <v>7</v>
      </c>
      <c r="G138" t="s">
        <v>51</v>
      </c>
      <c r="H138" t="s">
        <v>41</v>
      </c>
      <c r="I138" t="s">
        <v>10</v>
      </c>
      <c r="J138">
        <f>- -53340</f>
        <v>53340</v>
      </c>
      <c r="K138">
        <v>67980</v>
      </c>
      <c r="L138">
        <v>6</v>
      </c>
      <c r="M138" t="s">
        <v>12</v>
      </c>
      <c r="N138" t="s">
        <v>53</v>
      </c>
      <c r="O138">
        <v>0</v>
      </c>
      <c r="P138" t="s">
        <v>13</v>
      </c>
      <c r="Q138">
        <v>292.60000000000002</v>
      </c>
      <c r="R138" t="s">
        <v>13</v>
      </c>
      <c r="S138">
        <v>45.7</v>
      </c>
      <c r="T138" t="s">
        <v>13</v>
      </c>
      <c r="U138" t="s">
        <v>14</v>
      </c>
      <c r="V138">
        <v>42</v>
      </c>
      <c r="W138">
        <v>7</v>
      </c>
      <c r="X138">
        <v>11.6</v>
      </c>
      <c r="Y138" t="s">
        <v>15</v>
      </c>
      <c r="Z138">
        <v>72</v>
      </c>
      <c r="AA138">
        <v>24</v>
      </c>
      <c r="AB138">
        <v>37.299999999999997</v>
      </c>
      <c r="AC138">
        <v>1007622</v>
      </c>
      <c r="AD138">
        <v>100.04</v>
      </c>
      <c r="AE138" t="s">
        <v>16</v>
      </c>
      <c r="AF138">
        <v>62.16</v>
      </c>
      <c r="AG138" t="s">
        <v>17</v>
      </c>
      <c r="AH138" t="s">
        <v>268</v>
      </c>
      <c r="AI138" t="s">
        <v>719</v>
      </c>
    </row>
    <row r="139" spans="2:35" x14ac:dyDescent="0.25">
      <c r="B139" s="2" t="s">
        <v>269</v>
      </c>
      <c r="C139" t="s">
        <v>5</v>
      </c>
      <c r="D139">
        <v>20</v>
      </c>
      <c r="E139" t="s">
        <v>6</v>
      </c>
      <c r="F139" t="s">
        <v>21</v>
      </c>
      <c r="G139" t="s">
        <v>270</v>
      </c>
      <c r="H139" t="s">
        <v>23</v>
      </c>
      <c r="I139" t="s">
        <v>10</v>
      </c>
      <c r="J139" t="s">
        <v>271</v>
      </c>
      <c r="K139">
        <v>34329</v>
      </c>
      <c r="L139">
        <v>110</v>
      </c>
      <c r="M139" t="s">
        <v>12</v>
      </c>
      <c r="N139" t="s">
        <v>53</v>
      </c>
      <c r="O139">
        <v>237</v>
      </c>
      <c r="P139" t="s">
        <v>13</v>
      </c>
      <c r="Q139">
        <v>690</v>
      </c>
      <c r="R139" t="s">
        <v>13</v>
      </c>
      <c r="S139">
        <v>90.5</v>
      </c>
      <c r="T139" t="s">
        <v>13</v>
      </c>
      <c r="U139" t="s">
        <v>14</v>
      </c>
      <c r="V139">
        <v>42</v>
      </c>
      <c r="W139">
        <v>45</v>
      </c>
      <c r="X139">
        <v>32.5</v>
      </c>
      <c r="Y139" t="s">
        <v>15</v>
      </c>
      <c r="Z139">
        <v>76</v>
      </c>
      <c r="AA139">
        <v>2</v>
      </c>
      <c r="AB139">
        <v>46.1</v>
      </c>
      <c r="AC139">
        <v>1006593</v>
      </c>
      <c r="AD139">
        <v>396.34</v>
      </c>
      <c r="AE139" t="s">
        <v>16</v>
      </c>
      <c r="AF139">
        <v>246.28</v>
      </c>
      <c r="AG139" t="s">
        <v>17</v>
      </c>
      <c r="AH139" t="s">
        <v>272</v>
      </c>
      <c r="AI139" t="s">
        <v>667</v>
      </c>
    </row>
    <row r="140" spans="2:35" x14ac:dyDescent="0.25">
      <c r="B140" s="2" t="s">
        <v>273</v>
      </c>
      <c r="C140" t="s">
        <v>5</v>
      </c>
      <c r="D140">
        <v>20</v>
      </c>
      <c r="E140" t="s">
        <v>20</v>
      </c>
      <c r="F140" t="s">
        <v>21</v>
      </c>
      <c r="G140" t="s">
        <v>274</v>
      </c>
      <c r="H140" t="s">
        <v>23</v>
      </c>
      <c r="I140" t="s">
        <v>10</v>
      </c>
      <c r="J140" t="s">
        <v>275</v>
      </c>
      <c r="K140">
        <v>168738</v>
      </c>
      <c r="L140">
        <v>1.25</v>
      </c>
      <c r="M140" t="s">
        <v>12</v>
      </c>
      <c r="N140" t="s">
        <v>53</v>
      </c>
      <c r="O140">
        <v>0</v>
      </c>
      <c r="P140" t="s">
        <v>13</v>
      </c>
      <c r="Q140">
        <v>150.1</v>
      </c>
      <c r="R140" t="s">
        <v>13</v>
      </c>
      <c r="S140">
        <v>80</v>
      </c>
      <c r="T140" t="s">
        <v>13</v>
      </c>
      <c r="U140" t="s">
        <v>14</v>
      </c>
      <c r="V140">
        <v>40</v>
      </c>
      <c r="W140">
        <v>47</v>
      </c>
      <c r="X140">
        <v>44</v>
      </c>
      <c r="Y140" t="s">
        <v>15</v>
      </c>
      <c r="Z140">
        <v>73</v>
      </c>
      <c r="AA140">
        <v>27</v>
      </c>
      <c r="AB140">
        <v>40</v>
      </c>
      <c r="AC140">
        <v>1043279</v>
      </c>
      <c r="AD140">
        <v>254.58</v>
      </c>
      <c r="AE140" t="s">
        <v>16</v>
      </c>
      <c r="AF140">
        <v>158.19</v>
      </c>
      <c r="AG140" t="s">
        <v>17</v>
      </c>
      <c r="AH140" t="s">
        <v>276</v>
      </c>
      <c r="AI140" t="s">
        <v>720</v>
      </c>
    </row>
    <row r="141" spans="2:35" x14ac:dyDescent="0.25">
      <c r="B141" s="2" t="s">
        <v>277</v>
      </c>
      <c r="C141" t="s">
        <v>5</v>
      </c>
      <c r="D141">
        <v>20</v>
      </c>
      <c r="E141" t="s">
        <v>181</v>
      </c>
      <c r="F141" t="s">
        <v>21</v>
      </c>
      <c r="G141" t="s">
        <v>65</v>
      </c>
      <c r="H141" t="s">
        <v>23</v>
      </c>
      <c r="I141" t="s">
        <v>10</v>
      </c>
      <c r="J141">
        <f>- -4524</f>
        <v>4524</v>
      </c>
      <c r="K141">
        <v>15569</v>
      </c>
      <c r="L141">
        <v>0.04</v>
      </c>
      <c r="M141" t="s">
        <v>12</v>
      </c>
      <c r="O141">
        <v>0</v>
      </c>
      <c r="P141" t="s">
        <v>13</v>
      </c>
      <c r="Q141">
        <v>594</v>
      </c>
      <c r="R141" t="s">
        <v>13</v>
      </c>
      <c r="S141">
        <v>85</v>
      </c>
      <c r="T141" t="s">
        <v>13</v>
      </c>
      <c r="U141" t="s">
        <v>14</v>
      </c>
      <c r="V141">
        <v>42</v>
      </c>
      <c r="W141">
        <v>3</v>
      </c>
      <c r="X141">
        <v>39</v>
      </c>
      <c r="Y141" t="s">
        <v>15</v>
      </c>
      <c r="Z141">
        <v>75</v>
      </c>
      <c r="AA141">
        <v>56</v>
      </c>
      <c r="AB141">
        <v>35</v>
      </c>
      <c r="AC141">
        <v>1007060</v>
      </c>
      <c r="AD141">
        <v>389.27</v>
      </c>
      <c r="AE141" t="s">
        <v>16</v>
      </c>
      <c r="AF141">
        <v>241.88</v>
      </c>
      <c r="AG141" t="s">
        <v>17</v>
      </c>
      <c r="AH141" t="s">
        <v>278</v>
      </c>
      <c r="AI141" t="s">
        <v>677</v>
      </c>
    </row>
    <row r="142" spans="2:35" x14ac:dyDescent="0.25">
      <c r="B142" s="2" t="s">
        <v>279</v>
      </c>
      <c r="C142" t="s">
        <v>5</v>
      </c>
      <c r="D142">
        <v>20</v>
      </c>
      <c r="E142" t="s">
        <v>34</v>
      </c>
      <c r="F142" t="s">
        <v>7</v>
      </c>
      <c r="G142" t="s">
        <v>683</v>
      </c>
      <c r="H142" t="s">
        <v>23</v>
      </c>
      <c r="I142" t="s">
        <v>10</v>
      </c>
      <c r="J142">
        <f>- -41654</f>
        <v>41654</v>
      </c>
      <c r="K142">
        <v>127911</v>
      </c>
      <c r="L142">
        <v>0.2</v>
      </c>
      <c r="M142" t="s">
        <v>12</v>
      </c>
      <c r="N142" t="s">
        <v>53</v>
      </c>
      <c r="O142">
        <v>0</v>
      </c>
      <c r="P142" t="s">
        <v>13</v>
      </c>
      <c r="Q142">
        <v>137</v>
      </c>
      <c r="R142" t="s">
        <v>13</v>
      </c>
      <c r="S142">
        <v>4</v>
      </c>
      <c r="T142" t="s">
        <v>13</v>
      </c>
      <c r="U142" t="s">
        <v>14</v>
      </c>
      <c r="V142">
        <v>41</v>
      </c>
      <c r="W142">
        <v>21</v>
      </c>
      <c r="X142">
        <v>49.3</v>
      </c>
      <c r="Y142" t="s">
        <v>15</v>
      </c>
      <c r="Z142">
        <v>74</v>
      </c>
      <c r="AA142">
        <v>40</v>
      </c>
      <c r="AB142">
        <v>39.5</v>
      </c>
      <c r="AC142" t="s">
        <v>11</v>
      </c>
      <c r="AD142">
        <v>306.08999999999997</v>
      </c>
      <c r="AE142" t="s">
        <v>16</v>
      </c>
      <c r="AF142">
        <v>190.2</v>
      </c>
      <c r="AG142" t="s">
        <v>17</v>
      </c>
      <c r="AH142" t="s">
        <v>280</v>
      </c>
      <c r="AI142" t="s">
        <v>684</v>
      </c>
    </row>
    <row r="143" spans="2:35" x14ac:dyDescent="0.25">
      <c r="B143" s="2" t="s">
        <v>226</v>
      </c>
      <c r="C143" t="s">
        <v>5</v>
      </c>
      <c r="D143">
        <v>20</v>
      </c>
      <c r="E143" t="s">
        <v>20</v>
      </c>
      <c r="F143" t="s">
        <v>21</v>
      </c>
      <c r="G143" t="s">
        <v>281</v>
      </c>
      <c r="H143" t="s">
        <v>31</v>
      </c>
      <c r="I143" t="s">
        <v>10</v>
      </c>
      <c r="J143">
        <f>- -53224</f>
        <v>53224</v>
      </c>
      <c r="K143">
        <v>74502</v>
      </c>
      <c r="L143">
        <v>6.02</v>
      </c>
      <c r="M143" t="s">
        <v>12</v>
      </c>
      <c r="N143" t="s">
        <v>53</v>
      </c>
      <c r="O143">
        <v>0</v>
      </c>
      <c r="P143" t="s">
        <v>13</v>
      </c>
      <c r="Q143">
        <v>275</v>
      </c>
      <c r="R143" t="s">
        <v>13</v>
      </c>
      <c r="S143">
        <v>265.60000000000002</v>
      </c>
      <c r="T143" t="s">
        <v>13</v>
      </c>
      <c r="U143" t="s">
        <v>14</v>
      </c>
      <c r="V143">
        <v>40</v>
      </c>
      <c r="W143">
        <v>45</v>
      </c>
      <c r="X143">
        <v>8.1</v>
      </c>
      <c r="Y143" t="s">
        <v>15</v>
      </c>
      <c r="Z143">
        <v>73</v>
      </c>
      <c r="AA143">
        <v>58</v>
      </c>
      <c r="AB143">
        <v>2.1</v>
      </c>
      <c r="AC143">
        <v>1268297</v>
      </c>
      <c r="AD143">
        <v>289.69</v>
      </c>
      <c r="AE143" t="s">
        <v>16</v>
      </c>
      <c r="AF143">
        <v>180</v>
      </c>
      <c r="AG143" t="s">
        <v>17</v>
      </c>
      <c r="AH143" t="s">
        <v>25</v>
      </c>
      <c r="AI143" t="s">
        <v>707</v>
      </c>
    </row>
    <row r="144" spans="2:35" x14ac:dyDescent="0.25">
      <c r="B144" s="2" t="s">
        <v>279</v>
      </c>
      <c r="C144" t="s">
        <v>5</v>
      </c>
      <c r="D144">
        <v>20</v>
      </c>
      <c r="E144" t="s">
        <v>20</v>
      </c>
      <c r="F144" t="s">
        <v>7</v>
      </c>
      <c r="G144" t="s">
        <v>683</v>
      </c>
      <c r="H144" t="s">
        <v>23</v>
      </c>
      <c r="I144" t="s">
        <v>10</v>
      </c>
      <c r="J144">
        <f>- -56338</f>
        <v>56338</v>
      </c>
      <c r="K144">
        <v>127911</v>
      </c>
      <c r="L144">
        <v>15</v>
      </c>
      <c r="M144" t="s">
        <v>12</v>
      </c>
      <c r="N144" t="s">
        <v>53</v>
      </c>
      <c r="O144">
        <v>0</v>
      </c>
      <c r="P144" t="s">
        <v>13</v>
      </c>
      <c r="Q144">
        <v>710</v>
      </c>
      <c r="R144" t="s">
        <v>13</v>
      </c>
      <c r="S144">
        <v>16.899999999999999</v>
      </c>
      <c r="T144" t="s">
        <v>13</v>
      </c>
      <c r="U144" t="s">
        <v>14</v>
      </c>
      <c r="V144">
        <v>41</v>
      </c>
      <c r="W144">
        <v>41</v>
      </c>
      <c r="X144">
        <v>1</v>
      </c>
      <c r="Y144" t="s">
        <v>15</v>
      </c>
      <c r="Z144">
        <v>74</v>
      </c>
      <c r="AA144">
        <v>21</v>
      </c>
      <c r="AB144">
        <v>23</v>
      </c>
      <c r="AC144">
        <v>1040453</v>
      </c>
      <c r="AD144">
        <v>268.64</v>
      </c>
      <c r="AE144" t="s">
        <v>16</v>
      </c>
      <c r="AF144">
        <v>166.93</v>
      </c>
      <c r="AG144" t="s">
        <v>17</v>
      </c>
      <c r="AH144" t="s">
        <v>282</v>
      </c>
      <c r="AI144" t="s">
        <v>684</v>
      </c>
    </row>
    <row r="145" spans="2:35" x14ac:dyDescent="0.25">
      <c r="B145" s="2" t="s">
        <v>283</v>
      </c>
      <c r="C145" t="s">
        <v>5</v>
      </c>
      <c r="D145">
        <v>20</v>
      </c>
      <c r="E145" t="s">
        <v>20</v>
      </c>
      <c r="F145" t="s">
        <v>21</v>
      </c>
      <c r="G145" t="s">
        <v>130</v>
      </c>
      <c r="H145" t="s">
        <v>101</v>
      </c>
      <c r="I145" t="s">
        <v>10</v>
      </c>
      <c r="J145" t="s">
        <v>284</v>
      </c>
      <c r="K145">
        <v>46727</v>
      </c>
      <c r="L145">
        <v>0.69</v>
      </c>
      <c r="M145" t="s">
        <v>12</v>
      </c>
      <c r="O145">
        <v>0</v>
      </c>
      <c r="P145" t="s">
        <v>13</v>
      </c>
      <c r="Q145">
        <v>450.6</v>
      </c>
      <c r="R145" t="s">
        <v>13</v>
      </c>
      <c r="S145">
        <v>57.4</v>
      </c>
      <c r="T145" t="s">
        <v>13</v>
      </c>
      <c r="U145" t="s">
        <v>14</v>
      </c>
      <c r="V145">
        <v>43</v>
      </c>
      <c r="W145">
        <v>34</v>
      </c>
      <c r="X145">
        <v>4</v>
      </c>
      <c r="Y145" t="s">
        <v>15</v>
      </c>
      <c r="Z145">
        <v>73</v>
      </c>
      <c r="AA145">
        <v>0</v>
      </c>
      <c r="AB145">
        <v>30</v>
      </c>
      <c r="AC145">
        <v>1040762</v>
      </c>
      <c r="AD145">
        <v>195.49</v>
      </c>
      <c r="AE145" t="s">
        <v>16</v>
      </c>
      <c r="AF145">
        <v>121.47</v>
      </c>
      <c r="AG145" t="s">
        <v>17</v>
      </c>
      <c r="AH145" t="s">
        <v>285</v>
      </c>
      <c r="AI145" t="s">
        <v>721</v>
      </c>
    </row>
    <row r="146" spans="2:35" x14ac:dyDescent="0.25">
      <c r="B146" s="2" t="s">
        <v>286</v>
      </c>
      <c r="C146" t="s">
        <v>5</v>
      </c>
      <c r="D146">
        <v>20</v>
      </c>
      <c r="E146" t="s">
        <v>6</v>
      </c>
      <c r="F146" t="s">
        <v>7</v>
      </c>
      <c r="G146" t="s">
        <v>100</v>
      </c>
      <c r="H146" t="s">
        <v>101</v>
      </c>
      <c r="I146" t="s">
        <v>10</v>
      </c>
      <c r="J146">
        <f>- -24928</f>
        <v>24928</v>
      </c>
      <c r="K146">
        <v>46728</v>
      </c>
      <c r="L146">
        <v>423</v>
      </c>
      <c r="M146" t="s">
        <v>12</v>
      </c>
      <c r="O146">
        <v>845</v>
      </c>
      <c r="P146" t="s">
        <v>13</v>
      </c>
      <c r="Q146">
        <v>1270</v>
      </c>
      <c r="R146" t="s">
        <v>13</v>
      </c>
      <c r="S146">
        <v>46</v>
      </c>
      <c r="T146" t="s">
        <v>13</v>
      </c>
      <c r="U146" t="s">
        <v>14</v>
      </c>
      <c r="V146">
        <v>44</v>
      </c>
      <c r="W146">
        <v>31</v>
      </c>
      <c r="X146">
        <v>32.6</v>
      </c>
      <c r="Y146" t="s">
        <v>15</v>
      </c>
      <c r="Z146">
        <v>72</v>
      </c>
      <c r="AA146">
        <v>48</v>
      </c>
      <c r="AB146">
        <v>56.1</v>
      </c>
      <c r="AC146" t="s">
        <v>11</v>
      </c>
      <c r="AD146">
        <v>270.64</v>
      </c>
      <c r="AE146" t="s">
        <v>16</v>
      </c>
      <c r="AF146">
        <v>168.17</v>
      </c>
      <c r="AG146" t="s">
        <v>17</v>
      </c>
      <c r="AH146" t="s">
        <v>190</v>
      </c>
      <c r="AI146" t="s">
        <v>721</v>
      </c>
    </row>
    <row r="147" spans="2:35" x14ac:dyDescent="0.25">
      <c r="B147" s="2" t="s">
        <v>287</v>
      </c>
      <c r="C147" t="s">
        <v>5</v>
      </c>
      <c r="D147">
        <v>20</v>
      </c>
      <c r="E147" t="s">
        <v>20</v>
      </c>
      <c r="F147" t="s">
        <v>656</v>
      </c>
      <c r="G147" t="s">
        <v>722</v>
      </c>
      <c r="H147" t="s">
        <v>101</v>
      </c>
      <c r="I147" t="s">
        <v>10</v>
      </c>
      <c r="J147">
        <f>- -64537</f>
        <v>64537</v>
      </c>
      <c r="K147">
        <v>189111</v>
      </c>
      <c r="L147">
        <v>1.26</v>
      </c>
      <c r="M147" t="s">
        <v>12</v>
      </c>
      <c r="O147">
        <v>0</v>
      </c>
      <c r="P147" t="s">
        <v>13</v>
      </c>
      <c r="Q147">
        <v>729.3</v>
      </c>
      <c r="R147" t="s">
        <v>13</v>
      </c>
      <c r="S147">
        <v>15.2</v>
      </c>
      <c r="T147" t="s">
        <v>13</v>
      </c>
      <c r="U147" t="s">
        <v>14</v>
      </c>
      <c r="V147">
        <v>42</v>
      </c>
      <c r="W147">
        <v>51</v>
      </c>
      <c r="X147">
        <v>49.8</v>
      </c>
      <c r="Y147" t="s">
        <v>15</v>
      </c>
      <c r="Z147">
        <v>73</v>
      </c>
      <c r="AA147">
        <v>13</v>
      </c>
      <c r="AB147">
        <v>57.1</v>
      </c>
      <c r="AC147">
        <v>1041563</v>
      </c>
      <c r="AD147">
        <v>171.7</v>
      </c>
      <c r="AE147" t="s">
        <v>16</v>
      </c>
      <c r="AF147">
        <v>106.69</v>
      </c>
      <c r="AG147" t="s">
        <v>17</v>
      </c>
      <c r="AH147" t="s">
        <v>288</v>
      </c>
      <c r="AI147" t="s">
        <v>686</v>
      </c>
    </row>
    <row r="148" spans="2:35" x14ac:dyDescent="0.25">
      <c r="B148" s="2" t="s">
        <v>289</v>
      </c>
      <c r="C148" t="s">
        <v>5</v>
      </c>
      <c r="D148">
        <v>21</v>
      </c>
      <c r="E148" t="s">
        <v>181</v>
      </c>
      <c r="F148" t="s">
        <v>7</v>
      </c>
      <c r="G148" t="s">
        <v>51</v>
      </c>
      <c r="H148" t="s">
        <v>41</v>
      </c>
      <c r="I148" t="s">
        <v>10</v>
      </c>
      <c r="J148">
        <f>- -27611</f>
        <v>27611</v>
      </c>
      <c r="K148">
        <v>2650</v>
      </c>
      <c r="L148">
        <v>2.1999999999999999E-2</v>
      </c>
      <c r="M148" t="s">
        <v>12</v>
      </c>
      <c r="N148" t="s">
        <v>53</v>
      </c>
      <c r="O148">
        <v>0</v>
      </c>
      <c r="P148" t="s">
        <v>13</v>
      </c>
      <c r="Q148">
        <v>361</v>
      </c>
      <c r="R148" t="s">
        <v>13</v>
      </c>
      <c r="S148">
        <v>14</v>
      </c>
      <c r="T148" t="s">
        <v>13</v>
      </c>
      <c r="U148" t="s">
        <v>14</v>
      </c>
      <c r="V148">
        <v>42</v>
      </c>
      <c r="W148">
        <v>15</v>
      </c>
      <c r="X148">
        <v>5.3</v>
      </c>
      <c r="Y148" t="s">
        <v>15</v>
      </c>
      <c r="Z148">
        <v>72</v>
      </c>
      <c r="AA148">
        <v>38</v>
      </c>
      <c r="AB148">
        <v>41.3</v>
      </c>
      <c r="AC148" t="s">
        <v>11</v>
      </c>
      <c r="AD148">
        <v>116</v>
      </c>
      <c r="AE148" t="s">
        <v>16</v>
      </c>
      <c r="AF148">
        <v>72.08</v>
      </c>
      <c r="AG148" t="s">
        <v>17</v>
      </c>
      <c r="AH148" t="s">
        <v>290</v>
      </c>
      <c r="AI148" t="s">
        <v>677</v>
      </c>
    </row>
    <row r="149" spans="2:35" x14ac:dyDescent="0.25">
      <c r="B149" s="2" t="s">
        <v>291</v>
      </c>
      <c r="C149" t="s">
        <v>5</v>
      </c>
      <c r="D149">
        <v>21</v>
      </c>
      <c r="E149" t="s">
        <v>6</v>
      </c>
      <c r="F149" t="s">
        <v>656</v>
      </c>
      <c r="G149" t="s">
        <v>40</v>
      </c>
      <c r="H149" t="s">
        <v>41</v>
      </c>
      <c r="I149" t="s">
        <v>10</v>
      </c>
      <c r="J149">
        <f>- -34574</f>
        <v>34574</v>
      </c>
      <c r="K149">
        <v>73982</v>
      </c>
      <c r="L149">
        <v>163</v>
      </c>
      <c r="M149" t="s">
        <v>12</v>
      </c>
      <c r="O149">
        <v>388.3</v>
      </c>
      <c r="P149" t="s">
        <v>13</v>
      </c>
      <c r="Q149">
        <v>431.9</v>
      </c>
      <c r="R149" t="s">
        <v>13</v>
      </c>
      <c r="S149">
        <v>385.3</v>
      </c>
      <c r="T149" t="s">
        <v>13</v>
      </c>
      <c r="U149" t="s">
        <v>14</v>
      </c>
      <c r="V149">
        <v>42</v>
      </c>
      <c r="W149">
        <v>18</v>
      </c>
      <c r="X149">
        <v>37</v>
      </c>
      <c r="Y149" t="s">
        <v>15</v>
      </c>
      <c r="Z149">
        <v>71</v>
      </c>
      <c r="AA149">
        <v>14</v>
      </c>
      <c r="AB149">
        <v>12</v>
      </c>
      <c r="AC149">
        <v>1003433</v>
      </c>
      <c r="AD149">
        <v>7.16</v>
      </c>
      <c r="AE149" t="s">
        <v>16</v>
      </c>
      <c r="AF149">
        <v>4.45</v>
      </c>
      <c r="AG149" t="s">
        <v>17</v>
      </c>
      <c r="AH149" t="s">
        <v>253</v>
      </c>
      <c r="AI149" t="s">
        <v>718</v>
      </c>
    </row>
    <row r="150" spans="2:35" x14ac:dyDescent="0.25">
      <c r="B150" s="2" t="s">
        <v>292</v>
      </c>
      <c r="C150" t="s">
        <v>5</v>
      </c>
      <c r="D150">
        <v>21</v>
      </c>
      <c r="E150" t="s">
        <v>20</v>
      </c>
      <c r="F150" t="s">
        <v>21</v>
      </c>
      <c r="G150" t="s">
        <v>213</v>
      </c>
      <c r="H150" t="s">
        <v>23</v>
      </c>
      <c r="I150" t="s">
        <v>10</v>
      </c>
      <c r="J150" t="s">
        <v>293</v>
      </c>
      <c r="K150">
        <v>73360</v>
      </c>
      <c r="L150">
        <v>2.5</v>
      </c>
      <c r="M150" t="s">
        <v>12</v>
      </c>
      <c r="O150">
        <v>0</v>
      </c>
      <c r="P150" t="s">
        <v>13</v>
      </c>
      <c r="Q150">
        <v>337.3</v>
      </c>
      <c r="R150" t="s">
        <v>13</v>
      </c>
      <c r="S150">
        <v>40.200000000000003</v>
      </c>
      <c r="T150" t="s">
        <v>13</v>
      </c>
      <c r="U150" t="s">
        <v>14</v>
      </c>
      <c r="V150">
        <v>43</v>
      </c>
      <c r="W150">
        <v>2</v>
      </c>
      <c r="X150">
        <v>29.3</v>
      </c>
      <c r="Y150" t="s">
        <v>15</v>
      </c>
      <c r="Z150">
        <v>74</v>
      </c>
      <c r="AA150">
        <v>21</v>
      </c>
      <c r="AB150">
        <v>59.5</v>
      </c>
      <c r="AC150">
        <v>1251842</v>
      </c>
      <c r="AD150">
        <v>266.07</v>
      </c>
      <c r="AE150" t="s">
        <v>16</v>
      </c>
      <c r="AF150">
        <v>165.33</v>
      </c>
      <c r="AG150" t="s">
        <v>17</v>
      </c>
      <c r="AH150" t="s">
        <v>294</v>
      </c>
      <c r="AI150" t="s">
        <v>672</v>
      </c>
    </row>
    <row r="151" spans="2:35" x14ac:dyDescent="0.25">
      <c r="B151" s="2" t="s">
        <v>295</v>
      </c>
      <c r="C151" t="s">
        <v>5</v>
      </c>
      <c r="D151">
        <v>21</v>
      </c>
      <c r="E151" t="s">
        <v>20</v>
      </c>
      <c r="F151" t="s">
        <v>7</v>
      </c>
      <c r="G151" t="s">
        <v>296</v>
      </c>
      <c r="H151" t="s">
        <v>23</v>
      </c>
      <c r="I151" t="s">
        <v>10</v>
      </c>
      <c r="J151">
        <f>- -52137</f>
        <v>52137</v>
      </c>
      <c r="K151">
        <v>31646</v>
      </c>
      <c r="L151">
        <v>2.4</v>
      </c>
      <c r="M151" t="s">
        <v>12</v>
      </c>
      <c r="N151" t="s">
        <v>53</v>
      </c>
      <c r="O151">
        <v>0</v>
      </c>
      <c r="P151" t="s">
        <v>13</v>
      </c>
      <c r="Q151">
        <v>545</v>
      </c>
      <c r="R151" t="s">
        <v>13</v>
      </c>
      <c r="S151">
        <v>59</v>
      </c>
      <c r="T151" t="s">
        <v>13</v>
      </c>
      <c r="U151" t="s">
        <v>14</v>
      </c>
      <c r="V151">
        <v>41</v>
      </c>
      <c r="W151">
        <v>39</v>
      </c>
      <c r="X151">
        <v>39</v>
      </c>
      <c r="Y151" t="s">
        <v>15</v>
      </c>
      <c r="Z151">
        <v>74</v>
      </c>
      <c r="AA151">
        <v>41</v>
      </c>
      <c r="AB151">
        <v>11</v>
      </c>
      <c r="AC151">
        <v>1264053</v>
      </c>
      <c r="AD151">
        <v>295.64999999999998</v>
      </c>
      <c r="AE151" t="s">
        <v>16</v>
      </c>
      <c r="AF151">
        <v>183.71</v>
      </c>
      <c r="AG151" t="s">
        <v>17</v>
      </c>
      <c r="AH151" t="s">
        <v>297</v>
      </c>
      <c r="AI151" t="s">
        <v>723</v>
      </c>
    </row>
    <row r="152" spans="2:35" x14ac:dyDescent="0.25">
      <c r="B152" s="2" t="s">
        <v>298</v>
      </c>
      <c r="C152" t="s">
        <v>5</v>
      </c>
      <c r="D152">
        <v>22</v>
      </c>
      <c r="E152" t="s">
        <v>181</v>
      </c>
      <c r="F152" t="s">
        <v>656</v>
      </c>
      <c r="G152" t="s">
        <v>143</v>
      </c>
      <c r="H152" t="s">
        <v>115</v>
      </c>
      <c r="I152" t="s">
        <v>10</v>
      </c>
      <c r="J152">
        <f>- -34459</f>
        <v>34459</v>
      </c>
      <c r="K152">
        <v>74214</v>
      </c>
      <c r="L152">
        <v>15</v>
      </c>
      <c r="M152" t="s">
        <v>12</v>
      </c>
      <c r="N152" t="s">
        <v>53</v>
      </c>
      <c r="O152">
        <v>0</v>
      </c>
      <c r="P152" t="s">
        <v>13</v>
      </c>
      <c r="Q152">
        <v>274.7</v>
      </c>
      <c r="R152" t="s">
        <v>13</v>
      </c>
      <c r="S152">
        <v>38</v>
      </c>
      <c r="T152" t="s">
        <v>13</v>
      </c>
      <c r="U152" t="s">
        <v>14</v>
      </c>
      <c r="V152">
        <v>41</v>
      </c>
      <c r="W152">
        <v>42</v>
      </c>
      <c r="X152">
        <v>30</v>
      </c>
      <c r="Y152" t="s">
        <v>15</v>
      </c>
      <c r="Z152">
        <v>72</v>
      </c>
      <c r="AA152">
        <v>28</v>
      </c>
      <c r="AB152">
        <v>32</v>
      </c>
      <c r="AC152">
        <v>1206978</v>
      </c>
      <c r="AD152">
        <v>125.73</v>
      </c>
      <c r="AE152" t="s">
        <v>16</v>
      </c>
      <c r="AF152">
        <v>78.13</v>
      </c>
      <c r="AG152" t="s">
        <v>17</v>
      </c>
      <c r="AH152" t="s">
        <v>299</v>
      </c>
      <c r="AI152" t="s">
        <v>689</v>
      </c>
    </row>
    <row r="153" spans="2:35" x14ac:dyDescent="0.25">
      <c r="B153" s="2" t="s">
        <v>300</v>
      </c>
      <c r="C153" t="s">
        <v>5</v>
      </c>
      <c r="D153">
        <v>22</v>
      </c>
      <c r="E153" t="s">
        <v>181</v>
      </c>
      <c r="F153" t="s">
        <v>656</v>
      </c>
      <c r="G153" t="s">
        <v>301</v>
      </c>
      <c r="H153" t="s">
        <v>41</v>
      </c>
      <c r="I153" t="s">
        <v>10</v>
      </c>
      <c r="J153">
        <f>- -33356</f>
        <v>33356</v>
      </c>
      <c r="K153">
        <v>48413</v>
      </c>
      <c r="L153">
        <v>15</v>
      </c>
      <c r="M153" t="s">
        <v>12</v>
      </c>
      <c r="O153">
        <v>0</v>
      </c>
      <c r="P153" t="s">
        <v>13</v>
      </c>
      <c r="Q153">
        <v>587.4</v>
      </c>
      <c r="R153" t="s">
        <v>13</v>
      </c>
      <c r="S153">
        <v>125</v>
      </c>
      <c r="T153" t="s">
        <v>13</v>
      </c>
      <c r="U153" t="s">
        <v>14</v>
      </c>
      <c r="V153">
        <v>43</v>
      </c>
      <c r="W153">
        <v>2</v>
      </c>
      <c r="X153">
        <v>0</v>
      </c>
      <c r="Y153" t="s">
        <v>15</v>
      </c>
      <c r="Z153">
        <v>72</v>
      </c>
      <c r="AA153">
        <v>22</v>
      </c>
      <c r="AB153">
        <v>2</v>
      </c>
      <c r="AC153">
        <v>1034694</v>
      </c>
      <c r="AD153">
        <v>117.38</v>
      </c>
      <c r="AE153" t="s">
        <v>16</v>
      </c>
      <c r="AF153">
        <v>72.930000000000007</v>
      </c>
      <c r="AG153" t="s">
        <v>17</v>
      </c>
      <c r="AH153" t="s">
        <v>241</v>
      </c>
      <c r="AI153" t="s">
        <v>724</v>
      </c>
    </row>
    <row r="154" spans="2:35" x14ac:dyDescent="0.25">
      <c r="B154" s="2" t="s">
        <v>302</v>
      </c>
      <c r="C154" t="s">
        <v>5</v>
      </c>
      <c r="D154">
        <v>22</v>
      </c>
      <c r="E154" t="s">
        <v>6</v>
      </c>
      <c r="F154" t="s">
        <v>7</v>
      </c>
      <c r="G154" t="s">
        <v>40</v>
      </c>
      <c r="H154" t="s">
        <v>41</v>
      </c>
      <c r="I154" t="s">
        <v>10</v>
      </c>
      <c r="J154">
        <f>- -63303</f>
        <v>63303</v>
      </c>
      <c r="K154">
        <v>7692</v>
      </c>
      <c r="L154">
        <v>150</v>
      </c>
      <c r="M154" t="s">
        <v>12</v>
      </c>
      <c r="N154" t="s">
        <v>53</v>
      </c>
      <c r="O154">
        <v>334.6</v>
      </c>
      <c r="P154" t="s">
        <v>13</v>
      </c>
      <c r="Q154">
        <v>413.9</v>
      </c>
      <c r="R154" t="s">
        <v>13</v>
      </c>
      <c r="S154">
        <v>350.5</v>
      </c>
      <c r="T154" t="s">
        <v>13</v>
      </c>
      <c r="U154" t="s">
        <v>14</v>
      </c>
      <c r="V154">
        <v>42</v>
      </c>
      <c r="W154">
        <v>23</v>
      </c>
      <c r="X154">
        <v>2.7</v>
      </c>
      <c r="Y154" t="s">
        <v>15</v>
      </c>
      <c r="Z154">
        <v>71</v>
      </c>
      <c r="AA154">
        <v>29</v>
      </c>
      <c r="AB154">
        <v>35.299999999999997</v>
      </c>
      <c r="AC154">
        <v>1046935</v>
      </c>
      <c r="AD154">
        <v>20.25</v>
      </c>
      <c r="AE154" t="s">
        <v>16</v>
      </c>
      <c r="AF154">
        <v>12.59</v>
      </c>
      <c r="AG154" t="s">
        <v>17</v>
      </c>
      <c r="AH154" t="s">
        <v>303</v>
      </c>
      <c r="AI154" t="s">
        <v>725</v>
      </c>
    </row>
    <row r="155" spans="2:35" x14ac:dyDescent="0.25">
      <c r="B155" s="2" t="s">
        <v>304</v>
      </c>
      <c r="C155" t="s">
        <v>5</v>
      </c>
      <c r="D155">
        <v>22</v>
      </c>
      <c r="E155" t="s">
        <v>20</v>
      </c>
      <c r="F155" t="s">
        <v>21</v>
      </c>
      <c r="G155" t="s">
        <v>44</v>
      </c>
      <c r="H155" t="s">
        <v>45</v>
      </c>
      <c r="I155" t="s">
        <v>10</v>
      </c>
      <c r="J155">
        <f>- -69377</f>
        <v>69377</v>
      </c>
      <c r="K155">
        <v>182343</v>
      </c>
      <c r="L155">
        <v>3</v>
      </c>
      <c r="M155" t="s">
        <v>12</v>
      </c>
      <c r="N155" t="s">
        <v>53</v>
      </c>
      <c r="O155">
        <v>0</v>
      </c>
      <c r="P155" t="s">
        <v>13</v>
      </c>
      <c r="Q155">
        <v>240.1</v>
      </c>
      <c r="R155" t="s">
        <v>13</v>
      </c>
      <c r="S155">
        <v>71</v>
      </c>
      <c r="T155" t="s">
        <v>13</v>
      </c>
      <c r="U155" t="s">
        <v>14</v>
      </c>
      <c r="V155">
        <v>42</v>
      </c>
      <c r="W155">
        <v>55</v>
      </c>
      <c r="X155">
        <v>18.8</v>
      </c>
      <c r="Y155" t="s">
        <v>15</v>
      </c>
      <c r="Z155">
        <v>71</v>
      </c>
      <c r="AA155">
        <v>13</v>
      </c>
      <c r="AB155">
        <v>31.2</v>
      </c>
      <c r="AC155">
        <v>1049511</v>
      </c>
      <c r="AD155">
        <v>60.87</v>
      </c>
      <c r="AE155" t="s">
        <v>16</v>
      </c>
      <c r="AF155">
        <v>37.82</v>
      </c>
      <c r="AG155" t="s">
        <v>17</v>
      </c>
      <c r="AH155" t="s">
        <v>305</v>
      </c>
      <c r="AI155" t="s">
        <v>726</v>
      </c>
    </row>
    <row r="156" spans="2:35" x14ac:dyDescent="0.25">
      <c r="B156" s="2" t="s">
        <v>306</v>
      </c>
      <c r="C156" t="s">
        <v>5</v>
      </c>
      <c r="D156">
        <v>22</v>
      </c>
      <c r="E156" t="s">
        <v>181</v>
      </c>
      <c r="F156" t="s">
        <v>656</v>
      </c>
      <c r="G156" t="s">
        <v>307</v>
      </c>
      <c r="H156" t="s">
        <v>31</v>
      </c>
      <c r="I156" t="s">
        <v>10</v>
      </c>
      <c r="J156">
        <f>- -34859</f>
        <v>34859</v>
      </c>
      <c r="K156">
        <v>168834</v>
      </c>
      <c r="L156">
        <v>15</v>
      </c>
      <c r="M156" t="s">
        <v>12</v>
      </c>
      <c r="N156" t="s">
        <v>53</v>
      </c>
      <c r="O156">
        <v>0</v>
      </c>
      <c r="P156" t="s">
        <v>13</v>
      </c>
      <c r="Q156">
        <v>313.5</v>
      </c>
      <c r="R156" t="s">
        <v>13</v>
      </c>
      <c r="S156">
        <v>298</v>
      </c>
      <c r="T156" t="s">
        <v>13</v>
      </c>
      <c r="U156" t="s">
        <v>14</v>
      </c>
      <c r="V156">
        <v>40</v>
      </c>
      <c r="W156">
        <v>44</v>
      </c>
      <c r="X156">
        <v>54</v>
      </c>
      <c r="Y156" t="s">
        <v>15</v>
      </c>
      <c r="Z156">
        <v>73</v>
      </c>
      <c r="AA156">
        <v>59</v>
      </c>
      <c r="AB156">
        <v>9</v>
      </c>
      <c r="AC156">
        <v>1007048</v>
      </c>
      <c r="AD156">
        <v>291.18</v>
      </c>
      <c r="AE156" t="s">
        <v>16</v>
      </c>
      <c r="AF156">
        <v>180.93</v>
      </c>
      <c r="AG156" t="s">
        <v>17</v>
      </c>
      <c r="AH156" t="s">
        <v>50</v>
      </c>
      <c r="AI156" t="s">
        <v>727</v>
      </c>
    </row>
    <row r="157" spans="2:35" x14ac:dyDescent="0.25">
      <c r="B157" s="2" t="s">
        <v>308</v>
      </c>
      <c r="C157" t="s">
        <v>5</v>
      </c>
      <c r="D157">
        <v>22</v>
      </c>
      <c r="E157" t="s">
        <v>20</v>
      </c>
      <c r="F157" t="s">
        <v>7</v>
      </c>
      <c r="G157" t="s">
        <v>309</v>
      </c>
      <c r="H157" t="s">
        <v>31</v>
      </c>
      <c r="I157" t="s">
        <v>10</v>
      </c>
      <c r="J157">
        <f>- -64006</f>
        <v>64006</v>
      </c>
      <c r="K157">
        <v>167314</v>
      </c>
      <c r="L157">
        <v>2.9</v>
      </c>
      <c r="M157" t="s">
        <v>12</v>
      </c>
      <c r="N157" t="s">
        <v>53</v>
      </c>
      <c r="O157">
        <v>0</v>
      </c>
      <c r="P157" t="s">
        <v>13</v>
      </c>
      <c r="Q157">
        <v>471.5</v>
      </c>
      <c r="R157" t="s">
        <v>13</v>
      </c>
      <c r="S157">
        <v>65.5</v>
      </c>
      <c r="T157" t="s">
        <v>13</v>
      </c>
      <c r="U157" t="s">
        <v>14</v>
      </c>
      <c r="V157">
        <v>41</v>
      </c>
      <c r="W157">
        <v>0</v>
      </c>
      <c r="X157">
        <v>35.6</v>
      </c>
      <c r="Y157" t="s">
        <v>15</v>
      </c>
      <c r="Z157">
        <v>74</v>
      </c>
      <c r="AA157">
        <v>35</v>
      </c>
      <c r="AB157">
        <v>37.4</v>
      </c>
      <c r="AC157">
        <v>1032928</v>
      </c>
      <c r="AD157">
        <v>317.12</v>
      </c>
      <c r="AE157" t="s">
        <v>16</v>
      </c>
      <c r="AF157">
        <v>197.05</v>
      </c>
      <c r="AG157" t="s">
        <v>17</v>
      </c>
      <c r="AH157" t="s">
        <v>310</v>
      </c>
      <c r="AI157" t="s">
        <v>684</v>
      </c>
    </row>
    <row r="158" spans="2:35" x14ac:dyDescent="0.25">
      <c r="B158" s="2" t="s">
        <v>311</v>
      </c>
      <c r="C158" t="s">
        <v>5</v>
      </c>
      <c r="D158">
        <v>22</v>
      </c>
      <c r="E158" t="s">
        <v>20</v>
      </c>
      <c r="F158" t="s">
        <v>7</v>
      </c>
      <c r="G158" t="s">
        <v>654</v>
      </c>
      <c r="H158" t="s">
        <v>23</v>
      </c>
      <c r="I158" t="s">
        <v>10</v>
      </c>
      <c r="J158" t="s">
        <v>312</v>
      </c>
      <c r="K158">
        <v>29231</v>
      </c>
      <c r="L158">
        <v>0.6</v>
      </c>
      <c r="M158" t="s">
        <v>12</v>
      </c>
      <c r="N158" t="s">
        <v>53</v>
      </c>
      <c r="O158">
        <v>0</v>
      </c>
      <c r="P158" t="s">
        <v>13</v>
      </c>
      <c r="Q158">
        <v>213</v>
      </c>
      <c r="R158" t="s">
        <v>13</v>
      </c>
      <c r="S158">
        <v>208.1</v>
      </c>
      <c r="T158" t="s">
        <v>13</v>
      </c>
      <c r="U158" t="s">
        <v>14</v>
      </c>
      <c r="V158">
        <v>40</v>
      </c>
      <c r="W158">
        <v>44</v>
      </c>
      <c r="X158">
        <v>50.3</v>
      </c>
      <c r="Y158" t="s">
        <v>15</v>
      </c>
      <c r="Z158">
        <v>73</v>
      </c>
      <c r="AA158">
        <v>56</v>
      </c>
      <c r="AB158">
        <v>36.4</v>
      </c>
      <c r="AC158" t="s">
        <v>11</v>
      </c>
      <c r="AD158">
        <v>288.49</v>
      </c>
      <c r="AE158" t="s">
        <v>16</v>
      </c>
      <c r="AF158">
        <v>179.26</v>
      </c>
      <c r="AG158" t="s">
        <v>17</v>
      </c>
      <c r="AH158" t="s">
        <v>60</v>
      </c>
      <c r="AI158" t="s">
        <v>666</v>
      </c>
    </row>
    <row r="159" spans="2:35" x14ac:dyDescent="0.25">
      <c r="B159" s="2" t="s">
        <v>313</v>
      </c>
      <c r="C159" t="s">
        <v>5</v>
      </c>
      <c r="D159">
        <v>22</v>
      </c>
      <c r="E159" t="s">
        <v>20</v>
      </c>
      <c r="F159" t="s">
        <v>21</v>
      </c>
      <c r="G159" t="s">
        <v>314</v>
      </c>
      <c r="H159" t="s">
        <v>23</v>
      </c>
      <c r="I159" t="s">
        <v>10</v>
      </c>
      <c r="J159" t="s">
        <v>315</v>
      </c>
      <c r="K159">
        <v>167539</v>
      </c>
      <c r="L159">
        <v>1.55</v>
      </c>
      <c r="M159" t="s">
        <v>12</v>
      </c>
      <c r="O159">
        <v>0</v>
      </c>
      <c r="P159" t="s">
        <v>13</v>
      </c>
      <c r="Q159">
        <v>477</v>
      </c>
      <c r="R159" t="s">
        <v>13</v>
      </c>
      <c r="S159">
        <v>109</v>
      </c>
      <c r="T159" t="s">
        <v>13</v>
      </c>
      <c r="U159" t="s">
        <v>14</v>
      </c>
      <c r="V159">
        <v>43</v>
      </c>
      <c r="W159">
        <v>8</v>
      </c>
      <c r="X159">
        <v>38</v>
      </c>
      <c r="Y159" t="s">
        <v>15</v>
      </c>
      <c r="Z159">
        <v>75</v>
      </c>
      <c r="AA159">
        <v>10</v>
      </c>
      <c r="AB159">
        <v>39</v>
      </c>
      <c r="AC159">
        <v>1002470</v>
      </c>
      <c r="AD159">
        <v>332.88</v>
      </c>
      <c r="AE159" t="s">
        <v>16</v>
      </c>
      <c r="AF159">
        <v>206.84</v>
      </c>
      <c r="AG159" t="s">
        <v>17</v>
      </c>
      <c r="AH159" t="s">
        <v>316</v>
      </c>
      <c r="AI159" t="s">
        <v>728</v>
      </c>
    </row>
    <row r="160" spans="2:35" x14ac:dyDescent="0.25">
      <c r="B160" s="2" t="s">
        <v>317</v>
      </c>
      <c r="C160" t="s">
        <v>5</v>
      </c>
      <c r="D160">
        <v>22</v>
      </c>
      <c r="E160" t="s">
        <v>181</v>
      </c>
      <c r="F160" t="s">
        <v>21</v>
      </c>
      <c r="G160" t="s">
        <v>318</v>
      </c>
      <c r="H160" t="s">
        <v>23</v>
      </c>
      <c r="I160" t="s">
        <v>10</v>
      </c>
      <c r="J160">
        <f>- -1567</f>
        <v>1567</v>
      </c>
      <c r="K160">
        <v>30429</v>
      </c>
      <c r="L160">
        <v>15</v>
      </c>
      <c r="M160" t="s">
        <v>12</v>
      </c>
      <c r="N160" t="s">
        <v>53</v>
      </c>
      <c r="O160">
        <v>0</v>
      </c>
      <c r="P160" t="s">
        <v>13</v>
      </c>
      <c r="Q160">
        <v>977</v>
      </c>
      <c r="R160" t="s">
        <v>13</v>
      </c>
      <c r="S160">
        <v>87</v>
      </c>
      <c r="T160" t="s">
        <v>13</v>
      </c>
      <c r="U160" t="s">
        <v>14</v>
      </c>
      <c r="V160">
        <v>42</v>
      </c>
      <c r="W160">
        <v>5</v>
      </c>
      <c r="X160">
        <v>6</v>
      </c>
      <c r="Y160" t="s">
        <v>15</v>
      </c>
      <c r="Z160">
        <v>74</v>
      </c>
      <c r="AA160">
        <v>6</v>
      </c>
      <c r="AB160">
        <v>0</v>
      </c>
      <c r="AC160">
        <v>1018749</v>
      </c>
      <c r="AD160">
        <v>237.66</v>
      </c>
      <c r="AE160" t="s">
        <v>16</v>
      </c>
      <c r="AF160">
        <v>147.68</v>
      </c>
      <c r="AG160" t="s">
        <v>17</v>
      </c>
      <c r="AH160" t="s">
        <v>319</v>
      </c>
      <c r="AI160" t="s">
        <v>684</v>
      </c>
    </row>
    <row r="161" spans="2:35" x14ac:dyDescent="0.25">
      <c r="B161" s="2" t="s">
        <v>320</v>
      </c>
      <c r="C161" t="s">
        <v>5</v>
      </c>
      <c r="D161">
        <v>22</v>
      </c>
      <c r="E161" t="s">
        <v>6</v>
      </c>
      <c r="F161" t="s">
        <v>656</v>
      </c>
      <c r="G161" t="s">
        <v>71</v>
      </c>
      <c r="H161" t="s">
        <v>23</v>
      </c>
      <c r="I161" t="s">
        <v>10</v>
      </c>
      <c r="J161">
        <f>- -33782</f>
        <v>33782</v>
      </c>
      <c r="K161">
        <v>73264</v>
      </c>
      <c r="L161">
        <v>750</v>
      </c>
      <c r="M161" t="s">
        <v>12</v>
      </c>
      <c r="O161">
        <v>426</v>
      </c>
      <c r="P161" t="s">
        <v>13</v>
      </c>
      <c r="Q161">
        <v>681.8</v>
      </c>
      <c r="R161" t="s">
        <v>13</v>
      </c>
      <c r="S161">
        <v>139</v>
      </c>
      <c r="T161" t="s">
        <v>13</v>
      </c>
      <c r="U161" t="s">
        <v>14</v>
      </c>
      <c r="V161">
        <v>42</v>
      </c>
      <c r="W161">
        <v>37</v>
      </c>
      <c r="X161">
        <v>31.3</v>
      </c>
      <c r="Y161" t="s">
        <v>15</v>
      </c>
      <c r="Z161">
        <v>74</v>
      </c>
      <c r="AA161">
        <v>0</v>
      </c>
      <c r="AB161">
        <v>36.700000000000003</v>
      </c>
      <c r="AC161">
        <v>1231728</v>
      </c>
      <c r="AD161">
        <v>228.8</v>
      </c>
      <c r="AE161" t="s">
        <v>16</v>
      </c>
      <c r="AF161">
        <v>142.16999999999999</v>
      </c>
      <c r="AG161" t="s">
        <v>17</v>
      </c>
      <c r="AH161" t="s">
        <v>73</v>
      </c>
      <c r="AI161" t="s">
        <v>729</v>
      </c>
    </row>
    <row r="162" spans="2:35" x14ac:dyDescent="0.25">
      <c r="B162" s="2" t="s">
        <v>286</v>
      </c>
      <c r="C162" t="s">
        <v>5</v>
      </c>
      <c r="D162">
        <v>22</v>
      </c>
      <c r="E162" t="s">
        <v>6</v>
      </c>
      <c r="F162" t="s">
        <v>21</v>
      </c>
      <c r="G162" t="s">
        <v>100</v>
      </c>
      <c r="H162" t="s">
        <v>101</v>
      </c>
      <c r="I162" t="s">
        <v>10</v>
      </c>
      <c r="J162">
        <f>- -1666</f>
        <v>1666</v>
      </c>
      <c r="K162">
        <v>46728</v>
      </c>
      <c r="L162">
        <v>443</v>
      </c>
      <c r="M162" t="s">
        <v>12</v>
      </c>
      <c r="O162">
        <v>845</v>
      </c>
      <c r="P162" t="s">
        <v>13</v>
      </c>
      <c r="Q162">
        <v>1270</v>
      </c>
      <c r="R162" t="s">
        <v>13</v>
      </c>
      <c r="S162">
        <v>46</v>
      </c>
      <c r="T162" t="s">
        <v>13</v>
      </c>
      <c r="U162" t="s">
        <v>14</v>
      </c>
      <c r="V162">
        <v>44</v>
      </c>
      <c r="W162">
        <v>31</v>
      </c>
      <c r="X162">
        <v>32.6</v>
      </c>
      <c r="Y162" t="s">
        <v>15</v>
      </c>
      <c r="Z162">
        <v>72</v>
      </c>
      <c r="AA162">
        <v>48</v>
      </c>
      <c r="AB162">
        <v>56.1</v>
      </c>
      <c r="AC162" t="s">
        <v>11</v>
      </c>
      <c r="AD162">
        <v>270.64</v>
      </c>
      <c r="AE162" t="s">
        <v>16</v>
      </c>
      <c r="AF162">
        <v>168.17</v>
      </c>
      <c r="AG162" t="s">
        <v>17</v>
      </c>
      <c r="AH162" t="s">
        <v>190</v>
      </c>
      <c r="AI162" t="s">
        <v>721</v>
      </c>
    </row>
    <row r="163" spans="2:35" x14ac:dyDescent="0.25">
      <c r="B163" s="2" t="s">
        <v>321</v>
      </c>
      <c r="C163" t="s">
        <v>5</v>
      </c>
      <c r="D163">
        <v>23</v>
      </c>
      <c r="E163" t="s">
        <v>20</v>
      </c>
      <c r="F163" t="s">
        <v>7</v>
      </c>
      <c r="G163" t="s">
        <v>322</v>
      </c>
      <c r="H163" t="s">
        <v>9</v>
      </c>
      <c r="I163" t="s">
        <v>10</v>
      </c>
      <c r="J163" t="s">
        <v>323</v>
      </c>
      <c r="K163">
        <v>186269</v>
      </c>
      <c r="L163">
        <v>1.5</v>
      </c>
      <c r="M163" t="s">
        <v>12</v>
      </c>
      <c r="N163" t="s">
        <v>53</v>
      </c>
      <c r="O163">
        <v>0</v>
      </c>
      <c r="P163" t="s">
        <v>13</v>
      </c>
      <c r="Q163">
        <v>223.1</v>
      </c>
      <c r="R163" t="s">
        <v>13</v>
      </c>
      <c r="S163">
        <v>25</v>
      </c>
      <c r="T163" t="s">
        <v>13</v>
      </c>
      <c r="U163" t="s">
        <v>14</v>
      </c>
      <c r="V163">
        <v>45</v>
      </c>
      <c r="W163">
        <v>20</v>
      </c>
      <c r="X163">
        <v>45.2</v>
      </c>
      <c r="Y163" t="s">
        <v>15</v>
      </c>
      <c r="Z163">
        <v>68</v>
      </c>
      <c r="AA163">
        <v>30</v>
      </c>
      <c r="AB163">
        <v>30.1</v>
      </c>
      <c r="AC163">
        <v>1022136</v>
      </c>
      <c r="AD163">
        <v>396.88</v>
      </c>
      <c r="AE163" t="s">
        <v>16</v>
      </c>
      <c r="AF163">
        <v>246.61</v>
      </c>
      <c r="AG163" t="s">
        <v>17</v>
      </c>
      <c r="AH163" t="s">
        <v>324</v>
      </c>
      <c r="AI163" t="s">
        <v>702</v>
      </c>
    </row>
    <row r="164" spans="2:35" x14ac:dyDescent="0.25">
      <c r="B164" s="2" t="s">
        <v>325</v>
      </c>
      <c r="C164" t="s">
        <v>5</v>
      </c>
      <c r="D164">
        <v>23</v>
      </c>
      <c r="E164" t="s">
        <v>6</v>
      </c>
      <c r="F164" t="s">
        <v>656</v>
      </c>
      <c r="G164" t="s">
        <v>326</v>
      </c>
      <c r="H164" t="s">
        <v>45</v>
      </c>
      <c r="I164" t="s">
        <v>10</v>
      </c>
      <c r="J164">
        <f>- -34358</f>
        <v>34358</v>
      </c>
      <c r="K164">
        <v>69328</v>
      </c>
      <c r="L164">
        <v>943</v>
      </c>
      <c r="M164" t="s">
        <v>12</v>
      </c>
      <c r="N164" t="s">
        <v>53</v>
      </c>
      <c r="O164">
        <v>381.9</v>
      </c>
      <c r="P164" t="s">
        <v>13</v>
      </c>
      <c r="Q164">
        <v>734.8</v>
      </c>
      <c r="R164" t="s">
        <v>13</v>
      </c>
      <c r="S164">
        <v>128.6</v>
      </c>
      <c r="T164" t="s">
        <v>13</v>
      </c>
      <c r="U164" t="s">
        <v>14</v>
      </c>
      <c r="V164">
        <v>44</v>
      </c>
      <c r="W164">
        <v>21</v>
      </c>
      <c r="X164">
        <v>10.9</v>
      </c>
      <c r="Y164" t="s">
        <v>15</v>
      </c>
      <c r="Z164">
        <v>71</v>
      </c>
      <c r="AA164">
        <v>44</v>
      </c>
      <c r="AB164">
        <v>14.9</v>
      </c>
      <c r="AC164">
        <v>1034698</v>
      </c>
      <c r="AD164">
        <v>223.4</v>
      </c>
      <c r="AE164" t="s">
        <v>16</v>
      </c>
      <c r="AF164">
        <v>138.82</v>
      </c>
      <c r="AG164" t="s">
        <v>17</v>
      </c>
      <c r="AH164" t="s">
        <v>327</v>
      </c>
      <c r="AI164" t="s">
        <v>692</v>
      </c>
    </row>
    <row r="165" spans="2:35" x14ac:dyDescent="0.25">
      <c r="B165" s="2" t="s">
        <v>306</v>
      </c>
      <c r="C165" t="s">
        <v>5</v>
      </c>
      <c r="D165">
        <v>23</v>
      </c>
      <c r="E165" t="s">
        <v>181</v>
      </c>
      <c r="F165" t="s">
        <v>21</v>
      </c>
      <c r="G165" t="s">
        <v>307</v>
      </c>
      <c r="H165" t="s">
        <v>31</v>
      </c>
      <c r="I165" t="s">
        <v>10</v>
      </c>
      <c r="J165" t="s">
        <v>328</v>
      </c>
      <c r="K165">
        <v>168834</v>
      </c>
      <c r="L165">
        <v>7</v>
      </c>
      <c r="M165" t="s">
        <v>12</v>
      </c>
      <c r="N165" t="s">
        <v>53</v>
      </c>
      <c r="O165">
        <v>0</v>
      </c>
      <c r="P165" t="s">
        <v>13</v>
      </c>
      <c r="Q165">
        <v>313.5</v>
      </c>
      <c r="R165" t="s">
        <v>13</v>
      </c>
      <c r="S165">
        <v>298</v>
      </c>
      <c r="T165" t="s">
        <v>13</v>
      </c>
      <c r="U165" t="s">
        <v>14</v>
      </c>
      <c r="V165">
        <v>40</v>
      </c>
      <c r="W165">
        <v>44</v>
      </c>
      <c r="X165">
        <v>54.3</v>
      </c>
      <c r="Y165" t="s">
        <v>15</v>
      </c>
      <c r="Z165">
        <v>73</v>
      </c>
      <c r="AA165">
        <v>59</v>
      </c>
      <c r="AB165">
        <v>8.5</v>
      </c>
      <c r="AC165" t="s">
        <v>11</v>
      </c>
      <c r="AD165">
        <v>291.16000000000003</v>
      </c>
      <c r="AE165" t="s">
        <v>16</v>
      </c>
      <c r="AF165">
        <v>180.92</v>
      </c>
      <c r="AG165" t="s">
        <v>17</v>
      </c>
      <c r="AH165" t="s">
        <v>50</v>
      </c>
      <c r="AI165" t="s">
        <v>727</v>
      </c>
    </row>
    <row r="166" spans="2:35" x14ac:dyDescent="0.25">
      <c r="B166" s="2" t="s">
        <v>329</v>
      </c>
      <c r="C166" t="s">
        <v>5</v>
      </c>
      <c r="D166">
        <v>23</v>
      </c>
      <c r="E166" t="s">
        <v>6</v>
      </c>
      <c r="F166" t="s">
        <v>7</v>
      </c>
      <c r="G166" t="s">
        <v>330</v>
      </c>
      <c r="H166" t="s">
        <v>23</v>
      </c>
      <c r="I166" t="s">
        <v>10</v>
      </c>
      <c r="J166">
        <f>- -34447</f>
        <v>34447</v>
      </c>
      <c r="K166">
        <v>67993</v>
      </c>
      <c r="L166">
        <v>7</v>
      </c>
      <c r="M166" t="s">
        <v>12</v>
      </c>
      <c r="N166" t="s">
        <v>53</v>
      </c>
      <c r="O166">
        <v>0</v>
      </c>
      <c r="P166" t="s">
        <v>13</v>
      </c>
      <c r="Q166">
        <v>313.5</v>
      </c>
      <c r="R166" t="s">
        <v>13</v>
      </c>
      <c r="S166">
        <v>298</v>
      </c>
      <c r="T166" t="s">
        <v>13</v>
      </c>
      <c r="U166" t="s">
        <v>14</v>
      </c>
      <c r="V166">
        <v>40</v>
      </c>
      <c r="W166">
        <v>44</v>
      </c>
      <c r="X166">
        <v>54.3</v>
      </c>
      <c r="Y166" t="s">
        <v>15</v>
      </c>
      <c r="Z166">
        <v>73</v>
      </c>
      <c r="AA166">
        <v>59</v>
      </c>
      <c r="AB166">
        <v>8.5</v>
      </c>
      <c r="AC166" t="s">
        <v>11</v>
      </c>
      <c r="AD166">
        <v>291.16000000000003</v>
      </c>
      <c r="AE166" t="s">
        <v>16</v>
      </c>
      <c r="AF166">
        <v>180.92</v>
      </c>
      <c r="AG166" t="s">
        <v>17</v>
      </c>
      <c r="AH166" t="s">
        <v>50</v>
      </c>
      <c r="AI166" t="s">
        <v>730</v>
      </c>
    </row>
    <row r="167" spans="2:35" x14ac:dyDescent="0.25">
      <c r="B167" s="2" t="s">
        <v>306</v>
      </c>
      <c r="C167" t="s">
        <v>5</v>
      </c>
      <c r="D167">
        <v>23</v>
      </c>
      <c r="E167" t="s">
        <v>181</v>
      </c>
      <c r="F167" t="s">
        <v>7</v>
      </c>
      <c r="G167" t="s">
        <v>307</v>
      </c>
      <c r="H167" t="s">
        <v>31</v>
      </c>
      <c r="I167" t="s">
        <v>10</v>
      </c>
      <c r="J167">
        <f>- -34577</f>
        <v>34577</v>
      </c>
      <c r="K167">
        <v>168834</v>
      </c>
      <c r="L167">
        <v>7</v>
      </c>
      <c r="M167" t="s">
        <v>12</v>
      </c>
      <c r="N167" t="s">
        <v>53</v>
      </c>
      <c r="O167">
        <v>0</v>
      </c>
      <c r="P167" t="s">
        <v>13</v>
      </c>
      <c r="Q167">
        <v>313.5</v>
      </c>
      <c r="R167" t="s">
        <v>13</v>
      </c>
      <c r="S167">
        <v>298</v>
      </c>
      <c r="T167" t="s">
        <v>13</v>
      </c>
      <c r="U167" t="s">
        <v>14</v>
      </c>
      <c r="V167">
        <v>40</v>
      </c>
      <c r="W167">
        <v>44</v>
      </c>
      <c r="X167">
        <v>54.3</v>
      </c>
      <c r="Y167" t="s">
        <v>15</v>
      </c>
      <c r="Z167">
        <v>73</v>
      </c>
      <c r="AA167">
        <v>59</v>
      </c>
      <c r="AB167">
        <v>8.5</v>
      </c>
      <c r="AC167" t="s">
        <v>11</v>
      </c>
      <c r="AD167">
        <v>291.16000000000003</v>
      </c>
      <c r="AE167" t="s">
        <v>16</v>
      </c>
      <c r="AF167">
        <v>180.92</v>
      </c>
      <c r="AG167" t="s">
        <v>17</v>
      </c>
      <c r="AH167" t="s">
        <v>50</v>
      </c>
      <c r="AI167" t="s">
        <v>727</v>
      </c>
    </row>
    <row r="168" spans="2:35" x14ac:dyDescent="0.25">
      <c r="B168" s="2" t="s">
        <v>331</v>
      </c>
      <c r="C168" t="s">
        <v>5</v>
      </c>
      <c r="D168">
        <v>23</v>
      </c>
      <c r="E168" t="s">
        <v>20</v>
      </c>
      <c r="F168" t="s">
        <v>7</v>
      </c>
      <c r="G168" t="s">
        <v>332</v>
      </c>
      <c r="H168" t="s">
        <v>31</v>
      </c>
      <c r="I168" t="s">
        <v>10</v>
      </c>
      <c r="J168">
        <f>- -54508</f>
        <v>54508</v>
      </c>
      <c r="K168">
        <v>48466</v>
      </c>
      <c r="L168">
        <v>3.87</v>
      </c>
      <c r="M168" t="s">
        <v>12</v>
      </c>
      <c r="N168" t="s">
        <v>53</v>
      </c>
      <c r="O168">
        <v>0</v>
      </c>
      <c r="P168" t="s">
        <v>13</v>
      </c>
      <c r="Q168">
        <v>448</v>
      </c>
      <c r="R168" t="s">
        <v>13</v>
      </c>
      <c r="S168">
        <v>52</v>
      </c>
      <c r="T168" t="s">
        <v>13</v>
      </c>
      <c r="U168" t="s">
        <v>14</v>
      </c>
      <c r="V168">
        <v>41</v>
      </c>
      <c r="W168">
        <v>8</v>
      </c>
      <c r="X168">
        <v>37</v>
      </c>
      <c r="Y168" t="s">
        <v>15</v>
      </c>
      <c r="Z168">
        <v>74</v>
      </c>
      <c r="AA168">
        <v>32</v>
      </c>
      <c r="AB168">
        <v>17</v>
      </c>
      <c r="AC168">
        <v>1045122</v>
      </c>
      <c r="AD168">
        <v>305.89</v>
      </c>
      <c r="AE168" t="s">
        <v>16</v>
      </c>
      <c r="AF168">
        <v>190.07</v>
      </c>
      <c r="AG168" t="s">
        <v>17</v>
      </c>
      <c r="AH168" t="s">
        <v>333</v>
      </c>
      <c r="AI168" t="s">
        <v>680</v>
      </c>
    </row>
    <row r="169" spans="2:35" x14ac:dyDescent="0.25">
      <c r="B169" s="2" t="s">
        <v>334</v>
      </c>
      <c r="C169" t="s">
        <v>5</v>
      </c>
      <c r="D169">
        <v>23</v>
      </c>
      <c r="E169" t="s">
        <v>20</v>
      </c>
      <c r="F169" t="s">
        <v>74</v>
      </c>
      <c r="G169" t="s">
        <v>731</v>
      </c>
      <c r="H169" t="s">
        <v>31</v>
      </c>
      <c r="I169" t="s">
        <v>10</v>
      </c>
      <c r="J169">
        <f>- -54811</f>
        <v>54811</v>
      </c>
      <c r="K169">
        <v>130475</v>
      </c>
      <c r="L169">
        <v>0.48</v>
      </c>
      <c r="M169" t="s">
        <v>12</v>
      </c>
      <c r="N169" t="s">
        <v>53</v>
      </c>
      <c r="O169">
        <v>0</v>
      </c>
      <c r="P169" t="s">
        <v>13</v>
      </c>
      <c r="Q169">
        <v>275</v>
      </c>
      <c r="R169" t="s">
        <v>13</v>
      </c>
      <c r="S169">
        <v>265.60000000000002</v>
      </c>
      <c r="T169" t="s">
        <v>13</v>
      </c>
      <c r="U169" t="s">
        <v>14</v>
      </c>
      <c r="V169">
        <v>40</v>
      </c>
      <c r="W169">
        <v>45</v>
      </c>
      <c r="X169">
        <v>8.1</v>
      </c>
      <c r="Y169" t="s">
        <v>15</v>
      </c>
      <c r="Z169">
        <v>73</v>
      </c>
      <c r="AA169">
        <v>58</v>
      </c>
      <c r="AB169">
        <v>2.1</v>
      </c>
      <c r="AC169">
        <v>1268297</v>
      </c>
      <c r="AD169">
        <v>289.69</v>
      </c>
      <c r="AE169" t="s">
        <v>16</v>
      </c>
      <c r="AF169">
        <v>180</v>
      </c>
      <c r="AG169" t="s">
        <v>17</v>
      </c>
      <c r="AH169" t="s">
        <v>25</v>
      </c>
      <c r="AI169" t="s">
        <v>684</v>
      </c>
    </row>
    <row r="170" spans="2:35" x14ac:dyDescent="0.25">
      <c r="B170" s="2" t="s">
        <v>335</v>
      </c>
      <c r="C170" t="s">
        <v>5</v>
      </c>
      <c r="D170">
        <v>23</v>
      </c>
      <c r="E170" t="s">
        <v>6</v>
      </c>
      <c r="F170" t="s">
        <v>21</v>
      </c>
      <c r="G170" t="s">
        <v>336</v>
      </c>
      <c r="H170" t="s">
        <v>23</v>
      </c>
      <c r="I170" t="s">
        <v>10</v>
      </c>
      <c r="J170" t="s">
        <v>337</v>
      </c>
      <c r="K170">
        <v>62137</v>
      </c>
      <c r="L170">
        <v>40</v>
      </c>
      <c r="M170" t="s">
        <v>12</v>
      </c>
      <c r="O170">
        <v>241.6</v>
      </c>
      <c r="P170" t="s">
        <v>13</v>
      </c>
      <c r="Q170">
        <v>596.6</v>
      </c>
      <c r="R170" t="s">
        <v>13</v>
      </c>
      <c r="S170">
        <v>220.6</v>
      </c>
      <c r="T170" t="s">
        <v>13</v>
      </c>
      <c r="U170" t="s">
        <v>14</v>
      </c>
      <c r="V170">
        <v>44</v>
      </c>
      <c r="W170">
        <v>29</v>
      </c>
      <c r="X170">
        <v>29</v>
      </c>
      <c r="Y170" t="s">
        <v>15</v>
      </c>
      <c r="Z170">
        <v>74</v>
      </c>
      <c r="AA170">
        <v>51</v>
      </c>
      <c r="AB170">
        <v>26</v>
      </c>
      <c r="AC170">
        <v>1004169</v>
      </c>
      <c r="AD170">
        <v>375.17</v>
      </c>
      <c r="AE170" t="s">
        <v>16</v>
      </c>
      <c r="AF170">
        <v>233.12</v>
      </c>
      <c r="AG170" t="s">
        <v>17</v>
      </c>
      <c r="AH170" t="s">
        <v>338</v>
      </c>
      <c r="AI170" t="s">
        <v>732</v>
      </c>
    </row>
    <row r="171" spans="2:35" x14ac:dyDescent="0.25">
      <c r="B171" s="2" t="s">
        <v>339</v>
      </c>
      <c r="C171" t="s">
        <v>5</v>
      </c>
      <c r="D171">
        <v>23</v>
      </c>
      <c r="E171" t="s">
        <v>6</v>
      </c>
      <c r="F171" t="s">
        <v>21</v>
      </c>
      <c r="G171" t="s">
        <v>340</v>
      </c>
      <c r="H171" t="s">
        <v>23</v>
      </c>
      <c r="I171" t="s">
        <v>10</v>
      </c>
      <c r="J171" t="s">
        <v>341</v>
      </c>
      <c r="K171">
        <v>60553</v>
      </c>
      <c r="L171">
        <v>655</v>
      </c>
      <c r="M171" t="s">
        <v>12</v>
      </c>
      <c r="N171" t="s">
        <v>53</v>
      </c>
      <c r="O171">
        <v>219</v>
      </c>
      <c r="P171" t="s">
        <v>13</v>
      </c>
      <c r="Q171">
        <v>243</v>
      </c>
      <c r="R171" t="s">
        <v>13</v>
      </c>
      <c r="S171">
        <v>200</v>
      </c>
      <c r="T171" t="s">
        <v>13</v>
      </c>
      <c r="U171" t="s">
        <v>14</v>
      </c>
      <c r="V171">
        <v>40</v>
      </c>
      <c r="W171">
        <v>53</v>
      </c>
      <c r="X171">
        <v>23</v>
      </c>
      <c r="Y171" t="s">
        <v>15</v>
      </c>
      <c r="Z171">
        <v>72</v>
      </c>
      <c r="AA171">
        <v>57</v>
      </c>
      <c r="AB171">
        <v>11</v>
      </c>
      <c r="AC171">
        <v>1007666</v>
      </c>
      <c r="AD171">
        <v>217.67</v>
      </c>
      <c r="AE171" t="s">
        <v>16</v>
      </c>
      <c r="AF171">
        <v>135.25</v>
      </c>
      <c r="AG171" t="s">
        <v>17</v>
      </c>
      <c r="AH171" t="s">
        <v>342</v>
      </c>
      <c r="AI171" t="s">
        <v>733</v>
      </c>
    </row>
    <row r="172" spans="2:35" x14ac:dyDescent="0.25">
      <c r="B172" s="2" t="s">
        <v>343</v>
      </c>
      <c r="C172" t="s">
        <v>5</v>
      </c>
      <c r="D172">
        <v>23</v>
      </c>
      <c r="E172" t="s">
        <v>20</v>
      </c>
      <c r="F172" t="s">
        <v>21</v>
      </c>
      <c r="G172" t="s">
        <v>344</v>
      </c>
      <c r="H172" t="s">
        <v>23</v>
      </c>
      <c r="I172" t="s">
        <v>10</v>
      </c>
      <c r="J172">
        <f>- -35004</f>
        <v>35004</v>
      </c>
      <c r="K172">
        <v>6762</v>
      </c>
      <c r="L172">
        <v>15</v>
      </c>
      <c r="M172" t="s">
        <v>12</v>
      </c>
      <c r="N172" t="s">
        <v>53</v>
      </c>
      <c r="O172">
        <v>0</v>
      </c>
      <c r="P172" t="s">
        <v>13</v>
      </c>
      <c r="Q172">
        <v>451.3</v>
      </c>
      <c r="R172" t="s">
        <v>13</v>
      </c>
      <c r="S172">
        <v>20</v>
      </c>
      <c r="T172" t="s">
        <v>13</v>
      </c>
      <c r="U172" t="s">
        <v>14</v>
      </c>
      <c r="V172">
        <v>43</v>
      </c>
      <c r="W172">
        <v>1</v>
      </c>
      <c r="X172">
        <v>12.2</v>
      </c>
      <c r="Y172" t="s">
        <v>15</v>
      </c>
      <c r="Z172">
        <v>73</v>
      </c>
      <c r="AA172">
        <v>31</v>
      </c>
      <c r="AB172">
        <v>26.4</v>
      </c>
      <c r="AC172">
        <v>1211139</v>
      </c>
      <c r="AD172">
        <v>199.86</v>
      </c>
      <c r="AE172" t="s">
        <v>16</v>
      </c>
      <c r="AF172">
        <v>124.19</v>
      </c>
      <c r="AG172" t="s">
        <v>17</v>
      </c>
      <c r="AH172" t="s">
        <v>345</v>
      </c>
      <c r="AI172" t="s">
        <v>734</v>
      </c>
    </row>
    <row r="173" spans="2:35" x14ac:dyDescent="0.25">
      <c r="B173" s="2" t="s">
        <v>311</v>
      </c>
      <c r="C173" t="s">
        <v>5</v>
      </c>
      <c r="D173">
        <v>23</v>
      </c>
      <c r="E173" t="s">
        <v>20</v>
      </c>
      <c r="F173" t="s">
        <v>74</v>
      </c>
      <c r="G173" t="s">
        <v>654</v>
      </c>
      <c r="H173" t="s">
        <v>23</v>
      </c>
      <c r="I173" t="s">
        <v>10</v>
      </c>
      <c r="J173">
        <f>- -53900</f>
        <v>53900</v>
      </c>
      <c r="K173">
        <v>29231</v>
      </c>
      <c r="L173">
        <v>15</v>
      </c>
      <c r="M173" t="s">
        <v>12</v>
      </c>
      <c r="N173" t="s">
        <v>53</v>
      </c>
      <c r="O173">
        <v>0</v>
      </c>
      <c r="P173" t="s">
        <v>13</v>
      </c>
      <c r="Q173">
        <v>213</v>
      </c>
      <c r="R173" t="s">
        <v>13</v>
      </c>
      <c r="S173">
        <v>208.1</v>
      </c>
      <c r="T173" t="s">
        <v>13</v>
      </c>
      <c r="U173" t="s">
        <v>14</v>
      </c>
      <c r="V173">
        <v>40</v>
      </c>
      <c r="W173">
        <v>44</v>
      </c>
      <c r="X173">
        <v>50.3</v>
      </c>
      <c r="Y173" t="s">
        <v>15</v>
      </c>
      <c r="Z173">
        <v>73</v>
      </c>
      <c r="AA173">
        <v>56</v>
      </c>
      <c r="AB173">
        <v>36.4</v>
      </c>
      <c r="AC173" t="s">
        <v>11</v>
      </c>
      <c r="AD173">
        <v>288.49</v>
      </c>
      <c r="AE173" t="s">
        <v>16</v>
      </c>
      <c r="AF173">
        <v>179.26</v>
      </c>
      <c r="AG173" t="s">
        <v>17</v>
      </c>
      <c r="AH173" t="s">
        <v>60</v>
      </c>
      <c r="AI173" t="s">
        <v>666</v>
      </c>
    </row>
    <row r="174" spans="2:35" x14ac:dyDescent="0.25">
      <c r="B174" s="2" t="s">
        <v>346</v>
      </c>
      <c r="C174" t="s">
        <v>5</v>
      </c>
      <c r="D174">
        <v>23</v>
      </c>
      <c r="E174" t="s">
        <v>20</v>
      </c>
      <c r="F174" t="s">
        <v>21</v>
      </c>
      <c r="G174" t="s">
        <v>330</v>
      </c>
      <c r="H174" t="s">
        <v>23</v>
      </c>
      <c r="I174" t="s">
        <v>10</v>
      </c>
      <c r="J174">
        <f>- -68283</f>
        <v>68283</v>
      </c>
      <c r="K174">
        <v>17770</v>
      </c>
      <c r="L174">
        <v>11</v>
      </c>
      <c r="M174" t="s">
        <v>12</v>
      </c>
      <c r="N174" t="s">
        <v>53</v>
      </c>
      <c r="O174">
        <v>269.39999999999998</v>
      </c>
      <c r="P174" t="s">
        <v>13</v>
      </c>
      <c r="Q174">
        <v>450</v>
      </c>
      <c r="R174" t="s">
        <v>13</v>
      </c>
      <c r="S174">
        <v>114.1</v>
      </c>
      <c r="T174" t="s">
        <v>13</v>
      </c>
      <c r="U174" t="s">
        <v>14</v>
      </c>
      <c r="V174">
        <v>41</v>
      </c>
      <c r="W174">
        <v>43</v>
      </c>
      <c r="X174">
        <v>7.5</v>
      </c>
      <c r="Y174" t="s">
        <v>15</v>
      </c>
      <c r="Z174">
        <v>73</v>
      </c>
      <c r="AA174">
        <v>59</v>
      </c>
      <c r="AB174">
        <v>45.4</v>
      </c>
      <c r="AC174">
        <v>1061739</v>
      </c>
      <c r="AD174">
        <v>238.91</v>
      </c>
      <c r="AE174" t="s">
        <v>16</v>
      </c>
      <c r="AF174">
        <v>148.44999999999999</v>
      </c>
      <c r="AG174" t="s">
        <v>17</v>
      </c>
      <c r="AH174" t="s">
        <v>347</v>
      </c>
      <c r="AI174" t="s">
        <v>735</v>
      </c>
    </row>
    <row r="175" spans="2:35" x14ac:dyDescent="0.25">
      <c r="B175" s="2" t="s">
        <v>283</v>
      </c>
      <c r="C175" t="s">
        <v>5</v>
      </c>
      <c r="D175">
        <v>23</v>
      </c>
      <c r="E175" t="s">
        <v>20</v>
      </c>
      <c r="F175" t="s">
        <v>7</v>
      </c>
      <c r="G175" t="s">
        <v>130</v>
      </c>
      <c r="H175" t="s">
        <v>101</v>
      </c>
      <c r="I175" t="s">
        <v>10</v>
      </c>
      <c r="J175">
        <f>- -53964</f>
        <v>53964</v>
      </c>
      <c r="K175">
        <v>46727</v>
      </c>
      <c r="L175">
        <v>0.69</v>
      </c>
      <c r="M175" t="s">
        <v>12</v>
      </c>
      <c r="O175">
        <v>0</v>
      </c>
      <c r="P175" t="s">
        <v>13</v>
      </c>
      <c r="Q175">
        <v>450.6</v>
      </c>
      <c r="R175" t="s">
        <v>13</v>
      </c>
      <c r="S175">
        <v>57.4</v>
      </c>
      <c r="T175" t="s">
        <v>13</v>
      </c>
      <c r="U175" t="s">
        <v>14</v>
      </c>
      <c r="V175">
        <v>43</v>
      </c>
      <c r="W175">
        <v>34</v>
      </c>
      <c r="X175">
        <v>4</v>
      </c>
      <c r="Y175" t="s">
        <v>15</v>
      </c>
      <c r="Z175">
        <v>73</v>
      </c>
      <c r="AA175">
        <v>0</v>
      </c>
      <c r="AB175">
        <v>30</v>
      </c>
      <c r="AC175">
        <v>1040762</v>
      </c>
      <c r="AD175">
        <v>195.49</v>
      </c>
      <c r="AE175" t="s">
        <v>16</v>
      </c>
      <c r="AF175">
        <v>121.47</v>
      </c>
      <c r="AG175" t="s">
        <v>17</v>
      </c>
      <c r="AH175" t="s">
        <v>285</v>
      </c>
      <c r="AI175" t="s">
        <v>721</v>
      </c>
    </row>
    <row r="176" spans="2:35" x14ac:dyDescent="0.25">
      <c r="B176" s="2" t="s">
        <v>349</v>
      </c>
      <c r="C176" t="s">
        <v>5</v>
      </c>
      <c r="D176">
        <v>24</v>
      </c>
      <c r="E176" t="s">
        <v>6</v>
      </c>
      <c r="F176" t="s">
        <v>656</v>
      </c>
      <c r="G176" t="s">
        <v>705</v>
      </c>
      <c r="H176" t="s">
        <v>41</v>
      </c>
      <c r="I176" t="s">
        <v>10</v>
      </c>
      <c r="J176">
        <f>- -34491</f>
        <v>34491</v>
      </c>
      <c r="K176">
        <v>22591</v>
      </c>
      <c r="L176">
        <v>465</v>
      </c>
      <c r="M176" t="s">
        <v>12</v>
      </c>
      <c r="O176">
        <v>302</v>
      </c>
      <c r="P176" t="s">
        <v>13</v>
      </c>
      <c r="Q176">
        <v>331</v>
      </c>
      <c r="R176" t="s">
        <v>13</v>
      </c>
      <c r="S176">
        <v>270.7</v>
      </c>
      <c r="T176" t="s">
        <v>13</v>
      </c>
      <c r="U176" t="s">
        <v>14</v>
      </c>
      <c r="V176">
        <v>41</v>
      </c>
      <c r="W176">
        <v>51</v>
      </c>
      <c r="X176">
        <v>55.4</v>
      </c>
      <c r="Y176" t="s">
        <v>15</v>
      </c>
      <c r="Z176">
        <v>71</v>
      </c>
      <c r="AA176">
        <v>17</v>
      </c>
      <c r="AB176">
        <v>12.7</v>
      </c>
      <c r="AC176">
        <v>1005123</v>
      </c>
      <c r="AD176">
        <v>56.61</v>
      </c>
      <c r="AE176" t="s">
        <v>16</v>
      </c>
      <c r="AF176">
        <v>35.18</v>
      </c>
      <c r="AG176" t="s">
        <v>17</v>
      </c>
      <c r="AH176" t="s">
        <v>29</v>
      </c>
      <c r="AI176" t="s">
        <v>736</v>
      </c>
    </row>
    <row r="177" spans="2:35" x14ac:dyDescent="0.25">
      <c r="B177" s="2" t="s">
        <v>255</v>
      </c>
      <c r="C177" t="s">
        <v>5</v>
      </c>
      <c r="D177">
        <v>24</v>
      </c>
      <c r="E177" t="s">
        <v>181</v>
      </c>
      <c r="F177" t="s">
        <v>7</v>
      </c>
      <c r="G177" t="s">
        <v>40</v>
      </c>
      <c r="H177" t="s">
        <v>41</v>
      </c>
      <c r="I177" t="s">
        <v>10</v>
      </c>
      <c r="J177">
        <f>- -2067</f>
        <v>2067</v>
      </c>
      <c r="K177">
        <v>64833</v>
      </c>
      <c r="L177">
        <v>15</v>
      </c>
      <c r="M177" t="s">
        <v>12</v>
      </c>
      <c r="N177" t="s">
        <v>53</v>
      </c>
      <c r="O177">
        <v>0</v>
      </c>
      <c r="P177" t="s">
        <v>13</v>
      </c>
      <c r="Q177">
        <v>291.60000000000002</v>
      </c>
      <c r="R177" t="s">
        <v>13</v>
      </c>
      <c r="S177">
        <v>263</v>
      </c>
      <c r="T177" t="s">
        <v>13</v>
      </c>
      <c r="U177" t="s">
        <v>14</v>
      </c>
      <c r="V177">
        <v>42</v>
      </c>
      <c r="W177">
        <v>18</v>
      </c>
      <c r="X177">
        <v>27.8</v>
      </c>
      <c r="Y177" t="s">
        <v>15</v>
      </c>
      <c r="Z177">
        <v>71</v>
      </c>
      <c r="AA177">
        <v>13</v>
      </c>
      <c r="AB177">
        <v>24.9</v>
      </c>
      <c r="AC177">
        <v>1004623</v>
      </c>
      <c r="AD177">
        <v>7.64</v>
      </c>
      <c r="AE177" t="s">
        <v>16</v>
      </c>
      <c r="AF177">
        <v>4.75</v>
      </c>
      <c r="AG177" t="s">
        <v>17</v>
      </c>
      <c r="AH177" t="s">
        <v>238</v>
      </c>
      <c r="AI177" t="s">
        <v>696</v>
      </c>
    </row>
    <row r="178" spans="2:35" x14ac:dyDescent="0.25">
      <c r="B178" s="2" t="s">
        <v>142</v>
      </c>
      <c r="C178" t="s">
        <v>5</v>
      </c>
      <c r="D178">
        <v>24</v>
      </c>
      <c r="E178" t="s">
        <v>20</v>
      </c>
      <c r="F178" t="s">
        <v>7</v>
      </c>
      <c r="G178" t="s">
        <v>51</v>
      </c>
      <c r="H178" t="s">
        <v>41</v>
      </c>
      <c r="I178" t="s">
        <v>10</v>
      </c>
      <c r="J178">
        <f>- -54052</f>
        <v>54052</v>
      </c>
      <c r="K178">
        <v>26337</v>
      </c>
      <c r="L178">
        <v>15</v>
      </c>
      <c r="M178" t="s">
        <v>12</v>
      </c>
      <c r="N178" t="s">
        <v>53</v>
      </c>
      <c r="O178">
        <v>0</v>
      </c>
      <c r="P178" t="s">
        <v>13</v>
      </c>
      <c r="Q178">
        <v>202</v>
      </c>
      <c r="R178" t="s">
        <v>13</v>
      </c>
      <c r="S178">
        <v>19</v>
      </c>
      <c r="T178" t="s">
        <v>13</v>
      </c>
      <c r="U178" t="s">
        <v>14</v>
      </c>
      <c r="V178">
        <v>42</v>
      </c>
      <c r="W178">
        <v>5</v>
      </c>
      <c r="X178">
        <v>1.3</v>
      </c>
      <c r="Y178" t="s">
        <v>15</v>
      </c>
      <c r="Z178">
        <v>72</v>
      </c>
      <c r="AA178">
        <v>42</v>
      </c>
      <c r="AB178">
        <v>14.3</v>
      </c>
      <c r="AC178" t="s">
        <v>11</v>
      </c>
      <c r="AD178">
        <v>124.49</v>
      </c>
      <c r="AE178" t="s">
        <v>16</v>
      </c>
      <c r="AF178">
        <v>77.349999999999994</v>
      </c>
      <c r="AG178" t="s">
        <v>17</v>
      </c>
      <c r="AH178" t="s">
        <v>350</v>
      </c>
      <c r="AI178" t="s">
        <v>689</v>
      </c>
    </row>
    <row r="179" spans="2:35" x14ac:dyDescent="0.25">
      <c r="B179" s="2" t="s">
        <v>334</v>
      </c>
      <c r="C179" t="s">
        <v>5</v>
      </c>
      <c r="D179">
        <v>24</v>
      </c>
      <c r="E179" t="s">
        <v>34</v>
      </c>
      <c r="F179" t="s">
        <v>21</v>
      </c>
      <c r="G179" t="s">
        <v>683</v>
      </c>
      <c r="H179" t="s">
        <v>23</v>
      </c>
      <c r="I179" t="s">
        <v>10</v>
      </c>
      <c r="J179" t="s">
        <v>351</v>
      </c>
      <c r="K179">
        <v>130475</v>
      </c>
      <c r="L179">
        <v>0.2</v>
      </c>
      <c r="M179" t="s">
        <v>12</v>
      </c>
      <c r="N179" t="s">
        <v>53</v>
      </c>
      <c r="O179">
        <v>0</v>
      </c>
      <c r="P179" t="s">
        <v>13</v>
      </c>
      <c r="Q179">
        <v>171</v>
      </c>
      <c r="R179" t="s">
        <v>13</v>
      </c>
      <c r="S179">
        <v>38</v>
      </c>
      <c r="T179" t="s">
        <v>13</v>
      </c>
      <c r="U179" t="s">
        <v>14</v>
      </c>
      <c r="V179">
        <v>41</v>
      </c>
      <c r="W179">
        <v>21</v>
      </c>
      <c r="X179">
        <v>49.3</v>
      </c>
      <c r="Y179" t="s">
        <v>15</v>
      </c>
      <c r="Z179">
        <v>74</v>
      </c>
      <c r="AA179">
        <v>40</v>
      </c>
      <c r="AB179">
        <v>39.5</v>
      </c>
      <c r="AC179" t="s">
        <v>11</v>
      </c>
      <c r="AD179">
        <v>306.08999999999997</v>
      </c>
      <c r="AE179" t="s">
        <v>16</v>
      </c>
      <c r="AF179">
        <v>190.2</v>
      </c>
      <c r="AG179" t="s">
        <v>17</v>
      </c>
      <c r="AH179" t="s">
        <v>280</v>
      </c>
      <c r="AI179" t="s">
        <v>684</v>
      </c>
    </row>
    <row r="180" spans="2:35" x14ac:dyDescent="0.25">
      <c r="B180" s="2" t="s">
        <v>70</v>
      </c>
      <c r="C180" t="s">
        <v>5</v>
      </c>
      <c r="D180">
        <v>24</v>
      </c>
      <c r="E180" t="s">
        <v>20</v>
      </c>
      <c r="F180" t="s">
        <v>21</v>
      </c>
      <c r="G180" t="s">
        <v>352</v>
      </c>
      <c r="H180" t="s">
        <v>23</v>
      </c>
      <c r="I180" t="s">
        <v>10</v>
      </c>
      <c r="J180" t="s">
        <v>353</v>
      </c>
      <c r="K180">
        <v>73942</v>
      </c>
      <c r="L180">
        <v>5</v>
      </c>
      <c r="M180" t="s">
        <v>12</v>
      </c>
      <c r="N180" t="s">
        <v>53</v>
      </c>
      <c r="O180">
        <v>0</v>
      </c>
      <c r="P180" t="s">
        <v>13</v>
      </c>
      <c r="Q180">
        <v>175</v>
      </c>
      <c r="R180" t="s">
        <v>13</v>
      </c>
      <c r="S180">
        <v>23</v>
      </c>
      <c r="T180" t="s">
        <v>13</v>
      </c>
      <c r="U180" t="s">
        <v>14</v>
      </c>
      <c r="V180">
        <v>41</v>
      </c>
      <c r="W180">
        <v>57</v>
      </c>
      <c r="X180">
        <v>36.299999999999997</v>
      </c>
      <c r="Y180" t="s">
        <v>15</v>
      </c>
      <c r="Z180">
        <v>74</v>
      </c>
      <c r="AA180">
        <v>1</v>
      </c>
      <c r="AB180">
        <v>33.5</v>
      </c>
      <c r="AC180" t="s">
        <v>11</v>
      </c>
      <c r="AD180">
        <v>234.16</v>
      </c>
      <c r="AE180" t="s">
        <v>16</v>
      </c>
      <c r="AF180">
        <v>145.5</v>
      </c>
      <c r="AG180" t="s">
        <v>17</v>
      </c>
      <c r="AH180" t="s">
        <v>354</v>
      </c>
      <c r="AI180" t="s">
        <v>670</v>
      </c>
    </row>
    <row r="181" spans="2:35" x14ac:dyDescent="0.25">
      <c r="B181" s="2" t="s">
        <v>355</v>
      </c>
      <c r="C181" t="s">
        <v>5</v>
      </c>
      <c r="D181">
        <v>24</v>
      </c>
      <c r="E181" t="s">
        <v>6</v>
      </c>
      <c r="F181" t="s">
        <v>656</v>
      </c>
      <c r="G181" t="s">
        <v>91</v>
      </c>
      <c r="H181" t="s">
        <v>23</v>
      </c>
      <c r="I181" t="s">
        <v>10</v>
      </c>
      <c r="J181">
        <f>- -34757</f>
        <v>34757</v>
      </c>
      <c r="K181">
        <v>74422</v>
      </c>
      <c r="L181">
        <v>1000</v>
      </c>
      <c r="M181" t="s">
        <v>12</v>
      </c>
      <c r="N181" t="s">
        <v>53</v>
      </c>
      <c r="O181">
        <v>427.2</v>
      </c>
      <c r="P181" t="s">
        <v>13</v>
      </c>
      <c r="Q181">
        <v>681.8</v>
      </c>
      <c r="R181" t="s">
        <v>13</v>
      </c>
      <c r="S181">
        <v>139</v>
      </c>
      <c r="T181" t="s">
        <v>13</v>
      </c>
      <c r="U181" t="s">
        <v>14</v>
      </c>
      <c r="V181">
        <v>42</v>
      </c>
      <c r="W181">
        <v>37</v>
      </c>
      <c r="X181">
        <v>31.3</v>
      </c>
      <c r="Y181" t="s">
        <v>15</v>
      </c>
      <c r="Z181">
        <v>74</v>
      </c>
      <c r="AA181">
        <v>0</v>
      </c>
      <c r="AB181">
        <v>36.700000000000003</v>
      </c>
      <c r="AC181">
        <v>1231728</v>
      </c>
      <c r="AD181">
        <v>228.8</v>
      </c>
      <c r="AE181" t="s">
        <v>16</v>
      </c>
      <c r="AF181">
        <v>142.16999999999999</v>
      </c>
      <c r="AG181" t="s">
        <v>17</v>
      </c>
      <c r="AH181" t="s">
        <v>73</v>
      </c>
      <c r="AI181" t="s">
        <v>737</v>
      </c>
    </row>
    <row r="182" spans="2:35" x14ac:dyDescent="0.25">
      <c r="B182" s="2" t="s">
        <v>356</v>
      </c>
      <c r="C182" t="s">
        <v>5</v>
      </c>
      <c r="D182">
        <v>24</v>
      </c>
      <c r="E182" t="s">
        <v>6</v>
      </c>
      <c r="F182" t="s">
        <v>74</v>
      </c>
      <c r="G182" t="s">
        <v>654</v>
      </c>
      <c r="H182" t="s">
        <v>23</v>
      </c>
      <c r="I182" t="s">
        <v>10</v>
      </c>
      <c r="J182">
        <f>- -35705</f>
        <v>35705</v>
      </c>
      <c r="K182">
        <v>6048</v>
      </c>
      <c r="L182">
        <v>180</v>
      </c>
      <c r="M182" t="s">
        <v>12</v>
      </c>
      <c r="O182">
        <v>309.7</v>
      </c>
      <c r="P182" t="s">
        <v>13</v>
      </c>
      <c r="Q182">
        <v>324.2</v>
      </c>
      <c r="R182" t="s">
        <v>13</v>
      </c>
      <c r="S182">
        <v>309</v>
      </c>
      <c r="T182" t="s">
        <v>13</v>
      </c>
      <c r="U182" t="s">
        <v>14</v>
      </c>
      <c r="V182">
        <v>40</v>
      </c>
      <c r="W182">
        <v>45</v>
      </c>
      <c r="X182">
        <v>22.4</v>
      </c>
      <c r="Y182" t="s">
        <v>15</v>
      </c>
      <c r="Z182">
        <v>73</v>
      </c>
      <c r="AA182">
        <v>59</v>
      </c>
      <c r="AB182">
        <v>10.5</v>
      </c>
      <c r="AC182">
        <v>1238745</v>
      </c>
      <c r="AD182">
        <v>290.64999999999998</v>
      </c>
      <c r="AE182" t="s">
        <v>16</v>
      </c>
      <c r="AF182">
        <v>180.6</v>
      </c>
      <c r="AG182" t="s">
        <v>17</v>
      </c>
      <c r="AH182" t="s">
        <v>32</v>
      </c>
      <c r="AI182" t="s">
        <v>738</v>
      </c>
    </row>
    <row r="183" spans="2:35" x14ac:dyDescent="0.25">
      <c r="B183" s="2" t="s">
        <v>357</v>
      </c>
      <c r="C183" t="s">
        <v>5</v>
      </c>
      <c r="D183">
        <v>24</v>
      </c>
      <c r="E183" t="s">
        <v>181</v>
      </c>
      <c r="F183" t="s">
        <v>21</v>
      </c>
      <c r="G183" t="s">
        <v>739</v>
      </c>
      <c r="H183" t="s">
        <v>249</v>
      </c>
      <c r="I183" t="s">
        <v>10</v>
      </c>
      <c r="J183">
        <f>- -4543</f>
        <v>4543</v>
      </c>
      <c r="K183">
        <v>52077</v>
      </c>
      <c r="L183">
        <v>5</v>
      </c>
      <c r="M183" t="s">
        <v>12</v>
      </c>
      <c r="N183" t="s">
        <v>53</v>
      </c>
      <c r="O183">
        <v>0</v>
      </c>
      <c r="P183" t="s">
        <v>13</v>
      </c>
      <c r="Q183">
        <v>719.6</v>
      </c>
      <c r="R183" t="s">
        <v>13</v>
      </c>
      <c r="S183">
        <v>89</v>
      </c>
      <c r="T183" t="s">
        <v>13</v>
      </c>
      <c r="U183" t="s">
        <v>14</v>
      </c>
      <c r="V183">
        <v>41</v>
      </c>
      <c r="W183">
        <v>26</v>
      </c>
      <c r="X183">
        <v>9.1</v>
      </c>
      <c r="Y183" t="s">
        <v>15</v>
      </c>
      <c r="Z183">
        <v>75</v>
      </c>
      <c r="AA183">
        <v>43</v>
      </c>
      <c r="AB183">
        <v>42.3</v>
      </c>
      <c r="AC183">
        <v>1026644</v>
      </c>
      <c r="AD183">
        <v>386.13</v>
      </c>
      <c r="AE183" t="s">
        <v>16</v>
      </c>
      <c r="AF183">
        <v>239.93</v>
      </c>
      <c r="AG183" t="s">
        <v>17</v>
      </c>
      <c r="AH183" t="s">
        <v>358</v>
      </c>
      <c r="AI183" t="s">
        <v>740</v>
      </c>
    </row>
    <row r="184" spans="2:35" x14ac:dyDescent="0.25">
      <c r="B184" s="2" t="s">
        <v>11</v>
      </c>
      <c r="C184" t="s">
        <v>5</v>
      </c>
      <c r="D184">
        <v>24</v>
      </c>
      <c r="E184" t="s">
        <v>6</v>
      </c>
      <c r="F184" t="s">
        <v>7</v>
      </c>
      <c r="G184" t="s">
        <v>109</v>
      </c>
      <c r="H184" t="s">
        <v>110</v>
      </c>
      <c r="I184" t="s">
        <v>111</v>
      </c>
      <c r="J184" t="e">
        <f>- -CANADA311</f>
        <v>#NAME?</v>
      </c>
      <c r="K184">
        <v>704043</v>
      </c>
      <c r="L184">
        <v>60</v>
      </c>
      <c r="M184" t="s">
        <v>12</v>
      </c>
      <c r="N184" t="s">
        <v>53</v>
      </c>
      <c r="O184">
        <v>0</v>
      </c>
      <c r="P184" t="s">
        <v>13</v>
      </c>
      <c r="Q184">
        <v>881.6</v>
      </c>
      <c r="R184" t="s">
        <v>13</v>
      </c>
      <c r="S184">
        <v>0</v>
      </c>
      <c r="T184" t="s">
        <v>13</v>
      </c>
      <c r="U184" t="s">
        <v>14</v>
      </c>
      <c r="V184">
        <v>45</v>
      </c>
      <c r="W184">
        <v>18</v>
      </c>
      <c r="X184">
        <v>43.15</v>
      </c>
      <c r="Y184" t="s">
        <v>15</v>
      </c>
      <c r="Z184">
        <v>72</v>
      </c>
      <c r="AA184">
        <v>14</v>
      </c>
      <c r="AB184">
        <v>30.39</v>
      </c>
      <c r="AC184" t="s">
        <v>11</v>
      </c>
      <c r="AD184">
        <v>336.06</v>
      </c>
      <c r="AE184" t="s">
        <v>16</v>
      </c>
      <c r="AF184">
        <v>208.82</v>
      </c>
      <c r="AG184" t="s">
        <v>17</v>
      </c>
      <c r="AH184" t="s">
        <v>112</v>
      </c>
      <c r="AI184" t="s">
        <v>11</v>
      </c>
    </row>
    <row r="185" spans="2:35" x14ac:dyDescent="0.25">
      <c r="B185" s="2" t="s">
        <v>359</v>
      </c>
      <c r="C185" t="s">
        <v>5</v>
      </c>
      <c r="D185">
        <v>25</v>
      </c>
      <c r="E185" t="s">
        <v>20</v>
      </c>
      <c r="F185" t="s">
        <v>21</v>
      </c>
      <c r="G185" t="s">
        <v>741</v>
      </c>
      <c r="H185" t="s">
        <v>9</v>
      </c>
      <c r="I185" t="s">
        <v>10</v>
      </c>
      <c r="J185" t="s">
        <v>360</v>
      </c>
      <c r="K185">
        <v>39648</v>
      </c>
      <c r="L185">
        <v>15</v>
      </c>
      <c r="M185" t="s">
        <v>12</v>
      </c>
      <c r="N185" t="s">
        <v>53</v>
      </c>
      <c r="O185">
        <v>0</v>
      </c>
      <c r="P185" t="s">
        <v>13</v>
      </c>
      <c r="Q185">
        <v>387.8</v>
      </c>
      <c r="R185" t="s">
        <v>13</v>
      </c>
      <c r="S185">
        <v>101.3</v>
      </c>
      <c r="T185" t="s">
        <v>13</v>
      </c>
      <c r="U185" t="s">
        <v>14</v>
      </c>
      <c r="V185">
        <v>44</v>
      </c>
      <c r="W185">
        <v>45</v>
      </c>
      <c r="X185">
        <v>45</v>
      </c>
      <c r="Y185" t="s">
        <v>15</v>
      </c>
      <c r="Z185">
        <v>68</v>
      </c>
      <c r="AA185">
        <v>33</v>
      </c>
      <c r="AB185">
        <v>56</v>
      </c>
      <c r="AC185">
        <v>1035355</v>
      </c>
      <c r="AD185">
        <v>342.57</v>
      </c>
      <c r="AE185" t="s">
        <v>16</v>
      </c>
      <c r="AF185">
        <v>212.86</v>
      </c>
      <c r="AG185" t="s">
        <v>17</v>
      </c>
      <c r="AH185" t="s">
        <v>361</v>
      </c>
      <c r="AI185" t="s">
        <v>688</v>
      </c>
    </row>
    <row r="186" spans="2:35" x14ac:dyDescent="0.25">
      <c r="B186" s="2" t="s">
        <v>362</v>
      </c>
      <c r="C186" t="s">
        <v>5</v>
      </c>
      <c r="D186">
        <v>25</v>
      </c>
      <c r="E186" t="s">
        <v>20</v>
      </c>
      <c r="F186" t="s">
        <v>7</v>
      </c>
      <c r="G186" t="s">
        <v>326</v>
      </c>
      <c r="H186" t="s">
        <v>45</v>
      </c>
      <c r="I186" t="s">
        <v>10</v>
      </c>
      <c r="J186">
        <f>- -53201</f>
        <v>53201</v>
      </c>
      <c r="K186">
        <v>73294</v>
      </c>
      <c r="L186">
        <v>15</v>
      </c>
      <c r="M186" t="s">
        <v>12</v>
      </c>
      <c r="O186">
        <v>0</v>
      </c>
      <c r="P186" t="s">
        <v>13</v>
      </c>
      <c r="Q186">
        <v>676.3</v>
      </c>
      <c r="R186" t="s">
        <v>13</v>
      </c>
      <c r="S186">
        <v>70.099999999999994</v>
      </c>
      <c r="T186" t="s">
        <v>13</v>
      </c>
      <c r="U186" t="s">
        <v>14</v>
      </c>
      <c r="V186">
        <v>44</v>
      </c>
      <c r="W186">
        <v>21</v>
      </c>
      <c r="X186">
        <v>10.9</v>
      </c>
      <c r="Y186" t="s">
        <v>15</v>
      </c>
      <c r="Z186">
        <v>71</v>
      </c>
      <c r="AA186">
        <v>44</v>
      </c>
      <c r="AB186">
        <v>14.9</v>
      </c>
      <c r="AC186">
        <v>1034698</v>
      </c>
      <c r="AD186">
        <v>223.4</v>
      </c>
      <c r="AE186" t="s">
        <v>16</v>
      </c>
      <c r="AF186">
        <v>138.82</v>
      </c>
      <c r="AG186" t="s">
        <v>17</v>
      </c>
      <c r="AH186" t="s">
        <v>327</v>
      </c>
      <c r="AI186" t="s">
        <v>682</v>
      </c>
    </row>
    <row r="187" spans="2:35" x14ac:dyDescent="0.25">
      <c r="B187" s="2" t="s">
        <v>334</v>
      </c>
      <c r="C187" t="s">
        <v>5</v>
      </c>
      <c r="D187">
        <v>25</v>
      </c>
      <c r="E187" t="s">
        <v>20</v>
      </c>
      <c r="F187" t="s">
        <v>21</v>
      </c>
      <c r="G187" t="s">
        <v>683</v>
      </c>
      <c r="H187" t="s">
        <v>23</v>
      </c>
      <c r="I187" t="s">
        <v>10</v>
      </c>
      <c r="J187">
        <f>- -53181</f>
        <v>53181</v>
      </c>
      <c r="K187">
        <v>130475</v>
      </c>
      <c r="L187">
        <v>0.12</v>
      </c>
      <c r="M187" t="s">
        <v>12</v>
      </c>
      <c r="N187" t="s">
        <v>53</v>
      </c>
      <c r="O187">
        <v>0</v>
      </c>
      <c r="P187" t="s">
        <v>13</v>
      </c>
      <c r="Q187">
        <v>232</v>
      </c>
      <c r="R187" t="s">
        <v>13</v>
      </c>
      <c r="S187">
        <v>43</v>
      </c>
      <c r="T187" t="s">
        <v>13</v>
      </c>
      <c r="U187" t="s">
        <v>14</v>
      </c>
      <c r="V187">
        <v>40</v>
      </c>
      <c r="W187">
        <v>47</v>
      </c>
      <c r="X187">
        <v>18</v>
      </c>
      <c r="Y187" t="s">
        <v>15</v>
      </c>
      <c r="Z187">
        <v>74</v>
      </c>
      <c r="AA187">
        <v>15</v>
      </c>
      <c r="AB187">
        <v>18</v>
      </c>
      <c r="AC187">
        <v>1045804</v>
      </c>
      <c r="AD187">
        <v>306.47000000000003</v>
      </c>
      <c r="AE187" t="s">
        <v>16</v>
      </c>
      <c r="AF187">
        <v>190.43</v>
      </c>
      <c r="AG187" t="s">
        <v>17</v>
      </c>
      <c r="AH187" t="s">
        <v>225</v>
      </c>
      <c r="AI187" t="s">
        <v>684</v>
      </c>
    </row>
    <row r="188" spans="2:35" x14ac:dyDescent="0.25">
      <c r="B188" s="2" t="s">
        <v>363</v>
      </c>
      <c r="C188" t="s">
        <v>5</v>
      </c>
      <c r="D188">
        <v>25</v>
      </c>
      <c r="E188" t="s">
        <v>6</v>
      </c>
      <c r="F188" t="s">
        <v>7</v>
      </c>
      <c r="G188" t="s">
        <v>364</v>
      </c>
      <c r="H188" t="s">
        <v>31</v>
      </c>
      <c r="I188" t="s">
        <v>10</v>
      </c>
      <c r="J188">
        <f>- -54140</f>
        <v>54140</v>
      </c>
      <c r="K188">
        <v>74197</v>
      </c>
      <c r="L188">
        <v>57.8</v>
      </c>
      <c r="M188" t="s">
        <v>12</v>
      </c>
      <c r="N188" t="s">
        <v>53</v>
      </c>
      <c r="O188">
        <v>520</v>
      </c>
      <c r="P188" t="s">
        <v>13</v>
      </c>
      <c r="Q188">
        <v>530.4</v>
      </c>
      <c r="R188" t="s">
        <v>13</v>
      </c>
      <c r="S188">
        <v>526.1</v>
      </c>
      <c r="T188" t="s">
        <v>13</v>
      </c>
      <c r="U188" t="s">
        <v>14</v>
      </c>
      <c r="V188">
        <v>40</v>
      </c>
      <c r="W188">
        <v>42</v>
      </c>
      <c r="X188">
        <v>46.8</v>
      </c>
      <c r="Y188" t="s">
        <v>15</v>
      </c>
      <c r="Z188">
        <v>74</v>
      </c>
      <c r="AA188">
        <v>0</v>
      </c>
      <c r="AB188">
        <v>47.3</v>
      </c>
      <c r="AC188">
        <v>1263701</v>
      </c>
      <c r="AD188">
        <v>295.45</v>
      </c>
      <c r="AE188" t="s">
        <v>16</v>
      </c>
      <c r="AF188">
        <v>183.59</v>
      </c>
      <c r="AG188" t="s">
        <v>17</v>
      </c>
      <c r="AH188" t="s">
        <v>33</v>
      </c>
      <c r="AI188" t="s">
        <v>742</v>
      </c>
    </row>
    <row r="189" spans="2:35" x14ac:dyDescent="0.25">
      <c r="B189" s="2" t="s">
        <v>365</v>
      </c>
      <c r="C189" t="s">
        <v>5</v>
      </c>
      <c r="D189">
        <v>25</v>
      </c>
      <c r="E189" t="s">
        <v>20</v>
      </c>
      <c r="F189" t="s">
        <v>21</v>
      </c>
      <c r="G189" t="s">
        <v>683</v>
      </c>
      <c r="H189" t="s">
        <v>23</v>
      </c>
      <c r="I189" t="s">
        <v>10</v>
      </c>
      <c r="J189" t="s">
        <v>366</v>
      </c>
      <c r="K189">
        <v>167320</v>
      </c>
      <c r="L189">
        <v>15</v>
      </c>
      <c r="M189" t="s">
        <v>12</v>
      </c>
      <c r="N189" t="s">
        <v>53</v>
      </c>
      <c r="O189">
        <v>0</v>
      </c>
      <c r="P189" t="s">
        <v>13</v>
      </c>
      <c r="Q189">
        <v>285.5</v>
      </c>
      <c r="R189" t="s">
        <v>13</v>
      </c>
      <c r="S189">
        <v>270.3</v>
      </c>
      <c r="T189" t="s">
        <v>13</v>
      </c>
      <c r="U189" t="s">
        <v>14</v>
      </c>
      <c r="V189">
        <v>40</v>
      </c>
      <c r="W189">
        <v>45</v>
      </c>
      <c r="X189">
        <v>22.4</v>
      </c>
      <c r="Y189" t="s">
        <v>15</v>
      </c>
      <c r="Z189">
        <v>73</v>
      </c>
      <c r="AA189">
        <v>59</v>
      </c>
      <c r="AB189">
        <v>10.5</v>
      </c>
      <c r="AC189">
        <v>1238745</v>
      </c>
      <c r="AD189">
        <v>290.64999999999998</v>
      </c>
      <c r="AE189" t="s">
        <v>16</v>
      </c>
      <c r="AF189">
        <v>180.6</v>
      </c>
      <c r="AG189" t="s">
        <v>17</v>
      </c>
      <c r="AH189" t="s">
        <v>32</v>
      </c>
      <c r="AI189" t="s">
        <v>743</v>
      </c>
    </row>
    <row r="190" spans="2:35" x14ac:dyDescent="0.25">
      <c r="B190" s="2" t="s">
        <v>295</v>
      </c>
      <c r="C190" t="s">
        <v>5</v>
      </c>
      <c r="D190">
        <v>25</v>
      </c>
      <c r="E190" t="s">
        <v>20</v>
      </c>
      <c r="F190" t="s">
        <v>21</v>
      </c>
      <c r="G190" t="s">
        <v>296</v>
      </c>
      <c r="H190" t="s">
        <v>23</v>
      </c>
      <c r="I190" t="s">
        <v>10</v>
      </c>
      <c r="J190" t="s">
        <v>367</v>
      </c>
      <c r="K190">
        <v>31646</v>
      </c>
      <c r="L190">
        <v>2.4</v>
      </c>
      <c r="M190" t="s">
        <v>12</v>
      </c>
      <c r="N190" t="s">
        <v>53</v>
      </c>
      <c r="O190">
        <v>0</v>
      </c>
      <c r="P190" t="s">
        <v>13</v>
      </c>
      <c r="Q190">
        <v>545</v>
      </c>
      <c r="R190" t="s">
        <v>13</v>
      </c>
      <c r="S190">
        <v>59</v>
      </c>
      <c r="T190" t="s">
        <v>13</v>
      </c>
      <c r="U190" t="s">
        <v>14</v>
      </c>
      <c r="V190">
        <v>41</v>
      </c>
      <c r="W190">
        <v>39</v>
      </c>
      <c r="X190">
        <v>39</v>
      </c>
      <c r="Y190" t="s">
        <v>15</v>
      </c>
      <c r="Z190">
        <v>74</v>
      </c>
      <c r="AA190">
        <v>41</v>
      </c>
      <c r="AB190">
        <v>11</v>
      </c>
      <c r="AC190">
        <v>1264053</v>
      </c>
      <c r="AD190">
        <v>295.64999999999998</v>
      </c>
      <c r="AE190" t="s">
        <v>16</v>
      </c>
      <c r="AF190">
        <v>183.71</v>
      </c>
      <c r="AG190" t="s">
        <v>17</v>
      </c>
      <c r="AH190" t="s">
        <v>297</v>
      </c>
      <c r="AI190" t="s">
        <v>723</v>
      </c>
    </row>
    <row r="191" spans="2:35" x14ac:dyDescent="0.25">
      <c r="B191" s="2" t="s">
        <v>368</v>
      </c>
      <c r="C191" t="s">
        <v>5</v>
      </c>
      <c r="D191">
        <v>25</v>
      </c>
      <c r="E191" t="s">
        <v>20</v>
      </c>
      <c r="F191" t="s">
        <v>7</v>
      </c>
      <c r="G191" t="s">
        <v>71</v>
      </c>
      <c r="H191" t="s">
        <v>23</v>
      </c>
      <c r="I191" t="s">
        <v>10</v>
      </c>
      <c r="J191" t="s">
        <v>369</v>
      </c>
      <c r="K191">
        <v>6763</v>
      </c>
      <c r="L191">
        <v>1.2</v>
      </c>
      <c r="M191" t="s">
        <v>12</v>
      </c>
      <c r="N191" t="s">
        <v>53</v>
      </c>
      <c r="O191">
        <v>0</v>
      </c>
      <c r="P191" t="s">
        <v>13</v>
      </c>
      <c r="Q191">
        <v>373</v>
      </c>
      <c r="R191" t="s">
        <v>13</v>
      </c>
      <c r="S191">
        <v>88</v>
      </c>
      <c r="T191" t="s">
        <v>13</v>
      </c>
      <c r="U191" t="s">
        <v>14</v>
      </c>
      <c r="V191">
        <v>42</v>
      </c>
      <c r="W191">
        <v>47</v>
      </c>
      <c r="X191">
        <v>9.6</v>
      </c>
      <c r="Y191" t="s">
        <v>15</v>
      </c>
      <c r="Z191">
        <v>73</v>
      </c>
      <c r="AA191">
        <v>37</v>
      </c>
      <c r="AB191">
        <v>41.6</v>
      </c>
      <c r="AC191">
        <v>1226399</v>
      </c>
      <c r="AD191">
        <v>200.72</v>
      </c>
      <c r="AE191" t="s">
        <v>16</v>
      </c>
      <c r="AF191">
        <v>124.72</v>
      </c>
      <c r="AG191" t="s">
        <v>17</v>
      </c>
      <c r="AH191" t="s">
        <v>370</v>
      </c>
      <c r="AI191" t="s">
        <v>734</v>
      </c>
    </row>
    <row r="192" spans="2:35" x14ac:dyDescent="0.25">
      <c r="B192" s="2" t="s">
        <v>348</v>
      </c>
      <c r="C192" t="s">
        <v>5</v>
      </c>
      <c r="D192">
        <v>25</v>
      </c>
      <c r="E192" t="s">
        <v>6</v>
      </c>
      <c r="F192" t="s">
        <v>656</v>
      </c>
      <c r="G192" t="s">
        <v>71</v>
      </c>
      <c r="H192" t="s">
        <v>23</v>
      </c>
      <c r="I192" t="s">
        <v>10</v>
      </c>
      <c r="J192">
        <f>- -35673</f>
        <v>35673</v>
      </c>
      <c r="K192">
        <v>73263</v>
      </c>
      <c r="L192">
        <v>480</v>
      </c>
      <c r="M192" t="s">
        <v>12</v>
      </c>
      <c r="O192">
        <v>426</v>
      </c>
      <c r="P192" t="s">
        <v>13</v>
      </c>
      <c r="Q192">
        <v>681.8</v>
      </c>
      <c r="R192" t="s">
        <v>13</v>
      </c>
      <c r="S192">
        <v>139</v>
      </c>
      <c r="T192" t="s">
        <v>13</v>
      </c>
      <c r="U192" t="s">
        <v>14</v>
      </c>
      <c r="V192">
        <v>42</v>
      </c>
      <c r="W192">
        <v>37</v>
      </c>
      <c r="X192">
        <v>31.3</v>
      </c>
      <c r="Y192" t="s">
        <v>15</v>
      </c>
      <c r="Z192">
        <v>74</v>
      </c>
      <c r="AA192">
        <v>0</v>
      </c>
      <c r="AB192">
        <v>36.700000000000003</v>
      </c>
      <c r="AC192">
        <v>1231728</v>
      </c>
      <c r="AD192">
        <v>228.8</v>
      </c>
      <c r="AE192" t="s">
        <v>16</v>
      </c>
      <c r="AF192">
        <v>142.16999999999999</v>
      </c>
      <c r="AG192" t="s">
        <v>17</v>
      </c>
      <c r="AH192" t="s">
        <v>73</v>
      </c>
      <c r="AI192" t="s">
        <v>735</v>
      </c>
    </row>
    <row r="193" spans="2:35" x14ac:dyDescent="0.25">
      <c r="B193" s="2" t="s">
        <v>371</v>
      </c>
      <c r="C193" t="s">
        <v>5</v>
      </c>
      <c r="D193">
        <v>25</v>
      </c>
      <c r="E193" t="s">
        <v>6</v>
      </c>
      <c r="F193" t="s">
        <v>7</v>
      </c>
      <c r="G193" t="s">
        <v>744</v>
      </c>
      <c r="H193" t="s">
        <v>23</v>
      </c>
      <c r="I193" t="s">
        <v>10</v>
      </c>
      <c r="J193">
        <f>- -53803</f>
        <v>53803</v>
      </c>
      <c r="K193">
        <v>74156</v>
      </c>
      <c r="L193">
        <v>57.8</v>
      </c>
      <c r="M193" t="s">
        <v>12</v>
      </c>
      <c r="N193" t="s">
        <v>53</v>
      </c>
      <c r="O193">
        <v>520</v>
      </c>
      <c r="P193" t="s">
        <v>13</v>
      </c>
      <c r="Q193">
        <v>530.4</v>
      </c>
      <c r="R193" t="s">
        <v>13</v>
      </c>
      <c r="S193">
        <v>526.1</v>
      </c>
      <c r="T193" t="s">
        <v>13</v>
      </c>
      <c r="U193" t="s">
        <v>14</v>
      </c>
      <c r="V193">
        <v>40</v>
      </c>
      <c r="W193">
        <v>42</v>
      </c>
      <c r="X193">
        <v>46.8</v>
      </c>
      <c r="Y193" t="s">
        <v>15</v>
      </c>
      <c r="Z193">
        <v>74</v>
      </c>
      <c r="AA193">
        <v>0</v>
      </c>
      <c r="AB193">
        <v>47.3</v>
      </c>
      <c r="AC193">
        <v>1263701</v>
      </c>
      <c r="AD193">
        <v>295.45</v>
      </c>
      <c r="AE193" t="s">
        <v>16</v>
      </c>
      <c r="AF193">
        <v>183.59</v>
      </c>
      <c r="AG193" t="s">
        <v>17</v>
      </c>
      <c r="AH193" t="s">
        <v>33</v>
      </c>
      <c r="AI193" t="s">
        <v>745</v>
      </c>
    </row>
    <row r="194" spans="2:35" x14ac:dyDescent="0.25">
      <c r="B194" s="2" t="s">
        <v>372</v>
      </c>
      <c r="C194" t="s">
        <v>5</v>
      </c>
      <c r="D194">
        <v>25</v>
      </c>
      <c r="E194" t="s">
        <v>20</v>
      </c>
      <c r="F194" t="s">
        <v>21</v>
      </c>
      <c r="G194" t="s">
        <v>373</v>
      </c>
      <c r="H194" t="s">
        <v>249</v>
      </c>
      <c r="I194" t="s">
        <v>10</v>
      </c>
      <c r="J194" t="s">
        <v>374</v>
      </c>
      <c r="K194">
        <v>17010</v>
      </c>
      <c r="L194">
        <v>0.3</v>
      </c>
      <c r="M194" t="s">
        <v>12</v>
      </c>
      <c r="N194" t="s">
        <v>53</v>
      </c>
      <c r="O194">
        <v>0</v>
      </c>
      <c r="P194" t="s">
        <v>13</v>
      </c>
      <c r="Q194">
        <v>683</v>
      </c>
      <c r="R194" t="s">
        <v>13</v>
      </c>
      <c r="S194">
        <v>21.3</v>
      </c>
      <c r="T194" t="s">
        <v>13</v>
      </c>
      <c r="U194" t="s">
        <v>14</v>
      </c>
      <c r="V194">
        <v>41</v>
      </c>
      <c r="W194">
        <v>37</v>
      </c>
      <c r="X194">
        <v>55.3</v>
      </c>
      <c r="Y194" t="s">
        <v>15</v>
      </c>
      <c r="Z194">
        <v>75</v>
      </c>
      <c r="AA194">
        <v>25</v>
      </c>
      <c r="AB194">
        <v>31.6</v>
      </c>
      <c r="AC194" t="s">
        <v>11</v>
      </c>
      <c r="AD194">
        <v>355.81</v>
      </c>
      <c r="AE194" t="s">
        <v>16</v>
      </c>
      <c r="AF194">
        <v>221.09</v>
      </c>
      <c r="AG194" t="s">
        <v>17</v>
      </c>
      <c r="AH194" t="s">
        <v>250</v>
      </c>
      <c r="AI194" t="s">
        <v>678</v>
      </c>
    </row>
    <row r="195" spans="2:35" x14ac:dyDescent="0.25">
      <c r="B195" s="2" t="s">
        <v>375</v>
      </c>
      <c r="C195" t="s">
        <v>5</v>
      </c>
      <c r="D195">
        <v>25</v>
      </c>
      <c r="E195" t="s">
        <v>20</v>
      </c>
      <c r="F195" t="s">
        <v>21</v>
      </c>
      <c r="G195" t="s">
        <v>27</v>
      </c>
      <c r="H195" t="s">
        <v>28</v>
      </c>
      <c r="I195" t="s">
        <v>10</v>
      </c>
      <c r="J195">
        <f>- -13903</f>
        <v>13903</v>
      </c>
      <c r="K195">
        <v>9154</v>
      </c>
      <c r="L195">
        <v>15</v>
      </c>
      <c r="M195" t="s">
        <v>12</v>
      </c>
      <c r="N195" t="s">
        <v>53</v>
      </c>
      <c r="O195">
        <v>0</v>
      </c>
      <c r="P195" t="s">
        <v>13</v>
      </c>
      <c r="Q195">
        <v>451</v>
      </c>
      <c r="R195" t="s">
        <v>13</v>
      </c>
      <c r="S195">
        <v>192</v>
      </c>
      <c r="T195" t="s">
        <v>13</v>
      </c>
      <c r="U195" t="s">
        <v>14</v>
      </c>
      <c r="V195">
        <v>42</v>
      </c>
      <c r="W195">
        <v>3</v>
      </c>
      <c r="X195">
        <v>13</v>
      </c>
      <c r="Y195" t="s">
        <v>15</v>
      </c>
      <c r="Z195">
        <v>71</v>
      </c>
      <c r="AA195">
        <v>49</v>
      </c>
      <c r="AB195">
        <v>4</v>
      </c>
      <c r="AC195">
        <v>1055976</v>
      </c>
      <c r="AD195">
        <v>59.03</v>
      </c>
      <c r="AE195" t="s">
        <v>16</v>
      </c>
      <c r="AF195">
        <v>36.68</v>
      </c>
      <c r="AG195" t="s">
        <v>17</v>
      </c>
      <c r="AH195" t="s">
        <v>376</v>
      </c>
      <c r="AI195" t="s">
        <v>746</v>
      </c>
    </row>
    <row r="196" spans="2:35" x14ac:dyDescent="0.25">
      <c r="B196" s="2" t="s">
        <v>377</v>
      </c>
      <c r="C196" t="s">
        <v>5</v>
      </c>
      <c r="D196">
        <v>25</v>
      </c>
      <c r="E196" t="s">
        <v>6</v>
      </c>
      <c r="F196" t="s">
        <v>656</v>
      </c>
      <c r="G196" t="s">
        <v>27</v>
      </c>
      <c r="H196" t="s">
        <v>28</v>
      </c>
      <c r="I196" t="s">
        <v>10</v>
      </c>
      <c r="J196">
        <f>- -34380</f>
        <v>34380</v>
      </c>
      <c r="K196">
        <v>50780</v>
      </c>
      <c r="L196">
        <v>1000</v>
      </c>
      <c r="M196" t="s">
        <v>12</v>
      </c>
      <c r="O196">
        <v>302</v>
      </c>
      <c r="P196" t="s">
        <v>13</v>
      </c>
      <c r="Q196">
        <v>331</v>
      </c>
      <c r="R196" t="s">
        <v>13</v>
      </c>
      <c r="S196">
        <v>270.7</v>
      </c>
      <c r="T196" t="s">
        <v>13</v>
      </c>
      <c r="U196" t="s">
        <v>14</v>
      </c>
      <c r="V196">
        <v>41</v>
      </c>
      <c r="W196">
        <v>51</v>
      </c>
      <c r="X196">
        <v>55.4</v>
      </c>
      <c r="Y196" t="s">
        <v>15</v>
      </c>
      <c r="Z196">
        <v>71</v>
      </c>
      <c r="AA196">
        <v>17</v>
      </c>
      <c r="AB196">
        <v>12.7</v>
      </c>
      <c r="AC196">
        <v>1005123</v>
      </c>
      <c r="AD196">
        <v>56.61</v>
      </c>
      <c r="AE196" t="s">
        <v>16</v>
      </c>
      <c r="AF196">
        <v>35.18</v>
      </c>
      <c r="AG196" t="s">
        <v>17</v>
      </c>
      <c r="AH196" t="s">
        <v>29</v>
      </c>
      <c r="AI196" t="s">
        <v>747</v>
      </c>
    </row>
    <row r="197" spans="2:35" x14ac:dyDescent="0.25">
      <c r="B197" s="2" t="s">
        <v>378</v>
      </c>
      <c r="C197" t="s">
        <v>5</v>
      </c>
      <c r="D197">
        <v>26</v>
      </c>
      <c r="E197" t="s">
        <v>20</v>
      </c>
      <c r="F197" t="s">
        <v>21</v>
      </c>
      <c r="G197" t="s">
        <v>62</v>
      </c>
      <c r="H197" t="s">
        <v>9</v>
      </c>
      <c r="I197" t="s">
        <v>10</v>
      </c>
      <c r="J197" t="s">
        <v>379</v>
      </c>
      <c r="K197">
        <v>73288</v>
      </c>
      <c r="L197">
        <v>6.2</v>
      </c>
      <c r="M197" t="s">
        <v>12</v>
      </c>
      <c r="O197">
        <v>0</v>
      </c>
      <c r="P197" t="s">
        <v>13</v>
      </c>
      <c r="Q197">
        <v>85.9</v>
      </c>
      <c r="R197" t="s">
        <v>13</v>
      </c>
      <c r="S197">
        <v>61.5</v>
      </c>
      <c r="T197" t="s">
        <v>13</v>
      </c>
      <c r="U197" t="s">
        <v>14</v>
      </c>
      <c r="V197">
        <v>43</v>
      </c>
      <c r="W197">
        <v>39</v>
      </c>
      <c r="X197">
        <v>26.2</v>
      </c>
      <c r="Y197" t="s">
        <v>15</v>
      </c>
      <c r="Z197">
        <v>70</v>
      </c>
      <c r="AA197">
        <v>15</v>
      </c>
      <c r="AB197">
        <v>36.1</v>
      </c>
      <c r="AC197" t="s">
        <v>11</v>
      </c>
      <c r="AD197">
        <v>163.69999999999999</v>
      </c>
      <c r="AE197" t="s">
        <v>16</v>
      </c>
      <c r="AF197">
        <v>101.72</v>
      </c>
      <c r="AG197" t="s">
        <v>17</v>
      </c>
      <c r="AH197" t="s">
        <v>380</v>
      </c>
      <c r="AI197" t="s">
        <v>682</v>
      </c>
    </row>
    <row r="198" spans="2:35" x14ac:dyDescent="0.25">
      <c r="B198" s="2" t="s">
        <v>381</v>
      </c>
      <c r="C198" t="s">
        <v>5</v>
      </c>
      <c r="D198">
        <v>26</v>
      </c>
      <c r="E198" t="s">
        <v>6</v>
      </c>
      <c r="F198" t="s">
        <v>7</v>
      </c>
      <c r="G198" t="s">
        <v>51</v>
      </c>
      <c r="H198" t="s">
        <v>41</v>
      </c>
      <c r="I198" t="s">
        <v>10</v>
      </c>
      <c r="J198">
        <f>- -24834</f>
        <v>24834</v>
      </c>
      <c r="K198">
        <v>25682</v>
      </c>
      <c r="L198">
        <v>345</v>
      </c>
      <c r="M198" t="s">
        <v>12</v>
      </c>
      <c r="N198" t="s">
        <v>53</v>
      </c>
      <c r="O198">
        <v>320</v>
      </c>
      <c r="P198" t="s">
        <v>13</v>
      </c>
      <c r="Q198">
        <v>418.8</v>
      </c>
      <c r="R198" t="s">
        <v>13</v>
      </c>
      <c r="S198">
        <v>53</v>
      </c>
      <c r="T198" t="s">
        <v>13</v>
      </c>
      <c r="U198" t="s">
        <v>14</v>
      </c>
      <c r="V198">
        <v>42</v>
      </c>
      <c r="W198">
        <v>14</v>
      </c>
      <c r="X198">
        <v>30</v>
      </c>
      <c r="Y198" t="s">
        <v>15</v>
      </c>
      <c r="Z198">
        <v>72</v>
      </c>
      <c r="AA198">
        <v>38</v>
      </c>
      <c r="AB198">
        <v>55</v>
      </c>
      <c r="AC198">
        <v>1018460</v>
      </c>
      <c r="AD198">
        <v>116.45</v>
      </c>
      <c r="AE198" t="s">
        <v>16</v>
      </c>
      <c r="AF198">
        <v>72.36</v>
      </c>
      <c r="AG198" t="s">
        <v>17</v>
      </c>
      <c r="AH198" t="s">
        <v>382</v>
      </c>
      <c r="AI198" t="s">
        <v>719</v>
      </c>
    </row>
    <row r="199" spans="2:35" x14ac:dyDescent="0.25">
      <c r="B199" s="2" t="s">
        <v>383</v>
      </c>
      <c r="C199" t="s">
        <v>5</v>
      </c>
      <c r="D199">
        <v>26</v>
      </c>
      <c r="E199" t="s">
        <v>20</v>
      </c>
      <c r="F199" t="s">
        <v>7</v>
      </c>
      <c r="G199" t="s">
        <v>40</v>
      </c>
      <c r="H199" t="s">
        <v>41</v>
      </c>
      <c r="I199" t="s">
        <v>10</v>
      </c>
      <c r="J199">
        <f>- -52296</f>
        <v>52296</v>
      </c>
      <c r="K199">
        <v>55114</v>
      </c>
      <c r="L199">
        <v>6</v>
      </c>
      <c r="M199" t="s">
        <v>12</v>
      </c>
      <c r="N199" t="s">
        <v>53</v>
      </c>
      <c r="O199">
        <v>0</v>
      </c>
      <c r="P199" t="s">
        <v>13</v>
      </c>
      <c r="Q199">
        <v>290.7</v>
      </c>
      <c r="R199" t="s">
        <v>13</v>
      </c>
      <c r="S199">
        <v>262.10000000000002</v>
      </c>
      <c r="T199" t="s">
        <v>13</v>
      </c>
      <c r="U199" t="s">
        <v>14</v>
      </c>
      <c r="V199">
        <v>42</v>
      </c>
      <c r="W199">
        <v>18</v>
      </c>
      <c r="X199">
        <v>27.8</v>
      </c>
      <c r="Y199" t="s">
        <v>15</v>
      </c>
      <c r="Z199">
        <v>71</v>
      </c>
      <c r="AA199">
        <v>13</v>
      </c>
      <c r="AB199">
        <v>24.9</v>
      </c>
      <c r="AC199">
        <v>1004623</v>
      </c>
      <c r="AD199">
        <v>7.64</v>
      </c>
      <c r="AE199" t="s">
        <v>16</v>
      </c>
      <c r="AF199">
        <v>4.75</v>
      </c>
      <c r="AG199" t="s">
        <v>17</v>
      </c>
      <c r="AH199" t="s">
        <v>238</v>
      </c>
      <c r="AI199" t="s">
        <v>667</v>
      </c>
    </row>
    <row r="200" spans="2:35" x14ac:dyDescent="0.25">
      <c r="B200" s="2" t="s">
        <v>384</v>
      </c>
      <c r="C200" t="s">
        <v>5</v>
      </c>
      <c r="D200">
        <v>26</v>
      </c>
      <c r="E200" t="s">
        <v>20</v>
      </c>
      <c r="F200" t="s">
        <v>21</v>
      </c>
      <c r="G200" t="s">
        <v>748</v>
      </c>
      <c r="H200" t="s">
        <v>45</v>
      </c>
      <c r="I200" t="s">
        <v>10</v>
      </c>
      <c r="J200" t="s">
        <v>385</v>
      </c>
      <c r="K200">
        <v>189163</v>
      </c>
      <c r="L200">
        <v>9.6</v>
      </c>
      <c r="M200" t="s">
        <v>12</v>
      </c>
      <c r="N200" t="s">
        <v>53</v>
      </c>
      <c r="O200">
        <v>0</v>
      </c>
      <c r="P200" t="s">
        <v>13</v>
      </c>
      <c r="Q200">
        <v>621.1</v>
      </c>
      <c r="R200" t="s">
        <v>13</v>
      </c>
      <c r="S200">
        <v>26.8</v>
      </c>
      <c r="T200" t="s">
        <v>13</v>
      </c>
      <c r="U200" t="s">
        <v>14</v>
      </c>
      <c r="V200">
        <v>43</v>
      </c>
      <c r="W200">
        <v>23</v>
      </c>
      <c r="X200">
        <v>46</v>
      </c>
      <c r="Y200" t="s">
        <v>15</v>
      </c>
      <c r="Z200">
        <v>72</v>
      </c>
      <c r="AA200">
        <v>17</v>
      </c>
      <c r="AB200">
        <v>51</v>
      </c>
      <c r="AC200">
        <v>1280942</v>
      </c>
      <c r="AD200">
        <v>142.28</v>
      </c>
      <c r="AE200" t="s">
        <v>16</v>
      </c>
      <c r="AF200">
        <v>88.41</v>
      </c>
      <c r="AG200" t="s">
        <v>17</v>
      </c>
      <c r="AH200" t="s">
        <v>386</v>
      </c>
      <c r="AI200" t="s">
        <v>749</v>
      </c>
    </row>
    <row r="201" spans="2:35" x14ac:dyDescent="0.25">
      <c r="B201" s="2" t="s">
        <v>387</v>
      </c>
      <c r="C201" t="s">
        <v>5</v>
      </c>
      <c r="D201">
        <v>26</v>
      </c>
      <c r="E201" t="s">
        <v>6</v>
      </c>
      <c r="F201" t="s">
        <v>656</v>
      </c>
      <c r="G201" t="s">
        <v>170</v>
      </c>
      <c r="H201" t="s">
        <v>31</v>
      </c>
      <c r="I201" t="s">
        <v>10</v>
      </c>
      <c r="J201">
        <f>- -34667</f>
        <v>34667</v>
      </c>
      <c r="K201">
        <v>60555</v>
      </c>
      <c r="L201">
        <v>155</v>
      </c>
      <c r="M201" t="s">
        <v>12</v>
      </c>
      <c r="O201">
        <v>439</v>
      </c>
      <c r="P201" t="s">
        <v>13</v>
      </c>
      <c r="Q201">
        <v>452</v>
      </c>
      <c r="R201" t="s">
        <v>13</v>
      </c>
      <c r="S201">
        <v>436.5</v>
      </c>
      <c r="T201" t="s">
        <v>13</v>
      </c>
      <c r="U201" t="s">
        <v>14</v>
      </c>
      <c r="V201">
        <v>40</v>
      </c>
      <c r="W201">
        <v>44</v>
      </c>
      <c r="X201">
        <v>54</v>
      </c>
      <c r="Y201" t="s">
        <v>15</v>
      </c>
      <c r="Z201">
        <v>73</v>
      </c>
      <c r="AA201">
        <v>59</v>
      </c>
      <c r="AB201">
        <v>9</v>
      </c>
      <c r="AC201">
        <v>1007048</v>
      </c>
      <c r="AD201">
        <v>291.18</v>
      </c>
      <c r="AE201" t="s">
        <v>16</v>
      </c>
      <c r="AF201">
        <v>180.93</v>
      </c>
      <c r="AG201" t="s">
        <v>17</v>
      </c>
      <c r="AH201" t="s">
        <v>50</v>
      </c>
      <c r="AI201" t="s">
        <v>733</v>
      </c>
    </row>
    <row r="202" spans="2:35" x14ac:dyDescent="0.25">
      <c r="B202" s="2" t="s">
        <v>388</v>
      </c>
      <c r="C202" t="s">
        <v>5</v>
      </c>
      <c r="D202">
        <v>26</v>
      </c>
      <c r="E202" t="s">
        <v>34</v>
      </c>
      <c r="F202" t="s">
        <v>21</v>
      </c>
      <c r="G202" t="s">
        <v>683</v>
      </c>
      <c r="H202" t="s">
        <v>23</v>
      </c>
      <c r="I202" t="s">
        <v>10</v>
      </c>
      <c r="J202" t="s">
        <v>389</v>
      </c>
      <c r="K202">
        <v>127912</v>
      </c>
      <c r="L202">
        <v>0.2</v>
      </c>
      <c r="M202" t="s">
        <v>12</v>
      </c>
      <c r="N202" t="s">
        <v>53</v>
      </c>
      <c r="O202">
        <v>0</v>
      </c>
      <c r="P202" t="s">
        <v>13</v>
      </c>
      <c r="Q202">
        <v>171</v>
      </c>
      <c r="R202" t="s">
        <v>13</v>
      </c>
      <c r="S202">
        <v>38</v>
      </c>
      <c r="T202" t="s">
        <v>13</v>
      </c>
      <c r="U202" t="s">
        <v>14</v>
      </c>
      <c r="V202">
        <v>41</v>
      </c>
      <c r="W202">
        <v>21</v>
      </c>
      <c r="X202">
        <v>49.3</v>
      </c>
      <c r="Y202" t="s">
        <v>15</v>
      </c>
      <c r="Z202">
        <v>74</v>
      </c>
      <c r="AA202">
        <v>40</v>
      </c>
      <c r="AB202">
        <v>39.5</v>
      </c>
      <c r="AC202" t="s">
        <v>11</v>
      </c>
      <c r="AD202">
        <v>306.08999999999997</v>
      </c>
      <c r="AE202" t="s">
        <v>16</v>
      </c>
      <c r="AF202">
        <v>190.2</v>
      </c>
      <c r="AG202" t="s">
        <v>17</v>
      </c>
      <c r="AH202" t="s">
        <v>280</v>
      </c>
      <c r="AI202" t="s">
        <v>684</v>
      </c>
    </row>
    <row r="203" spans="2:35" x14ac:dyDescent="0.25">
      <c r="B203" s="2" t="s">
        <v>390</v>
      </c>
      <c r="C203" t="s">
        <v>5</v>
      </c>
      <c r="D203">
        <v>26</v>
      </c>
      <c r="E203" t="s">
        <v>34</v>
      </c>
      <c r="F203" t="s">
        <v>21</v>
      </c>
      <c r="G203" t="s">
        <v>654</v>
      </c>
      <c r="H203" t="s">
        <v>23</v>
      </c>
      <c r="I203" t="s">
        <v>10</v>
      </c>
      <c r="J203" t="s">
        <v>391</v>
      </c>
      <c r="K203">
        <v>47855</v>
      </c>
      <c r="L203">
        <v>1.5</v>
      </c>
      <c r="M203" t="s">
        <v>12</v>
      </c>
      <c r="N203" t="s">
        <v>53</v>
      </c>
      <c r="O203">
        <v>0</v>
      </c>
      <c r="P203" t="s">
        <v>13</v>
      </c>
      <c r="Q203">
        <v>153.5</v>
      </c>
      <c r="R203" t="s">
        <v>13</v>
      </c>
      <c r="S203">
        <v>79.2</v>
      </c>
      <c r="T203" t="s">
        <v>13</v>
      </c>
      <c r="U203" t="s">
        <v>14</v>
      </c>
      <c r="V203">
        <v>40</v>
      </c>
      <c r="W203">
        <v>51</v>
      </c>
      <c r="X203">
        <v>18.2</v>
      </c>
      <c r="Y203" t="s">
        <v>15</v>
      </c>
      <c r="Z203">
        <v>72</v>
      </c>
      <c r="AA203">
        <v>46</v>
      </c>
      <c r="AB203">
        <v>8.9</v>
      </c>
      <c r="AC203">
        <v>1004116</v>
      </c>
      <c r="AD203">
        <v>211.07</v>
      </c>
      <c r="AE203" t="s">
        <v>16</v>
      </c>
      <c r="AF203">
        <v>131.15</v>
      </c>
      <c r="AG203" t="s">
        <v>17</v>
      </c>
      <c r="AH203" t="s">
        <v>392</v>
      </c>
      <c r="AI203" t="s">
        <v>750</v>
      </c>
    </row>
    <row r="204" spans="2:35" x14ac:dyDescent="0.25">
      <c r="B204" s="2" t="s">
        <v>123</v>
      </c>
      <c r="C204" t="s">
        <v>5</v>
      </c>
      <c r="D204">
        <v>26</v>
      </c>
      <c r="E204" t="s">
        <v>20</v>
      </c>
      <c r="F204" t="s">
        <v>21</v>
      </c>
      <c r="G204" t="s">
        <v>654</v>
      </c>
      <c r="H204" t="s">
        <v>23</v>
      </c>
      <c r="I204" t="s">
        <v>10</v>
      </c>
      <c r="J204" t="s">
        <v>393</v>
      </c>
      <c r="K204">
        <v>38945</v>
      </c>
      <c r="L204">
        <v>0.6</v>
      </c>
      <c r="M204" t="s">
        <v>12</v>
      </c>
      <c r="N204" t="s">
        <v>53</v>
      </c>
      <c r="O204">
        <v>0</v>
      </c>
      <c r="P204" t="s">
        <v>13</v>
      </c>
      <c r="Q204">
        <v>213</v>
      </c>
      <c r="R204" t="s">
        <v>13</v>
      </c>
      <c r="S204">
        <v>208.1</v>
      </c>
      <c r="T204" t="s">
        <v>13</v>
      </c>
      <c r="U204" t="s">
        <v>14</v>
      </c>
      <c r="V204">
        <v>40</v>
      </c>
      <c r="W204">
        <v>44</v>
      </c>
      <c r="X204">
        <v>50.3</v>
      </c>
      <c r="Y204" t="s">
        <v>15</v>
      </c>
      <c r="Z204">
        <v>73</v>
      </c>
      <c r="AA204">
        <v>56</v>
      </c>
      <c r="AB204">
        <v>36.4</v>
      </c>
      <c r="AC204" t="s">
        <v>11</v>
      </c>
      <c r="AD204">
        <v>288.49</v>
      </c>
      <c r="AE204" t="s">
        <v>16</v>
      </c>
      <c r="AF204">
        <v>179.26</v>
      </c>
      <c r="AG204" t="s">
        <v>17</v>
      </c>
      <c r="AH204" t="s">
        <v>60</v>
      </c>
      <c r="AI204" t="s">
        <v>666</v>
      </c>
    </row>
    <row r="205" spans="2:35" x14ac:dyDescent="0.25">
      <c r="B205" s="2" t="s">
        <v>394</v>
      </c>
      <c r="C205" t="s">
        <v>5</v>
      </c>
      <c r="D205">
        <v>26</v>
      </c>
      <c r="E205" t="s">
        <v>20</v>
      </c>
      <c r="F205" t="s">
        <v>7</v>
      </c>
      <c r="G205" t="s">
        <v>395</v>
      </c>
      <c r="H205" t="s">
        <v>23</v>
      </c>
      <c r="I205" t="s">
        <v>10</v>
      </c>
      <c r="J205" t="s">
        <v>396</v>
      </c>
      <c r="K205">
        <v>182618</v>
      </c>
      <c r="L205">
        <v>7.4999999999999997E-2</v>
      </c>
      <c r="M205" t="s">
        <v>12</v>
      </c>
      <c r="N205" t="s">
        <v>53</v>
      </c>
      <c r="O205">
        <v>0</v>
      </c>
      <c r="P205" t="s">
        <v>13</v>
      </c>
      <c r="Q205">
        <v>212.3</v>
      </c>
      <c r="R205" t="s">
        <v>13</v>
      </c>
      <c r="S205">
        <v>70</v>
      </c>
      <c r="T205" t="s">
        <v>13</v>
      </c>
      <c r="U205" t="s">
        <v>14</v>
      </c>
      <c r="V205">
        <v>44</v>
      </c>
      <c r="W205">
        <v>38</v>
      </c>
      <c r="X205">
        <v>54</v>
      </c>
      <c r="Y205" t="s">
        <v>15</v>
      </c>
      <c r="Z205">
        <v>75</v>
      </c>
      <c r="AA205">
        <v>1</v>
      </c>
      <c r="AB205">
        <v>6</v>
      </c>
      <c r="AC205">
        <v>1002336</v>
      </c>
      <c r="AD205">
        <v>396</v>
      </c>
      <c r="AE205" t="s">
        <v>16</v>
      </c>
      <c r="AF205">
        <v>246.06</v>
      </c>
      <c r="AG205" t="s">
        <v>17</v>
      </c>
      <c r="AH205" t="s">
        <v>397</v>
      </c>
      <c r="AI205" t="s">
        <v>751</v>
      </c>
    </row>
    <row r="206" spans="2:35" x14ac:dyDescent="0.25">
      <c r="B206" s="2" t="s">
        <v>123</v>
      </c>
      <c r="C206" t="s">
        <v>5</v>
      </c>
      <c r="D206">
        <v>26</v>
      </c>
      <c r="E206" t="s">
        <v>20</v>
      </c>
      <c r="F206" t="s">
        <v>7</v>
      </c>
      <c r="G206" t="s">
        <v>654</v>
      </c>
      <c r="H206" t="s">
        <v>23</v>
      </c>
      <c r="I206" t="s">
        <v>10</v>
      </c>
      <c r="J206">
        <f>- -36180</f>
        <v>36180</v>
      </c>
      <c r="K206">
        <v>38945</v>
      </c>
      <c r="L206">
        <v>2E-3</v>
      </c>
      <c r="M206" t="s">
        <v>12</v>
      </c>
      <c r="O206">
        <v>0</v>
      </c>
      <c r="P206" t="s">
        <v>13</v>
      </c>
      <c r="Q206">
        <v>21</v>
      </c>
      <c r="R206" t="s">
        <v>13</v>
      </c>
      <c r="S206">
        <v>10</v>
      </c>
      <c r="T206" t="s">
        <v>13</v>
      </c>
      <c r="U206" t="s">
        <v>14</v>
      </c>
      <c r="V206">
        <v>40</v>
      </c>
      <c r="W206">
        <v>40</v>
      </c>
      <c r="X206">
        <v>12</v>
      </c>
      <c r="Y206" t="s">
        <v>15</v>
      </c>
      <c r="Z206">
        <v>73</v>
      </c>
      <c r="AA206">
        <v>58</v>
      </c>
      <c r="AB206">
        <v>36.700000000000003</v>
      </c>
      <c r="AC206" t="s">
        <v>11</v>
      </c>
      <c r="AD206">
        <v>296.18</v>
      </c>
      <c r="AE206" t="s">
        <v>16</v>
      </c>
      <c r="AF206">
        <v>184.04</v>
      </c>
      <c r="AG206" t="s">
        <v>17</v>
      </c>
      <c r="AH206" t="s">
        <v>398</v>
      </c>
      <c r="AI206" t="s">
        <v>666</v>
      </c>
    </row>
    <row r="207" spans="2:35" x14ac:dyDescent="0.25">
      <c r="B207" s="2" t="s">
        <v>388</v>
      </c>
      <c r="C207" t="s">
        <v>5</v>
      </c>
      <c r="D207">
        <v>26</v>
      </c>
      <c r="E207" t="s">
        <v>20</v>
      </c>
      <c r="F207" t="s">
        <v>21</v>
      </c>
      <c r="G207" t="s">
        <v>683</v>
      </c>
      <c r="H207" t="s">
        <v>23</v>
      </c>
      <c r="I207" t="s">
        <v>10</v>
      </c>
      <c r="J207">
        <f>- -49187</f>
        <v>49187</v>
      </c>
      <c r="K207">
        <v>127912</v>
      </c>
      <c r="L207">
        <v>5.0000000000000001E-3</v>
      </c>
      <c r="M207" t="s">
        <v>12</v>
      </c>
      <c r="N207" t="s">
        <v>53</v>
      </c>
      <c r="O207">
        <v>0</v>
      </c>
      <c r="P207" t="s">
        <v>13</v>
      </c>
      <c r="Q207">
        <v>232</v>
      </c>
      <c r="R207" t="s">
        <v>13</v>
      </c>
      <c r="S207">
        <v>43</v>
      </c>
      <c r="T207" t="s">
        <v>13</v>
      </c>
      <c r="U207" t="s">
        <v>14</v>
      </c>
      <c r="V207">
        <v>40</v>
      </c>
      <c r="W207">
        <v>47</v>
      </c>
      <c r="X207">
        <v>18</v>
      </c>
      <c r="Y207" t="s">
        <v>15</v>
      </c>
      <c r="Z207">
        <v>74</v>
      </c>
      <c r="AA207">
        <v>15</v>
      </c>
      <c r="AB207">
        <v>18</v>
      </c>
      <c r="AC207">
        <v>1045804</v>
      </c>
      <c r="AD207">
        <v>306.47000000000003</v>
      </c>
      <c r="AE207" t="s">
        <v>16</v>
      </c>
      <c r="AF207">
        <v>190.43</v>
      </c>
      <c r="AG207" t="s">
        <v>17</v>
      </c>
      <c r="AH207" t="s">
        <v>225</v>
      </c>
      <c r="AI207" t="s">
        <v>684</v>
      </c>
    </row>
    <row r="208" spans="2:35" x14ac:dyDescent="0.25">
      <c r="B208" s="2" t="s">
        <v>399</v>
      </c>
      <c r="C208" t="s">
        <v>5</v>
      </c>
      <c r="D208">
        <v>26</v>
      </c>
      <c r="E208" t="s">
        <v>20</v>
      </c>
      <c r="F208" t="s">
        <v>7</v>
      </c>
      <c r="G208" t="s">
        <v>752</v>
      </c>
      <c r="H208" t="s">
        <v>23</v>
      </c>
      <c r="I208" t="s">
        <v>10</v>
      </c>
      <c r="J208">
        <f>- -52128</f>
        <v>52128</v>
      </c>
      <c r="K208">
        <v>31642</v>
      </c>
      <c r="L208">
        <v>1</v>
      </c>
      <c r="M208" t="s">
        <v>12</v>
      </c>
      <c r="N208" t="s">
        <v>53</v>
      </c>
      <c r="O208">
        <v>0</v>
      </c>
      <c r="P208" t="s">
        <v>13</v>
      </c>
      <c r="Q208">
        <v>432.3</v>
      </c>
      <c r="R208" t="s">
        <v>13</v>
      </c>
      <c r="S208">
        <v>30</v>
      </c>
      <c r="T208" t="s">
        <v>13</v>
      </c>
      <c r="U208" t="s">
        <v>14</v>
      </c>
      <c r="V208">
        <v>41</v>
      </c>
      <c r="W208">
        <v>41</v>
      </c>
      <c r="X208">
        <v>17</v>
      </c>
      <c r="Y208" t="s">
        <v>15</v>
      </c>
      <c r="Z208">
        <v>74</v>
      </c>
      <c r="AA208">
        <v>50</v>
      </c>
      <c r="AB208">
        <v>5.4</v>
      </c>
      <c r="AC208" t="s">
        <v>11</v>
      </c>
      <c r="AD208">
        <v>306.69</v>
      </c>
      <c r="AE208" t="s">
        <v>16</v>
      </c>
      <c r="AF208">
        <v>190.57</v>
      </c>
      <c r="AG208" t="s">
        <v>17</v>
      </c>
      <c r="AH208" t="s">
        <v>400</v>
      </c>
      <c r="AI208" t="s">
        <v>723</v>
      </c>
    </row>
    <row r="209" spans="2:35" x14ac:dyDescent="0.25">
      <c r="B209" s="2" t="s">
        <v>401</v>
      </c>
      <c r="C209" t="s">
        <v>5</v>
      </c>
      <c r="D209">
        <v>26</v>
      </c>
      <c r="E209" t="s">
        <v>20</v>
      </c>
      <c r="F209" t="s">
        <v>7</v>
      </c>
      <c r="G209" t="s">
        <v>248</v>
      </c>
      <c r="H209" t="s">
        <v>249</v>
      </c>
      <c r="I209" t="s">
        <v>10</v>
      </c>
      <c r="J209">
        <f>- -53449</f>
        <v>53449</v>
      </c>
      <c r="K209">
        <v>73318</v>
      </c>
      <c r="L209">
        <v>0.3</v>
      </c>
      <c r="M209" t="s">
        <v>12</v>
      </c>
      <c r="N209" t="s">
        <v>53</v>
      </c>
      <c r="O209">
        <v>0</v>
      </c>
      <c r="P209" t="s">
        <v>13</v>
      </c>
      <c r="Q209">
        <v>693.3</v>
      </c>
      <c r="R209" t="s">
        <v>13</v>
      </c>
      <c r="S209">
        <v>21.3</v>
      </c>
      <c r="T209" t="s">
        <v>13</v>
      </c>
      <c r="U209" t="s">
        <v>14</v>
      </c>
      <c r="V209">
        <v>41</v>
      </c>
      <c r="W209">
        <v>37</v>
      </c>
      <c r="X209">
        <v>52.7</v>
      </c>
      <c r="Y209" t="s">
        <v>15</v>
      </c>
      <c r="Z209">
        <v>75</v>
      </c>
      <c r="AA209">
        <v>25</v>
      </c>
      <c r="AB209">
        <v>30.6</v>
      </c>
      <c r="AC209" t="s">
        <v>11</v>
      </c>
      <c r="AD209">
        <v>355.81</v>
      </c>
      <c r="AE209" t="s">
        <v>16</v>
      </c>
      <c r="AF209">
        <v>221.09</v>
      </c>
      <c r="AG209" t="s">
        <v>17</v>
      </c>
      <c r="AH209" t="s">
        <v>402</v>
      </c>
      <c r="AI209" t="s">
        <v>753</v>
      </c>
    </row>
    <row r="210" spans="2:35" x14ac:dyDescent="0.25">
      <c r="B210" s="2" t="s">
        <v>11</v>
      </c>
      <c r="C210" t="s">
        <v>5</v>
      </c>
      <c r="D210">
        <v>26</v>
      </c>
      <c r="E210" t="s">
        <v>6</v>
      </c>
      <c r="F210" t="s">
        <v>7</v>
      </c>
      <c r="G210" t="s">
        <v>175</v>
      </c>
      <c r="H210" t="s">
        <v>110</v>
      </c>
      <c r="I210" t="s">
        <v>111</v>
      </c>
      <c r="J210" t="e">
        <f>- -CANADA277</f>
        <v>#NAME?</v>
      </c>
      <c r="K210">
        <v>704009</v>
      </c>
      <c r="L210">
        <v>269</v>
      </c>
      <c r="M210" t="s">
        <v>12</v>
      </c>
      <c r="N210" t="s">
        <v>53</v>
      </c>
      <c r="O210">
        <v>0</v>
      </c>
      <c r="P210" t="s">
        <v>13</v>
      </c>
      <c r="Q210">
        <v>200</v>
      </c>
      <c r="R210" t="s">
        <v>13</v>
      </c>
      <c r="S210">
        <v>0</v>
      </c>
      <c r="T210" t="s">
        <v>13</v>
      </c>
      <c r="U210" t="s">
        <v>14</v>
      </c>
      <c r="V210">
        <v>45</v>
      </c>
      <c r="W210">
        <v>33</v>
      </c>
      <c r="X210">
        <v>34.11</v>
      </c>
      <c r="Y210" t="s">
        <v>15</v>
      </c>
      <c r="Z210">
        <v>73</v>
      </c>
      <c r="AA210">
        <v>33</v>
      </c>
      <c r="AB210">
        <v>8.58</v>
      </c>
      <c r="AC210" t="s">
        <v>11</v>
      </c>
      <c r="AD210">
        <v>399.34</v>
      </c>
      <c r="AE210" t="s">
        <v>16</v>
      </c>
      <c r="AF210">
        <v>248.14</v>
      </c>
      <c r="AG210" t="s">
        <v>17</v>
      </c>
      <c r="AH210" t="s">
        <v>403</v>
      </c>
      <c r="AI210" t="s">
        <v>11</v>
      </c>
    </row>
    <row r="211" spans="2:35" x14ac:dyDescent="0.25">
      <c r="B211" s="2" t="s">
        <v>404</v>
      </c>
      <c r="C211" t="s">
        <v>5</v>
      </c>
      <c r="D211">
        <v>27</v>
      </c>
      <c r="E211" t="s">
        <v>6</v>
      </c>
      <c r="F211" t="s">
        <v>21</v>
      </c>
      <c r="G211" t="s">
        <v>405</v>
      </c>
      <c r="H211" t="s">
        <v>41</v>
      </c>
      <c r="I211" t="s">
        <v>10</v>
      </c>
      <c r="J211" t="s">
        <v>406</v>
      </c>
      <c r="K211">
        <v>60551</v>
      </c>
      <c r="L211">
        <v>400</v>
      </c>
      <c r="M211" t="s">
        <v>12</v>
      </c>
      <c r="N211" t="s">
        <v>53</v>
      </c>
      <c r="O211">
        <v>356</v>
      </c>
      <c r="P211" t="s">
        <v>13</v>
      </c>
      <c r="Q211">
        <v>437.1</v>
      </c>
      <c r="R211" t="s">
        <v>13</v>
      </c>
      <c r="S211">
        <v>373.7</v>
      </c>
      <c r="T211" t="s">
        <v>13</v>
      </c>
      <c r="U211" t="s">
        <v>14</v>
      </c>
      <c r="V211">
        <v>42</v>
      </c>
      <c r="W211">
        <v>23</v>
      </c>
      <c r="X211">
        <v>2.7</v>
      </c>
      <c r="Y211" t="s">
        <v>15</v>
      </c>
      <c r="Z211">
        <v>71</v>
      </c>
      <c r="AA211">
        <v>29</v>
      </c>
      <c r="AB211">
        <v>35.299999999999997</v>
      </c>
      <c r="AC211">
        <v>1046935</v>
      </c>
      <c r="AD211">
        <v>20.25</v>
      </c>
      <c r="AE211" t="s">
        <v>16</v>
      </c>
      <c r="AF211">
        <v>12.59</v>
      </c>
      <c r="AG211" t="s">
        <v>17</v>
      </c>
      <c r="AH211" t="s">
        <v>303</v>
      </c>
      <c r="AI211" t="s">
        <v>754</v>
      </c>
    </row>
    <row r="212" spans="2:35" x14ac:dyDescent="0.25">
      <c r="B212" s="2" t="s">
        <v>404</v>
      </c>
      <c r="C212" t="s">
        <v>5</v>
      </c>
      <c r="D212">
        <v>27</v>
      </c>
      <c r="E212" t="s">
        <v>6</v>
      </c>
      <c r="F212" t="s">
        <v>7</v>
      </c>
      <c r="G212" t="s">
        <v>405</v>
      </c>
      <c r="H212" t="s">
        <v>41</v>
      </c>
      <c r="I212" t="s">
        <v>10</v>
      </c>
      <c r="J212">
        <f>- -30092</f>
        <v>30092</v>
      </c>
      <c r="K212">
        <v>60551</v>
      </c>
      <c r="L212">
        <v>400</v>
      </c>
      <c r="M212" t="s">
        <v>12</v>
      </c>
      <c r="N212" t="s">
        <v>53</v>
      </c>
      <c r="O212">
        <v>356</v>
      </c>
      <c r="P212" t="s">
        <v>13</v>
      </c>
      <c r="Q212">
        <v>437.1</v>
      </c>
      <c r="R212" t="s">
        <v>13</v>
      </c>
      <c r="S212">
        <v>373.7</v>
      </c>
      <c r="T212" t="s">
        <v>13</v>
      </c>
      <c r="U212" t="s">
        <v>14</v>
      </c>
      <c r="V212">
        <v>42</v>
      </c>
      <c r="W212">
        <v>23</v>
      </c>
      <c r="X212">
        <v>2.7</v>
      </c>
      <c r="Y212" t="s">
        <v>15</v>
      </c>
      <c r="Z212">
        <v>71</v>
      </c>
      <c r="AA212">
        <v>29</v>
      </c>
      <c r="AB212">
        <v>35.299999999999997</v>
      </c>
      <c r="AC212">
        <v>1046935</v>
      </c>
      <c r="AD212">
        <v>20.25</v>
      </c>
      <c r="AE212" t="s">
        <v>16</v>
      </c>
      <c r="AF212">
        <v>12.59</v>
      </c>
      <c r="AG212" t="s">
        <v>17</v>
      </c>
      <c r="AH212" t="s">
        <v>303</v>
      </c>
      <c r="AI212" t="s">
        <v>754</v>
      </c>
    </row>
    <row r="213" spans="2:35" x14ac:dyDescent="0.25">
      <c r="B213" s="2" t="s">
        <v>404</v>
      </c>
      <c r="C213" t="s">
        <v>5</v>
      </c>
      <c r="D213">
        <v>27</v>
      </c>
      <c r="E213" t="s">
        <v>6</v>
      </c>
      <c r="F213" t="s">
        <v>7</v>
      </c>
      <c r="G213" t="s">
        <v>405</v>
      </c>
      <c r="H213" t="s">
        <v>41</v>
      </c>
      <c r="I213" t="s">
        <v>10</v>
      </c>
      <c r="J213">
        <f>- -35720</f>
        <v>35720</v>
      </c>
      <c r="K213">
        <v>60551</v>
      </c>
      <c r="L213">
        <v>170</v>
      </c>
      <c r="M213" t="s">
        <v>12</v>
      </c>
      <c r="O213">
        <v>347.5</v>
      </c>
      <c r="P213" t="s">
        <v>13</v>
      </c>
      <c r="Q213">
        <v>391</v>
      </c>
      <c r="R213" t="s">
        <v>13</v>
      </c>
      <c r="S213">
        <v>345</v>
      </c>
      <c r="T213" t="s">
        <v>13</v>
      </c>
      <c r="U213" t="s">
        <v>14</v>
      </c>
      <c r="V213">
        <v>42</v>
      </c>
      <c r="W213">
        <v>18</v>
      </c>
      <c r="X213">
        <v>10.7</v>
      </c>
      <c r="Y213" t="s">
        <v>15</v>
      </c>
      <c r="Z213">
        <v>71</v>
      </c>
      <c r="AA213">
        <v>13</v>
      </c>
      <c r="AB213">
        <v>4.9000000000000004</v>
      </c>
      <c r="AC213">
        <v>1004233</v>
      </c>
      <c r="AD213">
        <v>8.2799999999999994</v>
      </c>
      <c r="AE213" t="s">
        <v>16</v>
      </c>
      <c r="AF213">
        <v>5.14</v>
      </c>
      <c r="AG213" t="s">
        <v>17</v>
      </c>
      <c r="AH213" t="s">
        <v>407</v>
      </c>
      <c r="AI213" t="s">
        <v>754</v>
      </c>
    </row>
    <row r="214" spans="2:35" x14ac:dyDescent="0.25">
      <c r="B214" s="2" t="s">
        <v>408</v>
      </c>
      <c r="C214" t="s">
        <v>5</v>
      </c>
      <c r="D214">
        <v>27</v>
      </c>
      <c r="E214" t="s">
        <v>34</v>
      </c>
      <c r="F214" t="s">
        <v>21</v>
      </c>
      <c r="G214" t="s">
        <v>409</v>
      </c>
      <c r="H214" t="s">
        <v>45</v>
      </c>
      <c r="I214" t="s">
        <v>10</v>
      </c>
      <c r="J214" t="s">
        <v>410</v>
      </c>
      <c r="K214">
        <v>73291</v>
      </c>
      <c r="L214">
        <v>1.81</v>
      </c>
      <c r="M214" t="s">
        <v>12</v>
      </c>
      <c r="N214" t="s">
        <v>53</v>
      </c>
      <c r="O214">
        <v>0</v>
      </c>
      <c r="P214" t="s">
        <v>13</v>
      </c>
      <c r="Q214">
        <v>551</v>
      </c>
      <c r="R214" t="s">
        <v>13</v>
      </c>
      <c r="S214">
        <v>30</v>
      </c>
      <c r="T214" t="s">
        <v>13</v>
      </c>
      <c r="U214" t="s">
        <v>14</v>
      </c>
      <c r="V214">
        <v>44</v>
      </c>
      <c r="W214">
        <v>27</v>
      </c>
      <c r="X214">
        <v>30.2</v>
      </c>
      <c r="Y214" t="s">
        <v>15</v>
      </c>
      <c r="Z214">
        <v>71</v>
      </c>
      <c r="AA214">
        <v>10</v>
      </c>
      <c r="AB214">
        <v>0.2</v>
      </c>
      <c r="AC214" t="s">
        <v>11</v>
      </c>
      <c r="AD214">
        <v>231.64</v>
      </c>
      <c r="AE214" t="s">
        <v>16</v>
      </c>
      <c r="AF214">
        <v>143.94</v>
      </c>
      <c r="AG214" t="s">
        <v>17</v>
      </c>
      <c r="AH214" t="s">
        <v>411</v>
      </c>
      <c r="AI214" t="s">
        <v>682</v>
      </c>
    </row>
    <row r="215" spans="2:35" x14ac:dyDescent="0.25">
      <c r="B215" s="2" t="s">
        <v>412</v>
      </c>
      <c r="C215" t="s">
        <v>5</v>
      </c>
      <c r="D215">
        <v>27</v>
      </c>
      <c r="E215" t="s">
        <v>6</v>
      </c>
      <c r="F215" t="s">
        <v>7</v>
      </c>
      <c r="G215" t="s">
        <v>413</v>
      </c>
      <c r="H215" t="s">
        <v>45</v>
      </c>
      <c r="I215" t="s">
        <v>10</v>
      </c>
      <c r="J215">
        <f>- -30000</f>
        <v>30000</v>
      </c>
      <c r="K215">
        <v>14682</v>
      </c>
      <c r="L215">
        <v>400</v>
      </c>
      <c r="M215" t="s">
        <v>12</v>
      </c>
      <c r="N215" t="s">
        <v>53</v>
      </c>
      <c r="O215">
        <v>356</v>
      </c>
      <c r="P215" t="s">
        <v>13</v>
      </c>
      <c r="Q215">
        <v>437.1</v>
      </c>
      <c r="R215" t="s">
        <v>13</v>
      </c>
      <c r="S215">
        <v>373.7</v>
      </c>
      <c r="T215" t="s">
        <v>13</v>
      </c>
      <c r="U215" t="s">
        <v>14</v>
      </c>
      <c r="V215">
        <v>42</v>
      </c>
      <c r="W215">
        <v>23</v>
      </c>
      <c r="X215">
        <v>2.7</v>
      </c>
      <c r="Y215" t="s">
        <v>15</v>
      </c>
      <c r="Z215">
        <v>71</v>
      </c>
      <c r="AA215">
        <v>29</v>
      </c>
      <c r="AB215">
        <v>35.299999999999997</v>
      </c>
      <c r="AC215">
        <v>1046935</v>
      </c>
      <c r="AD215">
        <v>20.25</v>
      </c>
      <c r="AE215" t="s">
        <v>16</v>
      </c>
      <c r="AF215">
        <v>12.59</v>
      </c>
      <c r="AG215" t="s">
        <v>17</v>
      </c>
      <c r="AH215" t="s">
        <v>303</v>
      </c>
      <c r="AI215" t="s">
        <v>755</v>
      </c>
    </row>
    <row r="216" spans="2:35" x14ac:dyDescent="0.25">
      <c r="B216" s="2" t="s">
        <v>414</v>
      </c>
      <c r="C216" t="s">
        <v>5</v>
      </c>
      <c r="D216">
        <v>27</v>
      </c>
      <c r="E216" t="s">
        <v>20</v>
      </c>
      <c r="F216" t="s">
        <v>21</v>
      </c>
      <c r="G216" t="s">
        <v>415</v>
      </c>
      <c r="H216" t="s">
        <v>31</v>
      </c>
      <c r="I216" t="s">
        <v>10</v>
      </c>
      <c r="J216">
        <f>- -58689</f>
        <v>58689</v>
      </c>
      <c r="K216">
        <v>48484</v>
      </c>
      <c r="L216">
        <v>1.5</v>
      </c>
      <c r="M216" t="s">
        <v>12</v>
      </c>
      <c r="N216" t="s">
        <v>53</v>
      </c>
      <c r="O216">
        <v>0</v>
      </c>
      <c r="P216" t="s">
        <v>13</v>
      </c>
      <c r="Q216">
        <v>409</v>
      </c>
      <c r="R216" t="s">
        <v>13</v>
      </c>
      <c r="S216">
        <v>35</v>
      </c>
      <c r="T216" t="s">
        <v>13</v>
      </c>
      <c r="U216" t="s">
        <v>14</v>
      </c>
      <c r="V216">
        <v>40</v>
      </c>
      <c r="W216">
        <v>46</v>
      </c>
      <c r="X216">
        <v>14.3</v>
      </c>
      <c r="Y216" t="s">
        <v>15</v>
      </c>
      <c r="Z216">
        <v>75</v>
      </c>
      <c r="AA216">
        <v>3</v>
      </c>
      <c r="AB216">
        <v>50.6</v>
      </c>
      <c r="AC216" t="s">
        <v>11</v>
      </c>
      <c r="AD216">
        <v>364.75</v>
      </c>
      <c r="AE216" t="s">
        <v>16</v>
      </c>
      <c r="AF216">
        <v>226.65</v>
      </c>
      <c r="AG216" t="s">
        <v>17</v>
      </c>
      <c r="AH216" t="s">
        <v>416</v>
      </c>
      <c r="AI216" t="s">
        <v>680</v>
      </c>
    </row>
    <row r="217" spans="2:35" x14ac:dyDescent="0.25">
      <c r="B217" s="2" t="s">
        <v>417</v>
      </c>
      <c r="C217" t="s">
        <v>5</v>
      </c>
      <c r="D217">
        <v>27</v>
      </c>
      <c r="E217" t="s">
        <v>6</v>
      </c>
      <c r="F217" t="s">
        <v>7</v>
      </c>
      <c r="G217" t="s">
        <v>65</v>
      </c>
      <c r="H217" t="s">
        <v>23</v>
      </c>
      <c r="I217" t="s">
        <v>10</v>
      </c>
      <c r="J217">
        <f>- -28447</f>
        <v>28447</v>
      </c>
      <c r="K217">
        <v>11260</v>
      </c>
      <c r="L217">
        <v>298</v>
      </c>
      <c r="M217" t="s">
        <v>12</v>
      </c>
      <c r="N217" t="s">
        <v>53</v>
      </c>
      <c r="O217">
        <v>278</v>
      </c>
      <c r="P217" t="s">
        <v>13</v>
      </c>
      <c r="Q217">
        <v>671</v>
      </c>
      <c r="R217" t="s">
        <v>13</v>
      </c>
      <c r="S217">
        <v>162</v>
      </c>
      <c r="T217" t="s">
        <v>13</v>
      </c>
      <c r="U217" t="s">
        <v>14</v>
      </c>
      <c r="V217">
        <v>42</v>
      </c>
      <c r="W217">
        <v>3</v>
      </c>
      <c r="X217">
        <v>39</v>
      </c>
      <c r="Y217" t="s">
        <v>15</v>
      </c>
      <c r="Z217">
        <v>75</v>
      </c>
      <c r="AA217">
        <v>56</v>
      </c>
      <c r="AB217">
        <v>35</v>
      </c>
      <c r="AC217">
        <v>1007060</v>
      </c>
      <c r="AD217">
        <v>389.27</v>
      </c>
      <c r="AE217" t="s">
        <v>16</v>
      </c>
      <c r="AF217">
        <v>241.88</v>
      </c>
      <c r="AG217" t="s">
        <v>17</v>
      </c>
      <c r="AH217" t="s">
        <v>278</v>
      </c>
      <c r="AI217" t="s">
        <v>677</v>
      </c>
    </row>
    <row r="218" spans="2:35" x14ac:dyDescent="0.25">
      <c r="B218" s="2" t="s">
        <v>171</v>
      </c>
      <c r="C218" t="s">
        <v>5</v>
      </c>
      <c r="D218">
        <v>27</v>
      </c>
      <c r="E218" t="s">
        <v>20</v>
      </c>
      <c r="F218" t="s">
        <v>7</v>
      </c>
      <c r="G218" t="s">
        <v>91</v>
      </c>
      <c r="H218" t="s">
        <v>23</v>
      </c>
      <c r="I218" t="s">
        <v>10</v>
      </c>
      <c r="J218">
        <f>- -53981</f>
        <v>53981</v>
      </c>
      <c r="K218">
        <v>73363</v>
      </c>
      <c r="L218">
        <v>15</v>
      </c>
      <c r="M218" t="s">
        <v>12</v>
      </c>
      <c r="O218">
        <v>0</v>
      </c>
      <c r="P218" t="s">
        <v>13</v>
      </c>
      <c r="Q218">
        <v>491</v>
      </c>
      <c r="R218" t="s">
        <v>13</v>
      </c>
      <c r="S218">
        <v>201.4</v>
      </c>
      <c r="T218" t="s">
        <v>13</v>
      </c>
      <c r="U218" t="s">
        <v>14</v>
      </c>
      <c r="V218">
        <v>42</v>
      </c>
      <c r="W218">
        <v>47</v>
      </c>
      <c r="X218">
        <v>9</v>
      </c>
      <c r="Y218" t="s">
        <v>15</v>
      </c>
      <c r="Z218">
        <v>73</v>
      </c>
      <c r="AA218">
        <v>37</v>
      </c>
      <c r="AB218">
        <v>41</v>
      </c>
      <c r="AC218">
        <v>1004249</v>
      </c>
      <c r="AD218">
        <v>200.71</v>
      </c>
      <c r="AE218" t="s">
        <v>16</v>
      </c>
      <c r="AF218">
        <v>124.71</v>
      </c>
      <c r="AG218" t="s">
        <v>17</v>
      </c>
      <c r="AH218" t="s">
        <v>370</v>
      </c>
      <c r="AI218" t="s">
        <v>672</v>
      </c>
    </row>
    <row r="219" spans="2:35" x14ac:dyDescent="0.25">
      <c r="B219" s="2" t="s">
        <v>418</v>
      </c>
      <c r="C219" t="s">
        <v>5</v>
      </c>
      <c r="D219">
        <v>27</v>
      </c>
      <c r="E219" t="s">
        <v>6</v>
      </c>
      <c r="F219" t="s">
        <v>7</v>
      </c>
      <c r="G219" t="s">
        <v>419</v>
      </c>
      <c r="H219" t="s">
        <v>23</v>
      </c>
      <c r="I219" t="s">
        <v>10</v>
      </c>
      <c r="J219">
        <f>- -62980</f>
        <v>62980</v>
      </c>
      <c r="K219">
        <v>73206</v>
      </c>
      <c r="L219">
        <v>1000</v>
      </c>
      <c r="M219" t="s">
        <v>12</v>
      </c>
      <c r="N219" t="s">
        <v>53</v>
      </c>
      <c r="O219">
        <v>193</v>
      </c>
      <c r="P219" t="s">
        <v>13</v>
      </c>
      <c r="Q219">
        <v>216.4</v>
      </c>
      <c r="R219" t="s">
        <v>13</v>
      </c>
      <c r="S219">
        <v>189</v>
      </c>
      <c r="T219" t="s">
        <v>13</v>
      </c>
      <c r="U219" t="s">
        <v>14</v>
      </c>
      <c r="V219">
        <v>40</v>
      </c>
      <c r="W219">
        <v>53</v>
      </c>
      <c r="X219">
        <v>50.3</v>
      </c>
      <c r="Y219" t="s">
        <v>15</v>
      </c>
      <c r="Z219">
        <v>72</v>
      </c>
      <c r="AA219">
        <v>54</v>
      </c>
      <c r="AB219">
        <v>54.2</v>
      </c>
      <c r="AC219">
        <v>1006717</v>
      </c>
      <c r="AD219">
        <v>214.97</v>
      </c>
      <c r="AE219" t="s">
        <v>16</v>
      </c>
      <c r="AF219">
        <v>133.57</v>
      </c>
      <c r="AG219" t="s">
        <v>17</v>
      </c>
      <c r="AH219" t="s">
        <v>420</v>
      </c>
      <c r="AI219" t="s">
        <v>756</v>
      </c>
    </row>
    <row r="220" spans="2:35" x14ac:dyDescent="0.25">
      <c r="B220" s="2" t="s">
        <v>421</v>
      </c>
      <c r="C220" t="s">
        <v>5</v>
      </c>
      <c r="D220">
        <v>27</v>
      </c>
      <c r="E220" t="s">
        <v>20</v>
      </c>
      <c r="F220" t="s">
        <v>7</v>
      </c>
      <c r="G220" t="s">
        <v>422</v>
      </c>
      <c r="H220" t="s">
        <v>249</v>
      </c>
      <c r="I220" t="s">
        <v>10</v>
      </c>
      <c r="J220">
        <f>- -54833</f>
        <v>54833</v>
      </c>
      <c r="K220">
        <v>73375</v>
      </c>
      <c r="L220">
        <v>0.3</v>
      </c>
      <c r="M220" t="s">
        <v>12</v>
      </c>
      <c r="N220" t="s">
        <v>53</v>
      </c>
      <c r="O220">
        <v>0</v>
      </c>
      <c r="P220" t="s">
        <v>13</v>
      </c>
      <c r="Q220">
        <v>683</v>
      </c>
      <c r="R220" t="s">
        <v>13</v>
      </c>
      <c r="S220">
        <v>21.3</v>
      </c>
      <c r="T220" t="s">
        <v>13</v>
      </c>
      <c r="U220" t="s">
        <v>14</v>
      </c>
      <c r="V220">
        <v>41</v>
      </c>
      <c r="W220">
        <v>37</v>
      </c>
      <c r="X220">
        <v>55.3</v>
      </c>
      <c r="Y220" t="s">
        <v>15</v>
      </c>
      <c r="Z220">
        <v>75</v>
      </c>
      <c r="AA220">
        <v>25</v>
      </c>
      <c r="AB220">
        <v>31.6</v>
      </c>
      <c r="AC220" t="s">
        <v>11</v>
      </c>
      <c r="AD220">
        <v>355.81</v>
      </c>
      <c r="AE220" t="s">
        <v>16</v>
      </c>
      <c r="AF220">
        <v>221.09</v>
      </c>
      <c r="AG220" t="s">
        <v>17</v>
      </c>
      <c r="AH220" t="s">
        <v>250</v>
      </c>
      <c r="AI220" t="s">
        <v>740</v>
      </c>
    </row>
    <row r="221" spans="2:35" x14ac:dyDescent="0.25">
      <c r="B221" s="2" t="s">
        <v>423</v>
      </c>
      <c r="C221" t="s">
        <v>5</v>
      </c>
      <c r="D221">
        <v>27</v>
      </c>
      <c r="E221" t="s">
        <v>20</v>
      </c>
      <c r="F221" t="s">
        <v>7</v>
      </c>
      <c r="G221" t="s">
        <v>100</v>
      </c>
      <c r="H221" t="s">
        <v>101</v>
      </c>
      <c r="I221" t="s">
        <v>10</v>
      </c>
      <c r="J221">
        <f>- -54673</f>
        <v>54673</v>
      </c>
      <c r="K221">
        <v>67941</v>
      </c>
      <c r="L221">
        <v>15</v>
      </c>
      <c r="M221" t="s">
        <v>12</v>
      </c>
      <c r="N221" t="s">
        <v>53</v>
      </c>
      <c r="O221">
        <v>0</v>
      </c>
      <c r="P221" t="s">
        <v>13</v>
      </c>
      <c r="Q221">
        <v>633</v>
      </c>
      <c r="R221" t="s">
        <v>13</v>
      </c>
      <c r="S221">
        <v>8</v>
      </c>
      <c r="T221" t="s">
        <v>13</v>
      </c>
      <c r="U221" t="s">
        <v>14</v>
      </c>
      <c r="V221">
        <v>44</v>
      </c>
      <c r="W221">
        <v>21</v>
      </c>
      <c r="X221">
        <v>52.1</v>
      </c>
      <c r="Y221" t="s">
        <v>15</v>
      </c>
      <c r="Z221">
        <v>72</v>
      </c>
      <c r="AA221">
        <v>55</v>
      </c>
      <c r="AB221">
        <v>51.4</v>
      </c>
      <c r="AC221" t="s">
        <v>11</v>
      </c>
      <c r="AD221">
        <v>259.83</v>
      </c>
      <c r="AE221" t="s">
        <v>16</v>
      </c>
      <c r="AF221">
        <v>161.44999999999999</v>
      </c>
      <c r="AG221" t="s">
        <v>17</v>
      </c>
      <c r="AH221" t="s">
        <v>424</v>
      </c>
      <c r="AI221" t="s">
        <v>757</v>
      </c>
    </row>
    <row r="222" spans="2:35" x14ac:dyDescent="0.25">
      <c r="B222" s="2" t="s">
        <v>425</v>
      </c>
      <c r="C222" t="s">
        <v>5</v>
      </c>
      <c r="D222">
        <v>28</v>
      </c>
      <c r="E222" t="s">
        <v>6</v>
      </c>
      <c r="F222" t="s">
        <v>656</v>
      </c>
      <c r="G222" t="s">
        <v>758</v>
      </c>
      <c r="H222" t="s">
        <v>115</v>
      </c>
      <c r="I222" t="s">
        <v>10</v>
      </c>
      <c r="J222">
        <f>- -63882</f>
        <v>63882</v>
      </c>
      <c r="K222">
        <v>51980</v>
      </c>
      <c r="L222">
        <v>500</v>
      </c>
      <c r="M222" t="s">
        <v>12</v>
      </c>
      <c r="N222" t="s">
        <v>53</v>
      </c>
      <c r="O222">
        <v>504.8</v>
      </c>
      <c r="P222" t="s">
        <v>13</v>
      </c>
      <c r="Q222">
        <v>603.5</v>
      </c>
      <c r="R222" t="s">
        <v>13</v>
      </c>
      <c r="S222">
        <v>387.1</v>
      </c>
      <c r="T222" t="s">
        <v>13</v>
      </c>
      <c r="U222" t="s">
        <v>14</v>
      </c>
      <c r="V222">
        <v>41</v>
      </c>
      <c r="W222">
        <v>42</v>
      </c>
      <c r="X222">
        <v>13</v>
      </c>
      <c r="Y222" t="s">
        <v>15</v>
      </c>
      <c r="Z222">
        <v>72</v>
      </c>
      <c r="AA222">
        <v>49</v>
      </c>
      <c r="AB222">
        <v>55</v>
      </c>
      <c r="AC222">
        <v>1041624</v>
      </c>
      <c r="AD222">
        <v>150.86000000000001</v>
      </c>
      <c r="AE222" t="s">
        <v>16</v>
      </c>
      <c r="AF222">
        <v>93.74</v>
      </c>
      <c r="AG222" t="s">
        <v>17</v>
      </c>
      <c r="AH222" t="s">
        <v>263</v>
      </c>
      <c r="AI222" t="s">
        <v>759</v>
      </c>
    </row>
    <row r="223" spans="2:35" x14ac:dyDescent="0.25">
      <c r="B223" s="2" t="s">
        <v>426</v>
      </c>
      <c r="C223" t="s">
        <v>5</v>
      </c>
      <c r="D223">
        <v>28</v>
      </c>
      <c r="E223" t="s">
        <v>34</v>
      </c>
      <c r="F223" t="s">
        <v>21</v>
      </c>
      <c r="G223" t="s">
        <v>82</v>
      </c>
      <c r="H223" t="s">
        <v>45</v>
      </c>
      <c r="I223" t="s">
        <v>10</v>
      </c>
      <c r="J223" t="s">
        <v>427</v>
      </c>
      <c r="K223">
        <v>9765</v>
      </c>
      <c r="L223">
        <v>1.04</v>
      </c>
      <c r="M223" t="s">
        <v>12</v>
      </c>
      <c r="O223">
        <v>0</v>
      </c>
      <c r="P223" t="s">
        <v>13</v>
      </c>
      <c r="Q223">
        <v>126.8</v>
      </c>
      <c r="R223" t="s">
        <v>13</v>
      </c>
      <c r="S223">
        <v>33.5</v>
      </c>
      <c r="T223" t="s">
        <v>13</v>
      </c>
      <c r="U223" t="s">
        <v>14</v>
      </c>
      <c r="V223">
        <v>42</v>
      </c>
      <c r="W223">
        <v>43</v>
      </c>
      <c r="X223">
        <v>23.3</v>
      </c>
      <c r="Y223" t="s">
        <v>15</v>
      </c>
      <c r="Z223">
        <v>71</v>
      </c>
      <c r="AA223">
        <v>27</v>
      </c>
      <c r="AB223">
        <v>37.200000000000003</v>
      </c>
      <c r="AC223" t="s">
        <v>11</v>
      </c>
      <c r="AD223">
        <v>42.52</v>
      </c>
      <c r="AE223" t="s">
        <v>16</v>
      </c>
      <c r="AF223">
        <v>26.42</v>
      </c>
      <c r="AG223" t="s">
        <v>17</v>
      </c>
      <c r="AH223" t="s">
        <v>428</v>
      </c>
      <c r="AI223" t="s">
        <v>661</v>
      </c>
    </row>
    <row r="224" spans="2:35" x14ac:dyDescent="0.25">
      <c r="B224" s="2" t="s">
        <v>429</v>
      </c>
      <c r="C224" t="s">
        <v>5</v>
      </c>
      <c r="D224">
        <v>28</v>
      </c>
      <c r="E224" t="s">
        <v>181</v>
      </c>
      <c r="F224" t="s">
        <v>21</v>
      </c>
      <c r="G224" t="s">
        <v>314</v>
      </c>
      <c r="H224" t="s">
        <v>23</v>
      </c>
      <c r="I224" t="s">
        <v>10</v>
      </c>
      <c r="J224">
        <f>- -1609</f>
        <v>1609</v>
      </c>
      <c r="K224">
        <v>34342</v>
      </c>
      <c r="L224">
        <v>12.7</v>
      </c>
      <c r="M224" t="s">
        <v>12</v>
      </c>
      <c r="N224" t="s">
        <v>53</v>
      </c>
      <c r="O224">
        <v>0</v>
      </c>
      <c r="P224" t="s">
        <v>13</v>
      </c>
      <c r="Q224">
        <v>381</v>
      </c>
      <c r="R224" t="s">
        <v>13</v>
      </c>
      <c r="S224">
        <v>18</v>
      </c>
      <c r="T224" t="s">
        <v>13</v>
      </c>
      <c r="U224" t="s">
        <v>14</v>
      </c>
      <c r="V224">
        <v>43</v>
      </c>
      <c r="W224">
        <v>8</v>
      </c>
      <c r="X224">
        <v>34</v>
      </c>
      <c r="Y224" t="s">
        <v>15</v>
      </c>
      <c r="Z224">
        <v>75</v>
      </c>
      <c r="AA224">
        <v>10</v>
      </c>
      <c r="AB224">
        <v>33</v>
      </c>
      <c r="AC224">
        <v>1044680</v>
      </c>
      <c r="AD224">
        <v>332.72</v>
      </c>
      <c r="AE224" t="s">
        <v>16</v>
      </c>
      <c r="AF224">
        <v>206.74</v>
      </c>
      <c r="AG224" t="s">
        <v>17</v>
      </c>
      <c r="AH224" t="s">
        <v>430</v>
      </c>
      <c r="AI224" t="s">
        <v>760</v>
      </c>
    </row>
    <row r="225" spans="2:35" x14ac:dyDescent="0.25">
      <c r="B225" s="2" t="s">
        <v>429</v>
      </c>
      <c r="C225" t="s">
        <v>5</v>
      </c>
      <c r="D225">
        <v>28</v>
      </c>
      <c r="E225" t="s">
        <v>181</v>
      </c>
      <c r="F225" t="s">
        <v>74</v>
      </c>
      <c r="G225" t="s">
        <v>314</v>
      </c>
      <c r="H225" t="s">
        <v>23</v>
      </c>
      <c r="I225" t="s">
        <v>10</v>
      </c>
      <c r="J225">
        <f>- -35669</f>
        <v>35669</v>
      </c>
      <c r="K225">
        <v>34342</v>
      </c>
      <c r="L225">
        <v>15</v>
      </c>
      <c r="M225" t="s">
        <v>12</v>
      </c>
      <c r="O225">
        <v>0</v>
      </c>
      <c r="P225" t="s">
        <v>13</v>
      </c>
      <c r="Q225">
        <v>432</v>
      </c>
      <c r="R225" t="s">
        <v>13</v>
      </c>
      <c r="S225">
        <v>64</v>
      </c>
      <c r="T225" t="s">
        <v>13</v>
      </c>
      <c r="U225" t="s">
        <v>14</v>
      </c>
      <c r="V225">
        <v>43</v>
      </c>
      <c r="W225">
        <v>8</v>
      </c>
      <c r="X225">
        <v>39</v>
      </c>
      <c r="Y225" t="s">
        <v>15</v>
      </c>
      <c r="Z225">
        <v>75</v>
      </c>
      <c r="AA225">
        <v>10</v>
      </c>
      <c r="AB225">
        <v>44</v>
      </c>
      <c r="AC225">
        <v>1006963</v>
      </c>
      <c r="AD225">
        <v>332.99</v>
      </c>
      <c r="AE225" t="s">
        <v>16</v>
      </c>
      <c r="AF225">
        <v>206.91</v>
      </c>
      <c r="AG225" t="s">
        <v>17</v>
      </c>
      <c r="AH225" t="s">
        <v>431</v>
      </c>
      <c r="AI225" t="s">
        <v>760</v>
      </c>
    </row>
    <row r="226" spans="2:35" x14ac:dyDescent="0.25">
      <c r="B226" s="2" t="s">
        <v>432</v>
      </c>
      <c r="C226" t="s">
        <v>5</v>
      </c>
      <c r="D226">
        <v>28</v>
      </c>
      <c r="E226" t="s">
        <v>20</v>
      </c>
      <c r="F226" t="s">
        <v>21</v>
      </c>
      <c r="G226" t="s">
        <v>654</v>
      </c>
      <c r="H226" t="s">
        <v>23</v>
      </c>
      <c r="I226" t="s">
        <v>10</v>
      </c>
      <c r="J226">
        <f>- -52790</f>
        <v>52790</v>
      </c>
      <c r="K226">
        <v>130477</v>
      </c>
      <c r="L226">
        <v>1.04</v>
      </c>
      <c r="M226" t="s">
        <v>12</v>
      </c>
      <c r="N226" t="s">
        <v>53</v>
      </c>
      <c r="O226">
        <v>0</v>
      </c>
      <c r="P226" t="s">
        <v>13</v>
      </c>
      <c r="Q226">
        <v>232</v>
      </c>
      <c r="R226" t="s">
        <v>13</v>
      </c>
      <c r="S226">
        <v>43</v>
      </c>
      <c r="T226" t="s">
        <v>13</v>
      </c>
      <c r="U226" t="s">
        <v>14</v>
      </c>
      <c r="V226">
        <v>40</v>
      </c>
      <c r="W226">
        <v>47</v>
      </c>
      <c r="X226">
        <v>18</v>
      </c>
      <c r="Y226" t="s">
        <v>15</v>
      </c>
      <c r="Z226">
        <v>74</v>
      </c>
      <c r="AA226">
        <v>15</v>
      </c>
      <c r="AB226">
        <v>18</v>
      </c>
      <c r="AC226">
        <v>1045804</v>
      </c>
      <c r="AD226">
        <v>306.47000000000003</v>
      </c>
      <c r="AE226" t="s">
        <v>16</v>
      </c>
      <c r="AF226">
        <v>190.43</v>
      </c>
      <c r="AG226" t="s">
        <v>17</v>
      </c>
      <c r="AH226" t="s">
        <v>225</v>
      </c>
      <c r="AI226" t="s">
        <v>684</v>
      </c>
    </row>
    <row r="227" spans="2:35" x14ac:dyDescent="0.25">
      <c r="B227" s="2" t="s">
        <v>171</v>
      </c>
      <c r="C227" t="s">
        <v>5</v>
      </c>
      <c r="D227">
        <v>28</v>
      </c>
      <c r="E227" t="s">
        <v>20</v>
      </c>
      <c r="F227" t="s">
        <v>7</v>
      </c>
      <c r="G227" t="s">
        <v>91</v>
      </c>
      <c r="H227" t="s">
        <v>23</v>
      </c>
      <c r="I227" t="s">
        <v>10</v>
      </c>
      <c r="J227">
        <f>- -53982</f>
        <v>53982</v>
      </c>
      <c r="K227">
        <v>73363</v>
      </c>
      <c r="L227">
        <v>15</v>
      </c>
      <c r="M227" t="s">
        <v>12</v>
      </c>
      <c r="O227">
        <v>0</v>
      </c>
      <c r="P227" t="s">
        <v>13</v>
      </c>
      <c r="Q227">
        <v>442.3</v>
      </c>
      <c r="R227" t="s">
        <v>13</v>
      </c>
      <c r="S227">
        <v>40</v>
      </c>
      <c r="T227" t="s">
        <v>13</v>
      </c>
      <c r="U227" t="s">
        <v>14</v>
      </c>
      <c r="V227">
        <v>43</v>
      </c>
      <c r="W227">
        <v>18</v>
      </c>
      <c r="X227">
        <v>17</v>
      </c>
      <c r="Y227" t="s">
        <v>15</v>
      </c>
      <c r="Z227">
        <v>73</v>
      </c>
      <c r="AA227">
        <v>45</v>
      </c>
      <c r="AB227">
        <v>5</v>
      </c>
      <c r="AC227">
        <v>1200269</v>
      </c>
      <c r="AD227">
        <v>229.32</v>
      </c>
      <c r="AE227" t="s">
        <v>16</v>
      </c>
      <c r="AF227">
        <v>142.49</v>
      </c>
      <c r="AG227" t="s">
        <v>17</v>
      </c>
      <c r="AH227" t="s">
        <v>208</v>
      </c>
      <c r="AI227" t="s">
        <v>672</v>
      </c>
    </row>
    <row r="228" spans="2:35" x14ac:dyDescent="0.25">
      <c r="B228" s="2" t="s">
        <v>388</v>
      </c>
      <c r="C228" t="s">
        <v>5</v>
      </c>
      <c r="D228">
        <v>28</v>
      </c>
      <c r="E228" t="s">
        <v>20</v>
      </c>
      <c r="F228" t="s">
        <v>656</v>
      </c>
      <c r="G228" t="s">
        <v>654</v>
      </c>
      <c r="H228" t="s">
        <v>23</v>
      </c>
      <c r="I228" t="s">
        <v>10</v>
      </c>
      <c r="J228">
        <f>- -67908</f>
        <v>67908</v>
      </c>
      <c r="K228">
        <v>127912</v>
      </c>
      <c r="L228">
        <v>15</v>
      </c>
      <c r="M228" t="s">
        <v>12</v>
      </c>
      <c r="N228" t="s">
        <v>53</v>
      </c>
      <c r="O228">
        <v>0</v>
      </c>
      <c r="P228" t="s">
        <v>13</v>
      </c>
      <c r="Q228">
        <v>240.8</v>
      </c>
      <c r="R228" t="s">
        <v>13</v>
      </c>
      <c r="S228">
        <v>82.3</v>
      </c>
      <c r="T228" t="s">
        <v>13</v>
      </c>
      <c r="U228" t="s">
        <v>14</v>
      </c>
      <c r="V228">
        <v>40</v>
      </c>
      <c r="W228">
        <v>57</v>
      </c>
      <c r="X228">
        <v>39</v>
      </c>
      <c r="Y228" t="s">
        <v>15</v>
      </c>
      <c r="Z228">
        <v>73</v>
      </c>
      <c r="AA228">
        <v>55</v>
      </c>
      <c r="AB228">
        <v>21</v>
      </c>
      <c r="AC228">
        <v>1048672</v>
      </c>
      <c r="AD228">
        <v>272.52999999999997</v>
      </c>
      <c r="AE228" t="s">
        <v>16</v>
      </c>
      <c r="AF228">
        <v>169.34</v>
      </c>
      <c r="AG228" t="s">
        <v>17</v>
      </c>
      <c r="AH228" t="s">
        <v>433</v>
      </c>
      <c r="AI228" t="s">
        <v>684</v>
      </c>
    </row>
    <row r="229" spans="2:35" x14ac:dyDescent="0.25">
      <c r="B229" s="2" t="s">
        <v>434</v>
      </c>
      <c r="C229" t="s">
        <v>5</v>
      </c>
      <c r="D229">
        <v>28</v>
      </c>
      <c r="E229" t="s">
        <v>20</v>
      </c>
      <c r="F229" t="s">
        <v>21</v>
      </c>
      <c r="G229" t="s">
        <v>134</v>
      </c>
      <c r="H229" t="s">
        <v>101</v>
      </c>
      <c r="I229" t="s">
        <v>10</v>
      </c>
      <c r="J229" t="s">
        <v>435</v>
      </c>
      <c r="K229">
        <v>130222</v>
      </c>
      <c r="L229">
        <v>0.96</v>
      </c>
      <c r="M229" t="s">
        <v>12</v>
      </c>
      <c r="O229">
        <v>0</v>
      </c>
      <c r="P229" t="s">
        <v>13</v>
      </c>
      <c r="Q229">
        <v>983.1</v>
      </c>
      <c r="R229" t="s">
        <v>13</v>
      </c>
      <c r="S229">
        <v>26</v>
      </c>
      <c r="T229" t="s">
        <v>13</v>
      </c>
      <c r="U229" t="s">
        <v>14</v>
      </c>
      <c r="V229">
        <v>43</v>
      </c>
      <c r="W229">
        <v>26</v>
      </c>
      <c r="X229">
        <v>38</v>
      </c>
      <c r="Y229" t="s">
        <v>15</v>
      </c>
      <c r="Z229">
        <v>72</v>
      </c>
      <c r="AA229">
        <v>27</v>
      </c>
      <c r="AB229">
        <v>15</v>
      </c>
      <c r="AC229">
        <v>1042342</v>
      </c>
      <c r="AD229">
        <v>154.37</v>
      </c>
      <c r="AE229" t="s">
        <v>16</v>
      </c>
      <c r="AF229">
        <v>95.92</v>
      </c>
      <c r="AG229" t="s">
        <v>17</v>
      </c>
      <c r="AH229" t="s">
        <v>436</v>
      </c>
      <c r="AI229" t="s">
        <v>761</v>
      </c>
    </row>
    <row r="230" spans="2:35" x14ac:dyDescent="0.25">
      <c r="B230" s="2" t="s">
        <v>437</v>
      </c>
      <c r="C230" t="s">
        <v>5</v>
      </c>
      <c r="D230">
        <v>28</v>
      </c>
      <c r="E230" t="s">
        <v>6</v>
      </c>
      <c r="F230" t="s">
        <v>656</v>
      </c>
      <c r="G230" t="s">
        <v>762</v>
      </c>
      <c r="H230" t="s">
        <v>101</v>
      </c>
      <c r="I230" t="s">
        <v>10</v>
      </c>
      <c r="J230">
        <f>- -29682</f>
        <v>29682</v>
      </c>
      <c r="K230">
        <v>69940</v>
      </c>
      <c r="L230">
        <v>209</v>
      </c>
      <c r="M230" t="s">
        <v>12</v>
      </c>
      <c r="O230">
        <v>588.5</v>
      </c>
      <c r="P230" t="s">
        <v>13</v>
      </c>
      <c r="Q230">
        <v>1022.4</v>
      </c>
      <c r="R230" t="s">
        <v>13</v>
      </c>
      <c r="S230">
        <v>30.3</v>
      </c>
      <c r="T230" t="s">
        <v>13</v>
      </c>
      <c r="U230" t="s">
        <v>14</v>
      </c>
      <c r="V230">
        <v>44</v>
      </c>
      <c r="W230">
        <v>34</v>
      </c>
      <c r="X230">
        <v>14.5</v>
      </c>
      <c r="Y230" t="s">
        <v>15</v>
      </c>
      <c r="Z230">
        <v>71</v>
      </c>
      <c r="AA230">
        <v>53</v>
      </c>
      <c r="AB230">
        <v>35.1</v>
      </c>
      <c r="AC230" t="s">
        <v>11</v>
      </c>
      <c r="AD230">
        <v>249.56</v>
      </c>
      <c r="AE230" t="s">
        <v>16</v>
      </c>
      <c r="AF230">
        <v>155.07</v>
      </c>
      <c r="AG230" t="s">
        <v>17</v>
      </c>
      <c r="AH230" t="s">
        <v>438</v>
      </c>
      <c r="AI230" t="s">
        <v>686</v>
      </c>
    </row>
    <row r="231" spans="2:35" x14ac:dyDescent="0.25">
      <c r="B231" s="2" t="s">
        <v>439</v>
      </c>
      <c r="C231" t="s">
        <v>5</v>
      </c>
      <c r="D231">
        <v>29</v>
      </c>
      <c r="E231" t="s">
        <v>20</v>
      </c>
      <c r="F231" t="s">
        <v>7</v>
      </c>
      <c r="G231" t="s">
        <v>51</v>
      </c>
      <c r="H231" t="s">
        <v>41</v>
      </c>
      <c r="I231" t="s">
        <v>10</v>
      </c>
      <c r="J231">
        <f>- -53148</f>
        <v>53148</v>
      </c>
      <c r="K231">
        <v>31453</v>
      </c>
      <c r="L231">
        <v>5</v>
      </c>
      <c r="M231" t="s">
        <v>12</v>
      </c>
      <c r="N231" t="s">
        <v>53</v>
      </c>
      <c r="O231">
        <v>0</v>
      </c>
      <c r="P231" t="s">
        <v>13</v>
      </c>
      <c r="Q231">
        <v>293.39999999999998</v>
      </c>
      <c r="R231" t="s">
        <v>13</v>
      </c>
      <c r="S231">
        <v>77.7</v>
      </c>
      <c r="T231" t="s">
        <v>13</v>
      </c>
      <c r="U231" t="s">
        <v>14</v>
      </c>
      <c r="V231">
        <v>41</v>
      </c>
      <c r="W231">
        <v>47</v>
      </c>
      <c r="X231">
        <v>48.4</v>
      </c>
      <c r="Y231" t="s">
        <v>15</v>
      </c>
      <c r="Z231">
        <v>72</v>
      </c>
      <c r="AA231">
        <v>47</v>
      </c>
      <c r="AB231">
        <v>48.5</v>
      </c>
      <c r="AC231">
        <v>1226764</v>
      </c>
      <c r="AD231">
        <v>143.34</v>
      </c>
      <c r="AE231" t="s">
        <v>16</v>
      </c>
      <c r="AF231">
        <v>89.07</v>
      </c>
      <c r="AG231" t="s">
        <v>17</v>
      </c>
      <c r="AH231" t="s">
        <v>440</v>
      </c>
      <c r="AI231" t="s">
        <v>763</v>
      </c>
    </row>
    <row r="232" spans="2:35" x14ac:dyDescent="0.25">
      <c r="B232" s="2" t="s">
        <v>441</v>
      </c>
      <c r="C232" t="s">
        <v>5</v>
      </c>
      <c r="D232">
        <v>29</v>
      </c>
      <c r="E232" t="s">
        <v>20</v>
      </c>
      <c r="F232" t="s">
        <v>7</v>
      </c>
      <c r="G232" t="s">
        <v>139</v>
      </c>
      <c r="H232" t="s">
        <v>9</v>
      </c>
      <c r="I232" t="s">
        <v>10</v>
      </c>
      <c r="J232" t="s">
        <v>442</v>
      </c>
      <c r="K232">
        <v>184054</v>
      </c>
      <c r="L232">
        <v>15</v>
      </c>
      <c r="M232" t="s">
        <v>12</v>
      </c>
      <c r="N232" t="s">
        <v>53</v>
      </c>
      <c r="O232">
        <v>0</v>
      </c>
      <c r="P232" t="s">
        <v>13</v>
      </c>
      <c r="Q232">
        <v>239.8</v>
      </c>
      <c r="R232" t="s">
        <v>13</v>
      </c>
      <c r="S232">
        <v>95</v>
      </c>
      <c r="T232" t="s">
        <v>13</v>
      </c>
      <c r="U232" t="s">
        <v>14</v>
      </c>
      <c r="V232">
        <v>44</v>
      </c>
      <c r="W232">
        <v>44</v>
      </c>
      <c r="X232">
        <v>42</v>
      </c>
      <c r="Y232" t="s">
        <v>15</v>
      </c>
      <c r="Z232">
        <v>69</v>
      </c>
      <c r="AA232">
        <v>41</v>
      </c>
      <c r="AB232">
        <v>32</v>
      </c>
      <c r="AC232">
        <v>1022766</v>
      </c>
      <c r="AD232">
        <v>291.83999999999997</v>
      </c>
      <c r="AE232" t="s">
        <v>16</v>
      </c>
      <c r="AF232">
        <v>181.34</v>
      </c>
      <c r="AG232" t="s">
        <v>17</v>
      </c>
      <c r="AH232" t="s">
        <v>443</v>
      </c>
      <c r="AI232" t="s">
        <v>701</v>
      </c>
    </row>
    <row r="233" spans="2:35" x14ac:dyDescent="0.25">
      <c r="B233" s="2" t="s">
        <v>251</v>
      </c>
      <c r="C233" t="s">
        <v>5</v>
      </c>
      <c r="D233">
        <v>29</v>
      </c>
      <c r="E233" t="s">
        <v>6</v>
      </c>
      <c r="F233" t="s">
        <v>21</v>
      </c>
      <c r="G233" t="s">
        <v>252</v>
      </c>
      <c r="H233" t="s">
        <v>41</v>
      </c>
      <c r="I233" t="s">
        <v>10</v>
      </c>
      <c r="J233">
        <f>- -1072</f>
        <v>1072</v>
      </c>
      <c r="K233">
        <v>30577</v>
      </c>
      <c r="L233">
        <v>270</v>
      </c>
      <c r="M233" t="s">
        <v>12</v>
      </c>
      <c r="O233">
        <v>468</v>
      </c>
      <c r="P233" t="s">
        <v>13</v>
      </c>
      <c r="Q233">
        <v>613</v>
      </c>
      <c r="R233" t="s">
        <v>13</v>
      </c>
      <c r="S233">
        <v>400</v>
      </c>
      <c r="T233" t="s">
        <v>13</v>
      </c>
      <c r="U233" t="s">
        <v>14</v>
      </c>
      <c r="V233">
        <v>42</v>
      </c>
      <c r="W233">
        <v>20</v>
      </c>
      <c r="X233">
        <v>9</v>
      </c>
      <c r="Y233" t="s">
        <v>15</v>
      </c>
      <c r="Z233">
        <v>71</v>
      </c>
      <c r="AA233">
        <v>42</v>
      </c>
      <c r="AB233">
        <v>55</v>
      </c>
      <c r="AC233">
        <v>1024374</v>
      </c>
      <c r="AD233">
        <v>38.770000000000003</v>
      </c>
      <c r="AE233" t="s">
        <v>16</v>
      </c>
      <c r="AF233">
        <v>24.09</v>
      </c>
      <c r="AG233" t="s">
        <v>17</v>
      </c>
      <c r="AH233" t="s">
        <v>444</v>
      </c>
      <c r="AI233" t="s">
        <v>689</v>
      </c>
    </row>
    <row r="234" spans="2:35" x14ac:dyDescent="0.25">
      <c r="B234" s="2" t="s">
        <v>445</v>
      </c>
      <c r="C234" t="s">
        <v>5</v>
      </c>
      <c r="D234">
        <v>29</v>
      </c>
      <c r="E234" t="s">
        <v>34</v>
      </c>
      <c r="F234" t="s">
        <v>21</v>
      </c>
      <c r="G234" t="s">
        <v>326</v>
      </c>
      <c r="H234" t="s">
        <v>45</v>
      </c>
      <c r="I234" t="s">
        <v>10</v>
      </c>
      <c r="J234" t="s">
        <v>446</v>
      </c>
      <c r="K234">
        <v>73295</v>
      </c>
      <c r="L234">
        <v>9.86</v>
      </c>
      <c r="M234" t="s">
        <v>12</v>
      </c>
      <c r="N234" t="s">
        <v>53</v>
      </c>
      <c r="O234">
        <v>0</v>
      </c>
      <c r="P234" t="s">
        <v>13</v>
      </c>
      <c r="Q234">
        <v>1270</v>
      </c>
      <c r="R234" t="s">
        <v>13</v>
      </c>
      <c r="S234">
        <v>24.4</v>
      </c>
      <c r="T234" t="s">
        <v>13</v>
      </c>
      <c r="U234" t="s">
        <v>14</v>
      </c>
      <c r="V234">
        <v>44</v>
      </c>
      <c r="W234">
        <v>9</v>
      </c>
      <c r="X234">
        <v>24.2</v>
      </c>
      <c r="Y234" t="s">
        <v>15</v>
      </c>
      <c r="Z234">
        <v>71</v>
      </c>
      <c r="AA234">
        <v>41</v>
      </c>
      <c r="AB234">
        <v>55.3</v>
      </c>
      <c r="AC234" t="s">
        <v>11</v>
      </c>
      <c r="AD234">
        <v>201.39</v>
      </c>
      <c r="AE234" t="s">
        <v>16</v>
      </c>
      <c r="AF234">
        <v>125.14</v>
      </c>
      <c r="AG234" t="s">
        <v>17</v>
      </c>
      <c r="AH234" t="s">
        <v>447</v>
      </c>
      <c r="AI234" t="s">
        <v>682</v>
      </c>
    </row>
    <row r="235" spans="2:35" x14ac:dyDescent="0.25">
      <c r="B235" s="2" t="s">
        <v>448</v>
      </c>
      <c r="C235" t="s">
        <v>5</v>
      </c>
      <c r="D235">
        <v>29</v>
      </c>
      <c r="E235" t="s">
        <v>6</v>
      </c>
      <c r="F235" t="s">
        <v>656</v>
      </c>
      <c r="G235" t="s">
        <v>449</v>
      </c>
      <c r="H235" t="s">
        <v>45</v>
      </c>
      <c r="I235" t="s">
        <v>10</v>
      </c>
      <c r="J235">
        <f>- -34700</f>
        <v>34700</v>
      </c>
      <c r="K235">
        <v>51864</v>
      </c>
      <c r="L235">
        <v>540</v>
      </c>
      <c r="M235" t="s">
        <v>12</v>
      </c>
      <c r="N235" t="s">
        <v>53</v>
      </c>
      <c r="O235">
        <v>374</v>
      </c>
      <c r="P235" t="s">
        <v>13</v>
      </c>
      <c r="Q235">
        <v>416.7</v>
      </c>
      <c r="R235" t="s">
        <v>13</v>
      </c>
      <c r="S235">
        <v>370.1</v>
      </c>
      <c r="T235" t="s">
        <v>13</v>
      </c>
      <c r="U235" t="s">
        <v>14</v>
      </c>
      <c r="V235">
        <v>42</v>
      </c>
      <c r="W235">
        <v>18</v>
      </c>
      <c r="X235">
        <v>37</v>
      </c>
      <c r="Y235" t="s">
        <v>15</v>
      </c>
      <c r="Z235">
        <v>71</v>
      </c>
      <c r="AA235">
        <v>14</v>
      </c>
      <c r="AB235">
        <v>12</v>
      </c>
      <c r="AC235">
        <v>1003433</v>
      </c>
      <c r="AD235">
        <v>7.16</v>
      </c>
      <c r="AE235" t="s">
        <v>16</v>
      </c>
      <c r="AF235">
        <v>4.45</v>
      </c>
      <c r="AG235" t="s">
        <v>17</v>
      </c>
      <c r="AH235" t="s">
        <v>253</v>
      </c>
      <c r="AI235" t="s">
        <v>711</v>
      </c>
    </row>
    <row r="236" spans="2:35" x14ac:dyDescent="0.25">
      <c r="B236" s="2" t="s">
        <v>450</v>
      </c>
      <c r="C236" t="s">
        <v>5</v>
      </c>
      <c r="D236">
        <v>29</v>
      </c>
      <c r="E236" t="s">
        <v>20</v>
      </c>
      <c r="F236" t="s">
        <v>656</v>
      </c>
      <c r="G236" t="s">
        <v>451</v>
      </c>
      <c r="H236" t="s">
        <v>31</v>
      </c>
      <c r="I236" t="s">
        <v>10</v>
      </c>
      <c r="J236">
        <f>- -66998</f>
        <v>66998</v>
      </c>
      <c r="K236">
        <v>48482</v>
      </c>
      <c r="L236">
        <v>1.5</v>
      </c>
      <c r="M236" t="s">
        <v>12</v>
      </c>
      <c r="N236" t="s">
        <v>53</v>
      </c>
      <c r="O236">
        <v>0</v>
      </c>
      <c r="P236" t="s">
        <v>13</v>
      </c>
      <c r="Q236">
        <v>374.9</v>
      </c>
      <c r="R236" t="s">
        <v>13</v>
      </c>
      <c r="S236">
        <v>27.4</v>
      </c>
      <c r="T236" t="s">
        <v>13</v>
      </c>
      <c r="U236" t="s">
        <v>14</v>
      </c>
      <c r="V236">
        <v>40</v>
      </c>
      <c r="W236">
        <v>51</v>
      </c>
      <c r="X236">
        <v>8.1</v>
      </c>
      <c r="Y236" t="s">
        <v>15</v>
      </c>
      <c r="Z236">
        <v>74</v>
      </c>
      <c r="AA236">
        <v>52</v>
      </c>
      <c r="AB236">
        <v>22.5</v>
      </c>
      <c r="AC236" t="s">
        <v>11</v>
      </c>
      <c r="AD236">
        <v>346.25</v>
      </c>
      <c r="AE236" t="s">
        <v>16</v>
      </c>
      <c r="AF236">
        <v>215.15</v>
      </c>
      <c r="AG236" t="s">
        <v>17</v>
      </c>
      <c r="AH236" t="s">
        <v>452</v>
      </c>
      <c r="AI236" t="s">
        <v>680</v>
      </c>
    </row>
    <row r="237" spans="2:35" x14ac:dyDescent="0.25">
      <c r="B237" s="2" t="s">
        <v>453</v>
      </c>
      <c r="C237" t="s">
        <v>5</v>
      </c>
      <c r="D237">
        <v>29</v>
      </c>
      <c r="E237" t="s">
        <v>6</v>
      </c>
      <c r="F237" t="s">
        <v>21</v>
      </c>
      <c r="G237" t="s">
        <v>314</v>
      </c>
      <c r="H237" t="s">
        <v>23</v>
      </c>
      <c r="I237" t="s">
        <v>10</v>
      </c>
      <c r="J237" t="s">
        <v>454</v>
      </c>
      <c r="K237">
        <v>60654</v>
      </c>
      <c r="L237">
        <v>708</v>
      </c>
      <c r="M237" t="s">
        <v>12</v>
      </c>
      <c r="N237" t="s">
        <v>53</v>
      </c>
      <c r="O237">
        <v>402</v>
      </c>
      <c r="P237" t="s">
        <v>13</v>
      </c>
      <c r="Q237">
        <v>692</v>
      </c>
      <c r="R237" t="s">
        <v>13</v>
      </c>
      <c r="S237">
        <v>291</v>
      </c>
      <c r="T237" t="s">
        <v>13</v>
      </c>
      <c r="U237" t="s">
        <v>14</v>
      </c>
      <c r="V237">
        <v>43</v>
      </c>
      <c r="W237">
        <v>6</v>
      </c>
      <c r="X237">
        <v>9</v>
      </c>
      <c r="Y237" t="s">
        <v>15</v>
      </c>
      <c r="Z237">
        <v>74</v>
      </c>
      <c r="AA237">
        <v>56</v>
      </c>
      <c r="AB237">
        <v>26</v>
      </c>
      <c r="AC237">
        <v>1002469</v>
      </c>
      <c r="AD237">
        <v>313.05</v>
      </c>
      <c r="AE237" t="s">
        <v>16</v>
      </c>
      <c r="AF237">
        <v>194.52</v>
      </c>
      <c r="AG237" t="s">
        <v>17</v>
      </c>
      <c r="AH237" t="s">
        <v>455</v>
      </c>
      <c r="AI237" t="s">
        <v>764</v>
      </c>
    </row>
    <row r="238" spans="2:35" x14ac:dyDescent="0.25">
      <c r="B238" s="2" t="s">
        <v>418</v>
      </c>
      <c r="C238" t="s">
        <v>5</v>
      </c>
      <c r="D238">
        <v>29</v>
      </c>
      <c r="E238" t="s">
        <v>6</v>
      </c>
      <c r="F238" t="s">
        <v>656</v>
      </c>
      <c r="G238" t="s">
        <v>419</v>
      </c>
      <c r="H238" t="s">
        <v>23</v>
      </c>
      <c r="I238" t="s">
        <v>10</v>
      </c>
      <c r="J238">
        <f>- -34023</f>
        <v>34023</v>
      </c>
      <c r="K238">
        <v>73206</v>
      </c>
      <c r="L238">
        <v>1000</v>
      </c>
      <c r="M238" t="s">
        <v>12</v>
      </c>
      <c r="N238" t="s">
        <v>53</v>
      </c>
      <c r="O238">
        <v>193.9</v>
      </c>
      <c r="P238" t="s">
        <v>13</v>
      </c>
      <c r="Q238">
        <v>216.4</v>
      </c>
      <c r="R238" t="s">
        <v>13</v>
      </c>
      <c r="S238">
        <v>189</v>
      </c>
      <c r="T238" t="s">
        <v>13</v>
      </c>
      <c r="U238" t="s">
        <v>14</v>
      </c>
      <c r="V238">
        <v>40</v>
      </c>
      <c r="W238">
        <v>53</v>
      </c>
      <c r="X238">
        <v>50.3</v>
      </c>
      <c r="Y238" t="s">
        <v>15</v>
      </c>
      <c r="Z238">
        <v>72</v>
      </c>
      <c r="AA238">
        <v>54</v>
      </c>
      <c r="AB238">
        <v>54.2</v>
      </c>
      <c r="AC238">
        <v>1006717</v>
      </c>
      <c r="AD238">
        <v>214.97</v>
      </c>
      <c r="AE238" t="s">
        <v>16</v>
      </c>
      <c r="AF238">
        <v>133.57</v>
      </c>
      <c r="AG238" t="s">
        <v>17</v>
      </c>
      <c r="AH238" t="s">
        <v>420</v>
      </c>
      <c r="AI238" t="s">
        <v>756</v>
      </c>
    </row>
    <row r="239" spans="2:35" x14ac:dyDescent="0.25">
      <c r="B239" s="2" t="s">
        <v>456</v>
      </c>
      <c r="C239" t="s">
        <v>5</v>
      </c>
      <c r="D239">
        <v>29</v>
      </c>
      <c r="E239" t="s">
        <v>20</v>
      </c>
      <c r="F239" t="s">
        <v>7</v>
      </c>
      <c r="G239" t="s">
        <v>654</v>
      </c>
      <c r="H239" t="s">
        <v>23</v>
      </c>
      <c r="I239" t="s">
        <v>10</v>
      </c>
      <c r="J239">
        <f>- -48137</f>
        <v>48137</v>
      </c>
      <c r="K239">
        <v>74305</v>
      </c>
      <c r="L239">
        <v>0.8</v>
      </c>
      <c r="M239" t="s">
        <v>12</v>
      </c>
      <c r="N239" t="s">
        <v>53</v>
      </c>
      <c r="O239">
        <v>0</v>
      </c>
      <c r="P239" t="s">
        <v>13</v>
      </c>
      <c r="Q239">
        <v>241</v>
      </c>
      <c r="R239" t="s">
        <v>13</v>
      </c>
      <c r="S239">
        <v>216</v>
      </c>
      <c r="T239" t="s">
        <v>13</v>
      </c>
      <c r="U239" t="s">
        <v>14</v>
      </c>
      <c r="V239">
        <v>40</v>
      </c>
      <c r="W239">
        <v>46</v>
      </c>
      <c r="X239">
        <v>2.2999999999999998</v>
      </c>
      <c r="Y239" t="s">
        <v>15</v>
      </c>
      <c r="Z239">
        <v>73</v>
      </c>
      <c r="AA239">
        <v>57</v>
      </c>
      <c r="AB239">
        <v>40.4</v>
      </c>
      <c r="AC239" t="s">
        <v>11</v>
      </c>
      <c r="AD239">
        <v>288.24</v>
      </c>
      <c r="AE239" t="s">
        <v>16</v>
      </c>
      <c r="AF239">
        <v>179.1</v>
      </c>
      <c r="AG239" t="s">
        <v>17</v>
      </c>
      <c r="AH239" t="s">
        <v>457</v>
      </c>
      <c r="AI239" t="s">
        <v>765</v>
      </c>
    </row>
    <row r="240" spans="2:35" x14ac:dyDescent="0.25">
      <c r="B240" s="2" t="s">
        <v>458</v>
      </c>
      <c r="C240" t="s">
        <v>5</v>
      </c>
      <c r="D240">
        <v>29</v>
      </c>
      <c r="E240" t="s">
        <v>20</v>
      </c>
      <c r="F240" t="s">
        <v>74</v>
      </c>
      <c r="G240" t="s">
        <v>766</v>
      </c>
      <c r="H240" t="s">
        <v>23</v>
      </c>
      <c r="I240" t="s">
        <v>10</v>
      </c>
      <c r="J240">
        <f>- -51706</f>
        <v>51706</v>
      </c>
      <c r="K240">
        <v>2129</v>
      </c>
      <c r="L240">
        <v>6.5000000000000002E-2</v>
      </c>
      <c r="M240" t="s">
        <v>12</v>
      </c>
      <c r="N240" t="s">
        <v>53</v>
      </c>
      <c r="O240">
        <v>0</v>
      </c>
      <c r="P240" t="s">
        <v>13</v>
      </c>
      <c r="Q240">
        <v>288</v>
      </c>
      <c r="R240" t="s">
        <v>13</v>
      </c>
      <c r="S240">
        <v>274.3</v>
      </c>
      <c r="T240" t="s">
        <v>13</v>
      </c>
      <c r="U240" t="s">
        <v>14</v>
      </c>
      <c r="V240">
        <v>40</v>
      </c>
      <c r="W240">
        <v>45</v>
      </c>
      <c r="X240">
        <v>42.2</v>
      </c>
      <c r="Y240" t="s">
        <v>15</v>
      </c>
      <c r="Z240">
        <v>73</v>
      </c>
      <c r="AA240">
        <v>58</v>
      </c>
      <c r="AB240">
        <v>5</v>
      </c>
      <c r="AC240">
        <v>1245781</v>
      </c>
      <c r="AD240">
        <v>289.08</v>
      </c>
      <c r="AE240" t="s">
        <v>16</v>
      </c>
      <c r="AF240">
        <v>179.62</v>
      </c>
      <c r="AG240" t="s">
        <v>17</v>
      </c>
      <c r="AH240" t="s">
        <v>459</v>
      </c>
      <c r="AI240" t="s">
        <v>667</v>
      </c>
    </row>
    <row r="241" spans="2:35" x14ac:dyDescent="0.25">
      <c r="B241" s="2" t="s">
        <v>70</v>
      </c>
      <c r="C241" t="s">
        <v>5</v>
      </c>
      <c r="D241">
        <v>29</v>
      </c>
      <c r="E241" t="s">
        <v>20</v>
      </c>
      <c r="F241" t="s">
        <v>7</v>
      </c>
      <c r="G241" t="s">
        <v>71</v>
      </c>
      <c r="H241" t="s">
        <v>23</v>
      </c>
      <c r="I241" t="s">
        <v>10</v>
      </c>
      <c r="J241">
        <f>- -54897</f>
        <v>54897</v>
      </c>
      <c r="K241">
        <v>73942</v>
      </c>
      <c r="L241">
        <v>7</v>
      </c>
      <c r="M241" t="s">
        <v>12</v>
      </c>
      <c r="N241" t="s">
        <v>53</v>
      </c>
      <c r="O241">
        <v>0</v>
      </c>
      <c r="P241" t="s">
        <v>13</v>
      </c>
      <c r="Q241">
        <v>175</v>
      </c>
      <c r="R241" t="s">
        <v>13</v>
      </c>
      <c r="S241">
        <v>23</v>
      </c>
      <c r="T241" t="s">
        <v>13</v>
      </c>
      <c r="U241" t="s">
        <v>14</v>
      </c>
      <c r="V241">
        <v>41</v>
      </c>
      <c r="W241">
        <v>57</v>
      </c>
      <c r="X241">
        <v>36.299999999999997</v>
      </c>
      <c r="Y241" t="s">
        <v>15</v>
      </c>
      <c r="Z241">
        <v>74</v>
      </c>
      <c r="AA241">
        <v>1</v>
      </c>
      <c r="AB241">
        <v>33.5</v>
      </c>
      <c r="AC241" t="s">
        <v>11</v>
      </c>
      <c r="AD241">
        <v>234.16</v>
      </c>
      <c r="AE241" t="s">
        <v>16</v>
      </c>
      <c r="AF241">
        <v>145.5</v>
      </c>
      <c r="AG241" t="s">
        <v>17</v>
      </c>
      <c r="AH241" t="s">
        <v>354</v>
      </c>
      <c r="AI241" t="s">
        <v>670</v>
      </c>
    </row>
    <row r="242" spans="2:35" x14ac:dyDescent="0.25">
      <c r="B242" s="2" t="s">
        <v>456</v>
      </c>
      <c r="C242" t="s">
        <v>5</v>
      </c>
      <c r="D242">
        <v>29</v>
      </c>
      <c r="E242" t="s">
        <v>20</v>
      </c>
      <c r="F242" t="s">
        <v>7</v>
      </c>
      <c r="G242" t="s">
        <v>654</v>
      </c>
      <c r="H242" t="s">
        <v>23</v>
      </c>
      <c r="I242" t="s">
        <v>10</v>
      </c>
      <c r="J242">
        <f>- -58999</f>
        <v>58999</v>
      </c>
      <c r="K242">
        <v>74305</v>
      </c>
      <c r="L242">
        <v>0.8</v>
      </c>
      <c r="M242" t="s">
        <v>12</v>
      </c>
      <c r="N242" t="s">
        <v>53</v>
      </c>
      <c r="O242">
        <v>0</v>
      </c>
      <c r="P242" t="s">
        <v>13</v>
      </c>
      <c r="Q242">
        <v>241</v>
      </c>
      <c r="R242" t="s">
        <v>13</v>
      </c>
      <c r="S242">
        <v>216</v>
      </c>
      <c r="T242" t="s">
        <v>13</v>
      </c>
      <c r="U242" t="s">
        <v>14</v>
      </c>
      <c r="V242">
        <v>40</v>
      </c>
      <c r="W242">
        <v>46</v>
      </c>
      <c r="X242">
        <v>2.2999999999999998</v>
      </c>
      <c r="Y242" t="s">
        <v>15</v>
      </c>
      <c r="Z242">
        <v>73</v>
      </c>
      <c r="AA242">
        <v>57</v>
      </c>
      <c r="AB242">
        <v>40.4</v>
      </c>
      <c r="AC242" t="s">
        <v>11</v>
      </c>
      <c r="AD242">
        <v>288.24</v>
      </c>
      <c r="AE242" t="s">
        <v>16</v>
      </c>
      <c r="AF242">
        <v>179.1</v>
      </c>
      <c r="AG242" t="s">
        <v>17</v>
      </c>
      <c r="AH242" t="s">
        <v>457</v>
      </c>
      <c r="AI242" t="s">
        <v>765</v>
      </c>
    </row>
    <row r="243" spans="2:35" x14ac:dyDescent="0.25">
      <c r="B243" s="2" t="s">
        <v>460</v>
      </c>
      <c r="C243" t="s">
        <v>5</v>
      </c>
      <c r="D243">
        <v>29</v>
      </c>
      <c r="E243" t="s">
        <v>20</v>
      </c>
      <c r="F243" t="s">
        <v>21</v>
      </c>
      <c r="G243" t="s">
        <v>461</v>
      </c>
      <c r="H243" t="s">
        <v>23</v>
      </c>
      <c r="I243" t="s">
        <v>10</v>
      </c>
      <c r="J243">
        <f>- -59921</f>
        <v>59921</v>
      </c>
      <c r="K243">
        <v>44028</v>
      </c>
      <c r="L243">
        <v>0.39600000000000002</v>
      </c>
      <c r="M243" t="s">
        <v>12</v>
      </c>
      <c r="N243" t="s">
        <v>53</v>
      </c>
      <c r="O243">
        <v>0</v>
      </c>
      <c r="P243" t="s">
        <v>13</v>
      </c>
      <c r="Q243">
        <v>386</v>
      </c>
      <c r="R243" t="s">
        <v>13</v>
      </c>
      <c r="S243">
        <v>5</v>
      </c>
      <c r="T243" t="s">
        <v>13</v>
      </c>
      <c r="U243" t="s">
        <v>14</v>
      </c>
      <c r="V243">
        <v>44</v>
      </c>
      <c r="W243">
        <v>24</v>
      </c>
      <c r="X243">
        <v>19.3</v>
      </c>
      <c r="Y243" t="s">
        <v>15</v>
      </c>
      <c r="Z243">
        <v>73</v>
      </c>
      <c r="AA243">
        <v>25</v>
      </c>
      <c r="AB243">
        <v>53.3</v>
      </c>
      <c r="AC243" t="s">
        <v>11</v>
      </c>
      <c r="AD243">
        <v>286.77</v>
      </c>
      <c r="AE243" t="s">
        <v>16</v>
      </c>
      <c r="AF243">
        <v>178.19</v>
      </c>
      <c r="AG243" t="s">
        <v>17</v>
      </c>
      <c r="AH243" t="s">
        <v>462</v>
      </c>
      <c r="AI243" t="s">
        <v>767</v>
      </c>
    </row>
    <row r="244" spans="2:35" x14ac:dyDescent="0.25">
      <c r="B244" s="2" t="s">
        <v>463</v>
      </c>
      <c r="C244" t="s">
        <v>5</v>
      </c>
      <c r="D244">
        <v>29</v>
      </c>
      <c r="E244" t="s">
        <v>20</v>
      </c>
      <c r="F244" t="s">
        <v>7</v>
      </c>
      <c r="G244" t="s">
        <v>654</v>
      </c>
      <c r="H244" t="s">
        <v>23</v>
      </c>
      <c r="I244" t="s">
        <v>10</v>
      </c>
      <c r="J244">
        <f>- -54807</f>
        <v>54807</v>
      </c>
      <c r="K244">
        <v>128222</v>
      </c>
      <c r="L244">
        <v>15</v>
      </c>
      <c r="M244" t="s">
        <v>12</v>
      </c>
      <c r="N244" t="s">
        <v>53</v>
      </c>
      <c r="O244">
        <v>0</v>
      </c>
      <c r="P244" t="s">
        <v>13</v>
      </c>
      <c r="Q244">
        <v>275</v>
      </c>
      <c r="R244" t="s">
        <v>13</v>
      </c>
      <c r="S244">
        <v>265.60000000000002</v>
      </c>
      <c r="T244" t="s">
        <v>13</v>
      </c>
      <c r="U244" t="s">
        <v>14</v>
      </c>
      <c r="V244">
        <v>40</v>
      </c>
      <c r="W244">
        <v>45</v>
      </c>
      <c r="X244">
        <v>8.1</v>
      </c>
      <c r="Y244" t="s">
        <v>15</v>
      </c>
      <c r="Z244">
        <v>73</v>
      </c>
      <c r="AA244">
        <v>58</v>
      </c>
      <c r="AB244">
        <v>2.1</v>
      </c>
      <c r="AC244">
        <v>1268297</v>
      </c>
      <c r="AD244">
        <v>289.69</v>
      </c>
      <c r="AE244" t="s">
        <v>16</v>
      </c>
      <c r="AF244">
        <v>180</v>
      </c>
      <c r="AG244" t="s">
        <v>17</v>
      </c>
      <c r="AH244" t="s">
        <v>25</v>
      </c>
      <c r="AI244" t="s">
        <v>684</v>
      </c>
    </row>
    <row r="245" spans="2:35" x14ac:dyDescent="0.25">
      <c r="B245" s="2" t="s">
        <v>456</v>
      </c>
      <c r="C245" t="s">
        <v>5</v>
      </c>
      <c r="D245">
        <v>29</v>
      </c>
      <c r="E245" t="s">
        <v>20</v>
      </c>
      <c r="F245" t="s">
        <v>7</v>
      </c>
      <c r="G245" t="s">
        <v>654</v>
      </c>
      <c r="H245" t="s">
        <v>23</v>
      </c>
      <c r="I245" t="s">
        <v>10</v>
      </c>
      <c r="J245">
        <f>- -68252</f>
        <v>68252</v>
      </c>
      <c r="K245">
        <v>74305</v>
      </c>
      <c r="L245">
        <v>0.8</v>
      </c>
      <c r="M245" t="s">
        <v>12</v>
      </c>
      <c r="N245" t="s">
        <v>53</v>
      </c>
      <c r="O245">
        <v>0</v>
      </c>
      <c r="P245" t="s">
        <v>13</v>
      </c>
      <c r="Q245">
        <v>241</v>
      </c>
      <c r="R245" t="s">
        <v>13</v>
      </c>
      <c r="S245">
        <v>216</v>
      </c>
      <c r="T245" t="s">
        <v>13</v>
      </c>
      <c r="U245" t="s">
        <v>14</v>
      </c>
      <c r="V245">
        <v>40</v>
      </c>
      <c r="W245">
        <v>46</v>
      </c>
      <c r="X245">
        <v>2.2999999999999998</v>
      </c>
      <c r="Y245" t="s">
        <v>15</v>
      </c>
      <c r="Z245">
        <v>73</v>
      </c>
      <c r="AA245">
        <v>57</v>
      </c>
      <c r="AB245">
        <v>40.4</v>
      </c>
      <c r="AC245" t="s">
        <v>11</v>
      </c>
      <c r="AD245">
        <v>288.24</v>
      </c>
      <c r="AE245" t="s">
        <v>16</v>
      </c>
      <c r="AF245">
        <v>179.1</v>
      </c>
      <c r="AG245" t="s">
        <v>17</v>
      </c>
      <c r="AH245" t="s">
        <v>457</v>
      </c>
      <c r="AI245" t="s">
        <v>765</v>
      </c>
    </row>
    <row r="246" spans="2:35" x14ac:dyDescent="0.25">
      <c r="B246" s="2" t="s">
        <v>464</v>
      </c>
      <c r="C246" t="s">
        <v>5</v>
      </c>
      <c r="D246">
        <v>29</v>
      </c>
      <c r="E246" t="s">
        <v>20</v>
      </c>
      <c r="F246" t="s">
        <v>21</v>
      </c>
      <c r="G246" t="s">
        <v>768</v>
      </c>
      <c r="H246" t="s">
        <v>249</v>
      </c>
      <c r="I246" t="s">
        <v>10</v>
      </c>
      <c r="J246">
        <f>- -60867</f>
        <v>60867</v>
      </c>
      <c r="K246">
        <v>167207</v>
      </c>
      <c r="L246">
        <v>0.9</v>
      </c>
      <c r="M246" t="s">
        <v>12</v>
      </c>
      <c r="N246" t="s">
        <v>53</v>
      </c>
      <c r="O246">
        <v>0</v>
      </c>
      <c r="P246" t="s">
        <v>13</v>
      </c>
      <c r="Q246">
        <v>607</v>
      </c>
      <c r="R246" t="s">
        <v>13</v>
      </c>
      <c r="S246">
        <v>18</v>
      </c>
      <c r="T246" t="s">
        <v>13</v>
      </c>
      <c r="U246" t="s">
        <v>14</v>
      </c>
      <c r="V246">
        <v>41</v>
      </c>
      <c r="W246">
        <v>28</v>
      </c>
      <c r="X246">
        <v>1.2</v>
      </c>
      <c r="Y246" t="s">
        <v>15</v>
      </c>
      <c r="Z246">
        <v>75</v>
      </c>
      <c r="AA246">
        <v>41</v>
      </c>
      <c r="AB246">
        <v>10.6</v>
      </c>
      <c r="AC246" t="s">
        <v>11</v>
      </c>
      <c r="AD246">
        <v>381.76</v>
      </c>
      <c r="AE246" t="s">
        <v>16</v>
      </c>
      <c r="AF246">
        <v>237.21</v>
      </c>
      <c r="AG246" t="s">
        <v>17</v>
      </c>
      <c r="AH246" t="s">
        <v>465</v>
      </c>
      <c r="AI246" t="s">
        <v>715</v>
      </c>
    </row>
    <row r="247" spans="2:35" x14ac:dyDescent="0.25">
      <c r="B247" s="2" t="s">
        <v>434</v>
      </c>
      <c r="C247" t="s">
        <v>5</v>
      </c>
      <c r="D247">
        <v>29</v>
      </c>
      <c r="E247" t="s">
        <v>20</v>
      </c>
      <c r="F247" t="s">
        <v>7</v>
      </c>
      <c r="G247" t="s">
        <v>134</v>
      </c>
      <c r="H247" t="s">
        <v>101</v>
      </c>
      <c r="I247" t="s">
        <v>10</v>
      </c>
      <c r="J247">
        <f>- -51758</f>
        <v>51758</v>
      </c>
      <c r="K247">
        <v>130222</v>
      </c>
      <c r="L247">
        <v>1</v>
      </c>
      <c r="M247" t="s">
        <v>12</v>
      </c>
      <c r="N247" t="s">
        <v>53</v>
      </c>
      <c r="O247">
        <v>0</v>
      </c>
      <c r="P247" t="s">
        <v>13</v>
      </c>
      <c r="Q247">
        <v>985.5</v>
      </c>
      <c r="R247" t="s">
        <v>13</v>
      </c>
      <c r="S247">
        <v>26</v>
      </c>
      <c r="T247" t="s">
        <v>13</v>
      </c>
      <c r="U247" t="s">
        <v>14</v>
      </c>
      <c r="V247">
        <v>43</v>
      </c>
      <c r="W247">
        <v>26</v>
      </c>
      <c r="X247">
        <v>37.4</v>
      </c>
      <c r="Y247" t="s">
        <v>15</v>
      </c>
      <c r="Z247">
        <v>72</v>
      </c>
      <c r="AA247">
        <v>27</v>
      </c>
      <c r="AB247">
        <v>16.3</v>
      </c>
      <c r="AC247">
        <v>1042342</v>
      </c>
      <c r="AD247">
        <v>154.37</v>
      </c>
      <c r="AE247" t="s">
        <v>16</v>
      </c>
      <c r="AF247">
        <v>95.92</v>
      </c>
      <c r="AG247" t="s">
        <v>17</v>
      </c>
      <c r="AH247" t="s">
        <v>466</v>
      </c>
      <c r="AI247" t="s">
        <v>761</v>
      </c>
    </row>
    <row r="248" spans="2:35" x14ac:dyDescent="0.25">
      <c r="B248" s="2" t="s">
        <v>11</v>
      </c>
      <c r="C248" t="s">
        <v>5</v>
      </c>
      <c r="D248">
        <v>29</v>
      </c>
      <c r="E248" t="s">
        <v>6</v>
      </c>
      <c r="F248" t="s">
        <v>7</v>
      </c>
      <c r="G248" t="s">
        <v>175</v>
      </c>
      <c r="H248" t="s">
        <v>110</v>
      </c>
      <c r="I248" t="s">
        <v>111</v>
      </c>
      <c r="J248" t="e">
        <f>- -CANADA278</f>
        <v>#NAME?</v>
      </c>
      <c r="K248">
        <v>704010</v>
      </c>
      <c r="L248">
        <v>0.91</v>
      </c>
      <c r="M248" t="s">
        <v>12</v>
      </c>
      <c r="N248" t="s">
        <v>53</v>
      </c>
      <c r="O248">
        <v>0</v>
      </c>
      <c r="P248" t="s">
        <v>13</v>
      </c>
      <c r="Q248">
        <v>226.6</v>
      </c>
      <c r="R248" t="s">
        <v>13</v>
      </c>
      <c r="S248">
        <v>0</v>
      </c>
      <c r="T248" t="s">
        <v>13</v>
      </c>
      <c r="U248" t="s">
        <v>14</v>
      </c>
      <c r="V248">
        <v>45</v>
      </c>
      <c r="W248">
        <v>30</v>
      </c>
      <c r="X248">
        <v>11.12</v>
      </c>
      <c r="Y248" t="s">
        <v>15</v>
      </c>
      <c r="Z248">
        <v>73</v>
      </c>
      <c r="AA248">
        <v>36</v>
      </c>
      <c r="AB248">
        <v>55.59</v>
      </c>
      <c r="AC248" t="s">
        <v>11</v>
      </c>
      <c r="AD248">
        <v>396.24</v>
      </c>
      <c r="AE248" t="s">
        <v>16</v>
      </c>
      <c r="AF248">
        <v>246.21</v>
      </c>
      <c r="AG248" t="s">
        <v>17</v>
      </c>
      <c r="AH248" t="s">
        <v>467</v>
      </c>
      <c r="AI248" t="s">
        <v>11</v>
      </c>
    </row>
    <row r="249" spans="2:35" x14ac:dyDescent="0.25">
      <c r="B249" s="2" t="s">
        <v>468</v>
      </c>
      <c r="C249" t="s">
        <v>5</v>
      </c>
      <c r="D249">
        <v>30</v>
      </c>
      <c r="E249" t="s">
        <v>6</v>
      </c>
      <c r="F249" t="s">
        <v>656</v>
      </c>
      <c r="G249" t="s">
        <v>143</v>
      </c>
      <c r="H249" t="s">
        <v>115</v>
      </c>
      <c r="I249" t="s">
        <v>10</v>
      </c>
      <c r="J249">
        <f>- -34543</f>
        <v>34543</v>
      </c>
      <c r="K249">
        <v>13602</v>
      </c>
      <c r="L249">
        <v>497</v>
      </c>
      <c r="M249" t="s">
        <v>12</v>
      </c>
      <c r="N249" t="s">
        <v>53</v>
      </c>
      <c r="O249">
        <v>506</v>
      </c>
      <c r="P249" t="s">
        <v>13</v>
      </c>
      <c r="Q249">
        <v>604.4</v>
      </c>
      <c r="R249" t="s">
        <v>13</v>
      </c>
      <c r="S249">
        <v>388</v>
      </c>
      <c r="T249" t="s">
        <v>13</v>
      </c>
      <c r="U249" t="s">
        <v>14</v>
      </c>
      <c r="V249">
        <v>41</v>
      </c>
      <c r="W249">
        <v>42</v>
      </c>
      <c r="X249">
        <v>13</v>
      </c>
      <c r="Y249" t="s">
        <v>15</v>
      </c>
      <c r="Z249">
        <v>72</v>
      </c>
      <c r="AA249">
        <v>49</v>
      </c>
      <c r="AB249">
        <v>55</v>
      </c>
      <c r="AC249">
        <v>1041624</v>
      </c>
      <c r="AD249">
        <v>150.86000000000001</v>
      </c>
      <c r="AE249" t="s">
        <v>16</v>
      </c>
      <c r="AF249">
        <v>93.74</v>
      </c>
      <c r="AG249" t="s">
        <v>17</v>
      </c>
      <c r="AH249" t="s">
        <v>263</v>
      </c>
      <c r="AI249" t="s">
        <v>681</v>
      </c>
    </row>
    <row r="250" spans="2:35" x14ac:dyDescent="0.25">
      <c r="B250" s="2" t="s">
        <v>469</v>
      </c>
      <c r="C250" t="s">
        <v>5</v>
      </c>
      <c r="D250">
        <v>30</v>
      </c>
      <c r="E250" t="s">
        <v>34</v>
      </c>
      <c r="F250" t="s">
        <v>21</v>
      </c>
      <c r="G250" t="s">
        <v>234</v>
      </c>
      <c r="H250" t="s">
        <v>9</v>
      </c>
      <c r="I250" t="s">
        <v>10</v>
      </c>
      <c r="J250" t="s">
        <v>470</v>
      </c>
      <c r="K250">
        <v>39663</v>
      </c>
      <c r="L250">
        <v>0.05</v>
      </c>
      <c r="M250" t="s">
        <v>12</v>
      </c>
      <c r="N250" t="s">
        <v>53</v>
      </c>
      <c r="O250">
        <v>0</v>
      </c>
      <c r="P250" t="s">
        <v>13</v>
      </c>
      <c r="Q250">
        <v>102</v>
      </c>
      <c r="R250" t="s">
        <v>13</v>
      </c>
      <c r="S250">
        <v>13</v>
      </c>
      <c r="T250" t="s">
        <v>13</v>
      </c>
      <c r="U250" t="s">
        <v>14</v>
      </c>
      <c r="V250">
        <v>44</v>
      </c>
      <c r="W250">
        <v>52</v>
      </c>
      <c r="X250">
        <v>44</v>
      </c>
      <c r="Y250" t="s">
        <v>15</v>
      </c>
      <c r="Z250">
        <v>68</v>
      </c>
      <c r="AA250">
        <v>52</v>
      </c>
      <c r="AB250">
        <v>55.7</v>
      </c>
      <c r="AC250" t="s">
        <v>11</v>
      </c>
      <c r="AD250">
        <v>337.47</v>
      </c>
      <c r="AE250" t="s">
        <v>16</v>
      </c>
      <c r="AF250">
        <v>209.7</v>
      </c>
      <c r="AG250" t="s">
        <v>17</v>
      </c>
      <c r="AH250" t="s">
        <v>235</v>
      </c>
      <c r="AI250" t="s">
        <v>769</v>
      </c>
    </row>
    <row r="251" spans="2:35" x14ac:dyDescent="0.25">
      <c r="B251" s="2" t="s">
        <v>266</v>
      </c>
      <c r="C251" t="s">
        <v>5</v>
      </c>
      <c r="D251">
        <v>30</v>
      </c>
      <c r="E251" t="s">
        <v>6</v>
      </c>
      <c r="F251" t="s">
        <v>21</v>
      </c>
      <c r="G251" t="s">
        <v>40</v>
      </c>
      <c r="H251" t="s">
        <v>41</v>
      </c>
      <c r="I251" t="s">
        <v>10</v>
      </c>
      <c r="J251" t="s">
        <v>471</v>
      </c>
      <c r="K251">
        <v>25456</v>
      </c>
      <c r="L251">
        <v>825</v>
      </c>
      <c r="M251" t="s">
        <v>12</v>
      </c>
      <c r="O251">
        <v>390</v>
      </c>
      <c r="P251" t="s">
        <v>13</v>
      </c>
      <c r="Q251">
        <v>434</v>
      </c>
      <c r="R251" t="s">
        <v>13</v>
      </c>
      <c r="S251">
        <v>387</v>
      </c>
      <c r="T251" t="s">
        <v>13</v>
      </c>
      <c r="U251" t="s">
        <v>14</v>
      </c>
      <c r="V251">
        <v>42</v>
      </c>
      <c r="W251">
        <v>18</v>
      </c>
      <c r="X251">
        <v>37</v>
      </c>
      <c r="Y251" t="s">
        <v>15</v>
      </c>
      <c r="Z251">
        <v>71</v>
      </c>
      <c r="AA251">
        <v>14</v>
      </c>
      <c r="AB251">
        <v>12</v>
      </c>
      <c r="AC251">
        <v>1003433</v>
      </c>
      <c r="AD251">
        <v>7.16</v>
      </c>
      <c r="AE251" t="s">
        <v>16</v>
      </c>
      <c r="AF251">
        <v>4.45</v>
      </c>
      <c r="AG251" t="s">
        <v>17</v>
      </c>
      <c r="AH251" t="s">
        <v>253</v>
      </c>
      <c r="AI251" t="s">
        <v>718</v>
      </c>
    </row>
    <row r="252" spans="2:35" x14ac:dyDescent="0.25">
      <c r="B252" s="2" t="s">
        <v>266</v>
      </c>
      <c r="C252" t="s">
        <v>5</v>
      </c>
      <c r="D252">
        <v>30</v>
      </c>
      <c r="E252" t="s">
        <v>6</v>
      </c>
      <c r="F252" t="s">
        <v>7</v>
      </c>
      <c r="G252" t="s">
        <v>40</v>
      </c>
      <c r="H252" t="s">
        <v>41</v>
      </c>
      <c r="I252" t="s">
        <v>10</v>
      </c>
      <c r="J252">
        <f>- -18520</f>
        <v>18520</v>
      </c>
      <c r="K252">
        <v>25456</v>
      </c>
      <c r="L252">
        <v>825</v>
      </c>
      <c r="M252" t="s">
        <v>12</v>
      </c>
      <c r="O252">
        <v>390</v>
      </c>
      <c r="P252" t="s">
        <v>13</v>
      </c>
      <c r="Q252">
        <v>433.6</v>
      </c>
      <c r="R252" t="s">
        <v>13</v>
      </c>
      <c r="S252">
        <v>387</v>
      </c>
      <c r="T252" t="s">
        <v>13</v>
      </c>
      <c r="U252" t="s">
        <v>14</v>
      </c>
      <c r="V252">
        <v>42</v>
      </c>
      <c r="W252">
        <v>18</v>
      </c>
      <c r="X252">
        <v>37</v>
      </c>
      <c r="Y252" t="s">
        <v>15</v>
      </c>
      <c r="Z252">
        <v>71</v>
      </c>
      <c r="AA252">
        <v>14</v>
      </c>
      <c r="AB252">
        <v>12</v>
      </c>
      <c r="AC252">
        <v>1003433</v>
      </c>
      <c r="AD252">
        <v>7.16</v>
      </c>
      <c r="AE252" t="s">
        <v>16</v>
      </c>
      <c r="AF252">
        <v>4.45</v>
      </c>
      <c r="AG252" t="s">
        <v>17</v>
      </c>
      <c r="AH252" t="s">
        <v>253</v>
      </c>
      <c r="AI252" t="s">
        <v>718</v>
      </c>
    </row>
    <row r="253" spans="2:35" x14ac:dyDescent="0.25">
      <c r="B253" s="2" t="s">
        <v>387</v>
      </c>
      <c r="C253" t="s">
        <v>5</v>
      </c>
      <c r="D253">
        <v>30</v>
      </c>
      <c r="E253" t="s">
        <v>96</v>
      </c>
      <c r="F253" t="s">
        <v>21</v>
      </c>
      <c r="G253" t="s">
        <v>170</v>
      </c>
      <c r="H253" t="s">
        <v>31</v>
      </c>
      <c r="I253" t="s">
        <v>10</v>
      </c>
      <c r="J253" t="s">
        <v>472</v>
      </c>
      <c r="K253">
        <v>60555</v>
      </c>
      <c r="L253">
        <v>80</v>
      </c>
      <c r="M253" t="s">
        <v>12</v>
      </c>
      <c r="O253">
        <v>309</v>
      </c>
      <c r="P253" t="s">
        <v>13</v>
      </c>
      <c r="Q253">
        <v>324.2</v>
      </c>
      <c r="R253" t="s">
        <v>13</v>
      </c>
      <c r="S253">
        <v>309</v>
      </c>
      <c r="T253" t="s">
        <v>13</v>
      </c>
      <c r="U253" t="s">
        <v>14</v>
      </c>
      <c r="V253">
        <v>40</v>
      </c>
      <c r="W253">
        <v>45</v>
      </c>
      <c r="X253">
        <v>22.4</v>
      </c>
      <c r="Y253" t="s">
        <v>15</v>
      </c>
      <c r="Z253">
        <v>73</v>
      </c>
      <c r="AA253">
        <v>59</v>
      </c>
      <c r="AB253">
        <v>10.5</v>
      </c>
      <c r="AC253">
        <v>1238745</v>
      </c>
      <c r="AD253">
        <v>290.64999999999998</v>
      </c>
      <c r="AE253" t="s">
        <v>16</v>
      </c>
      <c r="AF253">
        <v>180.6</v>
      </c>
      <c r="AG253" t="s">
        <v>17</v>
      </c>
      <c r="AH253" t="s">
        <v>32</v>
      </c>
      <c r="AI253" t="s">
        <v>733</v>
      </c>
    </row>
    <row r="254" spans="2:35" x14ac:dyDescent="0.25">
      <c r="B254" s="2" t="s">
        <v>387</v>
      </c>
      <c r="C254" t="s">
        <v>5</v>
      </c>
      <c r="D254">
        <v>30</v>
      </c>
      <c r="E254" t="s">
        <v>6</v>
      </c>
      <c r="F254" t="s">
        <v>7</v>
      </c>
      <c r="G254" t="s">
        <v>170</v>
      </c>
      <c r="H254" t="s">
        <v>31</v>
      </c>
      <c r="I254" t="s">
        <v>10</v>
      </c>
      <c r="J254">
        <f>- -37827</f>
        <v>37827</v>
      </c>
      <c r="K254">
        <v>60555</v>
      </c>
      <c r="L254">
        <v>200</v>
      </c>
      <c r="M254" t="s">
        <v>12</v>
      </c>
      <c r="N254" t="s">
        <v>53</v>
      </c>
      <c r="O254">
        <v>429</v>
      </c>
      <c r="P254" t="s">
        <v>13</v>
      </c>
      <c r="Q254">
        <v>441.8</v>
      </c>
      <c r="R254" t="s">
        <v>13</v>
      </c>
      <c r="S254">
        <v>426.3</v>
      </c>
      <c r="T254" t="s">
        <v>13</v>
      </c>
      <c r="U254" t="s">
        <v>14</v>
      </c>
      <c r="V254">
        <v>40</v>
      </c>
      <c r="W254">
        <v>44</v>
      </c>
      <c r="X254">
        <v>54</v>
      </c>
      <c r="Y254" t="s">
        <v>15</v>
      </c>
      <c r="Z254">
        <v>73</v>
      </c>
      <c r="AA254">
        <v>59</v>
      </c>
      <c r="AB254">
        <v>9</v>
      </c>
      <c r="AC254">
        <v>1007048</v>
      </c>
      <c r="AD254">
        <v>291.18</v>
      </c>
      <c r="AE254" t="s">
        <v>16</v>
      </c>
      <c r="AF254">
        <v>180.93</v>
      </c>
      <c r="AG254" t="s">
        <v>17</v>
      </c>
      <c r="AH254" t="s">
        <v>50</v>
      </c>
      <c r="AI254" t="s">
        <v>733</v>
      </c>
    </row>
    <row r="255" spans="2:35" x14ac:dyDescent="0.25">
      <c r="B255" s="2" t="s">
        <v>473</v>
      </c>
      <c r="C255" t="s">
        <v>5</v>
      </c>
      <c r="D255">
        <v>30</v>
      </c>
      <c r="E255" t="s">
        <v>6</v>
      </c>
      <c r="F255" t="s">
        <v>7</v>
      </c>
      <c r="G255" t="s">
        <v>309</v>
      </c>
      <c r="H255" t="s">
        <v>31</v>
      </c>
      <c r="I255" t="s">
        <v>10</v>
      </c>
      <c r="J255">
        <f>- -37829</f>
        <v>37829</v>
      </c>
      <c r="K255">
        <v>74215</v>
      </c>
      <c r="L255">
        <v>200</v>
      </c>
      <c r="M255" t="s">
        <v>12</v>
      </c>
      <c r="N255" t="s">
        <v>53</v>
      </c>
      <c r="O255">
        <v>429</v>
      </c>
      <c r="P255" t="s">
        <v>13</v>
      </c>
      <c r="Q255">
        <v>441.8</v>
      </c>
      <c r="R255" t="s">
        <v>13</v>
      </c>
      <c r="S255">
        <v>426.3</v>
      </c>
      <c r="T255" t="s">
        <v>13</v>
      </c>
      <c r="U255" t="s">
        <v>14</v>
      </c>
      <c r="V255">
        <v>40</v>
      </c>
      <c r="W255">
        <v>44</v>
      </c>
      <c r="X255">
        <v>54</v>
      </c>
      <c r="Y255" t="s">
        <v>15</v>
      </c>
      <c r="Z255">
        <v>73</v>
      </c>
      <c r="AA255">
        <v>59</v>
      </c>
      <c r="AB255">
        <v>9</v>
      </c>
      <c r="AC255">
        <v>1007048</v>
      </c>
      <c r="AD255">
        <v>291.18</v>
      </c>
      <c r="AE255" t="s">
        <v>16</v>
      </c>
      <c r="AF255">
        <v>180.93</v>
      </c>
      <c r="AG255" t="s">
        <v>17</v>
      </c>
      <c r="AH255" t="s">
        <v>50</v>
      </c>
      <c r="AI255" t="s">
        <v>770</v>
      </c>
    </row>
    <row r="256" spans="2:35" x14ac:dyDescent="0.25">
      <c r="B256" s="2" t="s">
        <v>308</v>
      </c>
      <c r="C256" t="s">
        <v>5</v>
      </c>
      <c r="D256">
        <v>30</v>
      </c>
      <c r="E256" t="s">
        <v>20</v>
      </c>
      <c r="F256" t="s">
        <v>74</v>
      </c>
      <c r="G256" t="s">
        <v>654</v>
      </c>
      <c r="H256" t="s">
        <v>23</v>
      </c>
      <c r="I256" t="s">
        <v>10</v>
      </c>
      <c r="J256">
        <f>- -54813</f>
        <v>54813</v>
      </c>
      <c r="K256">
        <v>167314</v>
      </c>
      <c r="L256">
        <v>15</v>
      </c>
      <c r="M256" t="s">
        <v>12</v>
      </c>
      <c r="N256" t="s">
        <v>53</v>
      </c>
      <c r="O256">
        <v>0</v>
      </c>
      <c r="P256" t="s">
        <v>13</v>
      </c>
      <c r="Q256">
        <v>232</v>
      </c>
      <c r="R256" t="s">
        <v>13</v>
      </c>
      <c r="S256">
        <v>43</v>
      </c>
      <c r="T256" t="s">
        <v>13</v>
      </c>
      <c r="U256" t="s">
        <v>14</v>
      </c>
      <c r="V256">
        <v>40</v>
      </c>
      <c r="W256">
        <v>47</v>
      </c>
      <c r="X256">
        <v>18</v>
      </c>
      <c r="Y256" t="s">
        <v>15</v>
      </c>
      <c r="Z256">
        <v>74</v>
      </c>
      <c r="AA256">
        <v>15</v>
      </c>
      <c r="AB256">
        <v>18</v>
      </c>
      <c r="AC256">
        <v>1045804</v>
      </c>
      <c r="AD256">
        <v>306.47000000000003</v>
      </c>
      <c r="AE256" t="s">
        <v>16</v>
      </c>
      <c r="AF256">
        <v>190.43</v>
      </c>
      <c r="AG256" t="s">
        <v>17</v>
      </c>
      <c r="AH256" t="s">
        <v>225</v>
      </c>
      <c r="AI256" t="s">
        <v>684</v>
      </c>
    </row>
    <row r="257" spans="2:35" x14ac:dyDescent="0.25">
      <c r="B257" s="2" t="s">
        <v>387</v>
      </c>
      <c r="C257" t="s">
        <v>5</v>
      </c>
      <c r="D257">
        <v>30</v>
      </c>
      <c r="E257" t="s">
        <v>96</v>
      </c>
      <c r="F257" t="s">
        <v>7</v>
      </c>
      <c r="G257" t="s">
        <v>170</v>
      </c>
      <c r="H257" t="s">
        <v>31</v>
      </c>
      <c r="I257" t="s">
        <v>10</v>
      </c>
      <c r="J257">
        <f>- -67553</f>
        <v>67553</v>
      </c>
      <c r="K257">
        <v>60555</v>
      </c>
      <c r="L257">
        <v>270</v>
      </c>
      <c r="M257" t="s">
        <v>12</v>
      </c>
      <c r="N257" t="s">
        <v>53</v>
      </c>
      <c r="O257">
        <v>224</v>
      </c>
      <c r="P257" t="s">
        <v>13</v>
      </c>
      <c r="Q257">
        <v>288.10000000000002</v>
      </c>
      <c r="R257" t="s">
        <v>13</v>
      </c>
      <c r="S257">
        <v>98.5</v>
      </c>
      <c r="T257" t="s">
        <v>13</v>
      </c>
      <c r="U257" t="s">
        <v>14</v>
      </c>
      <c r="V257">
        <v>40</v>
      </c>
      <c r="W257">
        <v>48</v>
      </c>
      <c r="X257">
        <v>7.6</v>
      </c>
      <c r="Y257" t="s">
        <v>15</v>
      </c>
      <c r="Z257">
        <v>74</v>
      </c>
      <c r="AA257">
        <v>14</v>
      </c>
      <c r="AB257">
        <v>45.5</v>
      </c>
      <c r="AC257">
        <v>1060205</v>
      </c>
      <c r="AD257">
        <v>304.95</v>
      </c>
      <c r="AE257" t="s">
        <v>16</v>
      </c>
      <c r="AF257">
        <v>189.49</v>
      </c>
      <c r="AG257" t="s">
        <v>17</v>
      </c>
      <c r="AH257" t="s">
        <v>54</v>
      </c>
      <c r="AI257" t="s">
        <v>733</v>
      </c>
    </row>
    <row r="258" spans="2:35" x14ac:dyDescent="0.25">
      <c r="B258" s="2" t="s">
        <v>456</v>
      </c>
      <c r="C258" t="s">
        <v>5</v>
      </c>
      <c r="D258">
        <v>30</v>
      </c>
      <c r="E258" t="s">
        <v>20</v>
      </c>
      <c r="F258" t="s">
        <v>7</v>
      </c>
      <c r="G258" t="s">
        <v>654</v>
      </c>
      <c r="H258" t="s">
        <v>23</v>
      </c>
      <c r="I258" t="s">
        <v>10</v>
      </c>
      <c r="J258">
        <f>- -48135</f>
        <v>48135</v>
      </c>
      <c r="K258">
        <v>74305</v>
      </c>
      <c r="L258">
        <v>0.8</v>
      </c>
      <c r="M258" t="s">
        <v>12</v>
      </c>
      <c r="N258" t="s">
        <v>53</v>
      </c>
      <c r="O258">
        <v>0</v>
      </c>
      <c r="P258" t="s">
        <v>13</v>
      </c>
      <c r="Q258">
        <v>241</v>
      </c>
      <c r="R258" t="s">
        <v>13</v>
      </c>
      <c r="S258">
        <v>216</v>
      </c>
      <c r="T258" t="s">
        <v>13</v>
      </c>
      <c r="U258" t="s">
        <v>14</v>
      </c>
      <c r="V258">
        <v>40</v>
      </c>
      <c r="W258">
        <v>46</v>
      </c>
      <c r="X258">
        <v>2.2999999999999998</v>
      </c>
      <c r="Y258" t="s">
        <v>15</v>
      </c>
      <c r="Z258">
        <v>73</v>
      </c>
      <c r="AA258">
        <v>57</v>
      </c>
      <c r="AB258">
        <v>40.4</v>
      </c>
      <c r="AC258" t="s">
        <v>11</v>
      </c>
      <c r="AD258">
        <v>288.24</v>
      </c>
      <c r="AE258" t="s">
        <v>16</v>
      </c>
      <c r="AF258">
        <v>179.1</v>
      </c>
      <c r="AG258" t="s">
        <v>17</v>
      </c>
      <c r="AH258" t="s">
        <v>457</v>
      </c>
      <c r="AI258" t="s">
        <v>765</v>
      </c>
    </row>
    <row r="259" spans="2:35" x14ac:dyDescent="0.25">
      <c r="B259" s="2" t="s">
        <v>123</v>
      </c>
      <c r="C259" t="s">
        <v>5</v>
      </c>
      <c r="D259">
        <v>30</v>
      </c>
      <c r="E259" t="s">
        <v>20</v>
      </c>
      <c r="F259" t="s">
        <v>7</v>
      </c>
      <c r="G259" t="s">
        <v>654</v>
      </c>
      <c r="H259" t="s">
        <v>23</v>
      </c>
      <c r="I259" t="s">
        <v>10</v>
      </c>
      <c r="J259">
        <f>- -54668</f>
        <v>54668</v>
      </c>
      <c r="K259">
        <v>38945</v>
      </c>
      <c r="L259">
        <v>9</v>
      </c>
      <c r="M259" t="s">
        <v>12</v>
      </c>
      <c r="N259" t="s">
        <v>53</v>
      </c>
      <c r="O259">
        <v>0</v>
      </c>
      <c r="P259" t="s">
        <v>13</v>
      </c>
      <c r="Q259">
        <v>270.60000000000002</v>
      </c>
      <c r="R259" t="s">
        <v>13</v>
      </c>
      <c r="S259">
        <v>81</v>
      </c>
      <c r="T259" t="s">
        <v>13</v>
      </c>
      <c r="U259" t="s">
        <v>14</v>
      </c>
      <c r="V259">
        <v>40</v>
      </c>
      <c r="W259">
        <v>48</v>
      </c>
      <c r="X259">
        <v>7.6</v>
      </c>
      <c r="Y259" t="s">
        <v>15</v>
      </c>
      <c r="Z259">
        <v>74</v>
      </c>
      <c r="AA259">
        <v>14</v>
      </c>
      <c r="AB259">
        <v>45.5</v>
      </c>
      <c r="AC259">
        <v>1060205</v>
      </c>
      <c r="AD259">
        <v>304.95</v>
      </c>
      <c r="AE259" t="s">
        <v>16</v>
      </c>
      <c r="AF259">
        <v>189.49</v>
      </c>
      <c r="AG259" t="s">
        <v>17</v>
      </c>
      <c r="AH259" t="s">
        <v>54</v>
      </c>
      <c r="AI259" t="s">
        <v>666</v>
      </c>
    </row>
    <row r="260" spans="2:35" x14ac:dyDescent="0.25">
      <c r="B260" s="2" t="s">
        <v>474</v>
      </c>
      <c r="C260" t="s">
        <v>5</v>
      </c>
      <c r="D260">
        <v>30</v>
      </c>
      <c r="E260" t="s">
        <v>20</v>
      </c>
      <c r="F260" t="s">
        <v>21</v>
      </c>
      <c r="G260" t="s">
        <v>771</v>
      </c>
      <c r="H260" t="s">
        <v>101</v>
      </c>
      <c r="I260" t="s">
        <v>10</v>
      </c>
      <c r="J260" t="s">
        <v>475</v>
      </c>
      <c r="K260">
        <v>189112</v>
      </c>
      <c r="L260">
        <v>0.79600000000000004</v>
      </c>
      <c r="M260" t="s">
        <v>12</v>
      </c>
      <c r="N260" t="s">
        <v>53</v>
      </c>
      <c r="O260">
        <v>0</v>
      </c>
      <c r="P260" t="s">
        <v>13</v>
      </c>
      <c r="Q260">
        <v>1169</v>
      </c>
      <c r="R260" t="s">
        <v>13</v>
      </c>
      <c r="S260">
        <v>14</v>
      </c>
      <c r="T260" t="s">
        <v>13</v>
      </c>
      <c r="U260" t="s">
        <v>14</v>
      </c>
      <c r="V260">
        <v>43</v>
      </c>
      <c r="W260">
        <v>9</v>
      </c>
      <c r="X260">
        <v>57.2</v>
      </c>
      <c r="Y260" t="s">
        <v>15</v>
      </c>
      <c r="Z260">
        <v>73</v>
      </c>
      <c r="AA260">
        <v>6</v>
      </c>
      <c r="AB260">
        <v>55.3</v>
      </c>
      <c r="AC260" t="s">
        <v>11</v>
      </c>
      <c r="AD260">
        <v>176.36</v>
      </c>
      <c r="AE260" t="s">
        <v>16</v>
      </c>
      <c r="AF260">
        <v>109.59</v>
      </c>
      <c r="AG260" t="s">
        <v>17</v>
      </c>
      <c r="AH260" t="s">
        <v>476</v>
      </c>
      <c r="AI260" t="s">
        <v>686</v>
      </c>
    </row>
    <row r="261" spans="2:35" x14ac:dyDescent="0.25">
      <c r="B261" s="2" t="s">
        <v>11</v>
      </c>
      <c r="C261" t="s">
        <v>5</v>
      </c>
      <c r="D261">
        <v>30</v>
      </c>
      <c r="E261" t="s">
        <v>6</v>
      </c>
      <c r="F261" t="s">
        <v>7</v>
      </c>
      <c r="G261" t="s">
        <v>109</v>
      </c>
      <c r="H261" t="s">
        <v>110</v>
      </c>
      <c r="I261" t="s">
        <v>111</v>
      </c>
      <c r="J261" t="e">
        <f>- -CANADA312</f>
        <v>#NAME?</v>
      </c>
      <c r="K261">
        <v>704044</v>
      </c>
      <c r="L261">
        <v>4.63</v>
      </c>
      <c r="M261" t="s">
        <v>12</v>
      </c>
      <c r="N261" t="s">
        <v>53</v>
      </c>
      <c r="O261">
        <v>0</v>
      </c>
      <c r="P261" t="s">
        <v>13</v>
      </c>
      <c r="Q261">
        <v>881.6</v>
      </c>
      <c r="R261" t="s">
        <v>13</v>
      </c>
      <c r="S261">
        <v>0</v>
      </c>
      <c r="T261" t="s">
        <v>13</v>
      </c>
      <c r="U261" t="s">
        <v>14</v>
      </c>
      <c r="V261">
        <v>45</v>
      </c>
      <c r="W261">
        <v>18</v>
      </c>
      <c r="X261">
        <v>43.15</v>
      </c>
      <c r="Y261" t="s">
        <v>15</v>
      </c>
      <c r="Z261">
        <v>72</v>
      </c>
      <c r="AA261">
        <v>14</v>
      </c>
      <c r="AB261">
        <v>30.39</v>
      </c>
      <c r="AC261" t="s">
        <v>11</v>
      </c>
      <c r="AD261">
        <v>336.06</v>
      </c>
      <c r="AE261" t="s">
        <v>16</v>
      </c>
      <c r="AF261">
        <v>208.82</v>
      </c>
      <c r="AG261" t="s">
        <v>17</v>
      </c>
      <c r="AH261" t="s">
        <v>112</v>
      </c>
      <c r="AI261" t="s">
        <v>11</v>
      </c>
    </row>
    <row r="262" spans="2:35" x14ac:dyDescent="0.25">
      <c r="B262" s="2" t="s">
        <v>477</v>
      </c>
      <c r="C262" t="s">
        <v>5</v>
      </c>
      <c r="D262">
        <v>31</v>
      </c>
      <c r="E262" t="s">
        <v>6</v>
      </c>
      <c r="F262" t="s">
        <v>7</v>
      </c>
      <c r="G262" t="s">
        <v>143</v>
      </c>
      <c r="H262" t="s">
        <v>115</v>
      </c>
      <c r="I262" t="s">
        <v>10</v>
      </c>
      <c r="J262">
        <f>- -59402</f>
        <v>59402</v>
      </c>
      <c r="K262">
        <v>147</v>
      </c>
      <c r="L262">
        <v>120</v>
      </c>
      <c r="M262" t="s">
        <v>12</v>
      </c>
      <c r="N262" t="s">
        <v>53</v>
      </c>
      <c r="O262">
        <v>456</v>
      </c>
      <c r="P262" t="s">
        <v>13</v>
      </c>
      <c r="Q262">
        <v>555.4</v>
      </c>
      <c r="R262" t="s">
        <v>13</v>
      </c>
      <c r="S262">
        <v>339</v>
      </c>
      <c r="T262" t="s">
        <v>13</v>
      </c>
      <c r="U262" t="s">
        <v>14</v>
      </c>
      <c r="V262">
        <v>41</v>
      </c>
      <c r="W262">
        <v>42</v>
      </c>
      <c r="X262">
        <v>13</v>
      </c>
      <c r="Y262" t="s">
        <v>15</v>
      </c>
      <c r="Z262">
        <v>72</v>
      </c>
      <c r="AA262">
        <v>49</v>
      </c>
      <c r="AB262">
        <v>55</v>
      </c>
      <c r="AC262">
        <v>1041624</v>
      </c>
      <c r="AD262">
        <v>150.86000000000001</v>
      </c>
      <c r="AE262" t="s">
        <v>16</v>
      </c>
      <c r="AF262">
        <v>93.74</v>
      </c>
      <c r="AG262" t="s">
        <v>17</v>
      </c>
      <c r="AH262" t="s">
        <v>263</v>
      </c>
      <c r="AI262" t="s">
        <v>717</v>
      </c>
    </row>
    <row r="263" spans="2:35" x14ac:dyDescent="0.25">
      <c r="B263" s="2" t="s">
        <v>477</v>
      </c>
      <c r="C263" t="s">
        <v>5</v>
      </c>
      <c r="D263">
        <v>31</v>
      </c>
      <c r="E263" t="s">
        <v>6</v>
      </c>
      <c r="F263" t="s">
        <v>7</v>
      </c>
      <c r="G263" t="s">
        <v>143</v>
      </c>
      <c r="H263" t="s">
        <v>115</v>
      </c>
      <c r="I263" t="s">
        <v>10</v>
      </c>
      <c r="J263">
        <f>- -67969</f>
        <v>67969</v>
      </c>
      <c r="K263">
        <v>147</v>
      </c>
      <c r="L263">
        <v>120</v>
      </c>
      <c r="M263" t="s">
        <v>12</v>
      </c>
      <c r="N263" t="s">
        <v>53</v>
      </c>
      <c r="O263">
        <v>456</v>
      </c>
      <c r="P263" t="s">
        <v>13</v>
      </c>
      <c r="Q263">
        <v>555.4</v>
      </c>
      <c r="R263" t="s">
        <v>13</v>
      </c>
      <c r="S263">
        <v>339</v>
      </c>
      <c r="T263" t="s">
        <v>13</v>
      </c>
      <c r="U263" t="s">
        <v>14</v>
      </c>
      <c r="V263">
        <v>41</v>
      </c>
      <c r="W263">
        <v>42</v>
      </c>
      <c r="X263">
        <v>13</v>
      </c>
      <c r="Y263" t="s">
        <v>15</v>
      </c>
      <c r="Z263">
        <v>72</v>
      </c>
      <c r="AA263">
        <v>49</v>
      </c>
      <c r="AB263">
        <v>55</v>
      </c>
      <c r="AC263">
        <v>1041624</v>
      </c>
      <c r="AD263">
        <v>150.86000000000001</v>
      </c>
      <c r="AE263" t="s">
        <v>16</v>
      </c>
      <c r="AF263">
        <v>93.74</v>
      </c>
      <c r="AG263" t="s">
        <v>17</v>
      </c>
      <c r="AH263" t="s">
        <v>263</v>
      </c>
      <c r="AI263" t="s">
        <v>717</v>
      </c>
    </row>
    <row r="264" spans="2:35" x14ac:dyDescent="0.25">
      <c r="B264" s="2" t="s">
        <v>478</v>
      </c>
      <c r="C264" t="s">
        <v>5</v>
      </c>
      <c r="D264">
        <v>31</v>
      </c>
      <c r="E264" t="s">
        <v>6</v>
      </c>
      <c r="F264" t="s">
        <v>656</v>
      </c>
      <c r="G264" t="s">
        <v>62</v>
      </c>
      <c r="H264" t="s">
        <v>9</v>
      </c>
      <c r="I264" t="s">
        <v>10</v>
      </c>
      <c r="J264">
        <f>- -34813</f>
        <v>34813</v>
      </c>
      <c r="K264">
        <v>39664</v>
      </c>
      <c r="L264">
        <v>1000</v>
      </c>
      <c r="M264" t="s">
        <v>12</v>
      </c>
      <c r="N264" t="s">
        <v>53</v>
      </c>
      <c r="O264">
        <v>587.9</v>
      </c>
      <c r="P264" t="s">
        <v>13</v>
      </c>
      <c r="Q264">
        <v>741.4</v>
      </c>
      <c r="R264" t="s">
        <v>13</v>
      </c>
      <c r="S264">
        <v>367</v>
      </c>
      <c r="T264" t="s">
        <v>13</v>
      </c>
      <c r="U264" t="s">
        <v>14</v>
      </c>
      <c r="V264">
        <v>43</v>
      </c>
      <c r="W264">
        <v>51</v>
      </c>
      <c r="X264">
        <v>30</v>
      </c>
      <c r="Y264" t="s">
        <v>15</v>
      </c>
      <c r="Z264">
        <v>70</v>
      </c>
      <c r="AA264">
        <v>42</v>
      </c>
      <c r="AB264">
        <v>39</v>
      </c>
      <c r="AC264">
        <v>1055705</v>
      </c>
      <c r="AD264">
        <v>170.57</v>
      </c>
      <c r="AE264" t="s">
        <v>16</v>
      </c>
      <c r="AF264">
        <v>105.99</v>
      </c>
      <c r="AG264" t="s">
        <v>17</v>
      </c>
      <c r="AH264" t="s">
        <v>479</v>
      </c>
      <c r="AI264" t="s">
        <v>653</v>
      </c>
    </row>
    <row r="265" spans="2:35" x14ac:dyDescent="0.25">
      <c r="B265" s="2" t="s">
        <v>480</v>
      </c>
      <c r="C265" t="s">
        <v>5</v>
      </c>
      <c r="D265">
        <v>31</v>
      </c>
      <c r="E265" t="s">
        <v>6</v>
      </c>
      <c r="F265" t="s">
        <v>7</v>
      </c>
      <c r="G265" t="s">
        <v>40</v>
      </c>
      <c r="H265" t="s">
        <v>41</v>
      </c>
      <c r="I265" t="s">
        <v>10</v>
      </c>
      <c r="J265">
        <f>- -59633</f>
        <v>59633</v>
      </c>
      <c r="K265">
        <v>6463</v>
      </c>
      <c r="L265">
        <v>280</v>
      </c>
      <c r="M265" t="s">
        <v>12</v>
      </c>
      <c r="N265" t="s">
        <v>53</v>
      </c>
      <c r="O265">
        <v>332</v>
      </c>
      <c r="P265" t="s">
        <v>13</v>
      </c>
      <c r="Q265">
        <v>376.2</v>
      </c>
      <c r="R265" t="s">
        <v>13</v>
      </c>
      <c r="S265">
        <v>329.6</v>
      </c>
      <c r="T265" t="s">
        <v>13</v>
      </c>
      <c r="U265" t="s">
        <v>14</v>
      </c>
      <c r="V265">
        <v>42</v>
      </c>
      <c r="W265">
        <v>18</v>
      </c>
      <c r="X265">
        <v>37</v>
      </c>
      <c r="Y265" t="s">
        <v>15</v>
      </c>
      <c r="Z265">
        <v>71</v>
      </c>
      <c r="AA265">
        <v>14</v>
      </c>
      <c r="AB265">
        <v>12</v>
      </c>
      <c r="AC265">
        <v>1003433</v>
      </c>
      <c r="AD265">
        <v>7.16</v>
      </c>
      <c r="AE265" t="s">
        <v>16</v>
      </c>
      <c r="AF265">
        <v>4.45</v>
      </c>
      <c r="AG265" t="s">
        <v>17</v>
      </c>
      <c r="AH265" t="s">
        <v>253</v>
      </c>
      <c r="AI265" t="s">
        <v>772</v>
      </c>
    </row>
    <row r="266" spans="2:35" x14ac:dyDescent="0.25">
      <c r="B266" s="2" t="s">
        <v>480</v>
      </c>
      <c r="C266" t="s">
        <v>5</v>
      </c>
      <c r="D266">
        <v>31</v>
      </c>
      <c r="E266" t="s">
        <v>6</v>
      </c>
      <c r="F266" t="s">
        <v>7</v>
      </c>
      <c r="G266" t="s">
        <v>40</v>
      </c>
      <c r="H266" t="s">
        <v>41</v>
      </c>
      <c r="I266" t="s">
        <v>10</v>
      </c>
      <c r="J266">
        <f>- -68290</f>
        <v>68290</v>
      </c>
      <c r="K266">
        <v>6463</v>
      </c>
      <c r="L266">
        <v>280</v>
      </c>
      <c r="M266" t="s">
        <v>12</v>
      </c>
      <c r="N266" t="s">
        <v>53</v>
      </c>
      <c r="O266">
        <v>332</v>
      </c>
      <c r="P266" t="s">
        <v>13</v>
      </c>
      <c r="Q266">
        <v>376.2</v>
      </c>
      <c r="R266" t="s">
        <v>13</v>
      </c>
      <c r="S266">
        <v>329.6</v>
      </c>
      <c r="T266" t="s">
        <v>13</v>
      </c>
      <c r="U266" t="s">
        <v>14</v>
      </c>
      <c r="V266">
        <v>42</v>
      </c>
      <c r="W266">
        <v>18</v>
      </c>
      <c r="X266">
        <v>37</v>
      </c>
      <c r="Y266" t="s">
        <v>15</v>
      </c>
      <c r="Z266">
        <v>71</v>
      </c>
      <c r="AA266">
        <v>14</v>
      </c>
      <c r="AB266">
        <v>12</v>
      </c>
      <c r="AC266">
        <v>1003433</v>
      </c>
      <c r="AD266">
        <v>7.16</v>
      </c>
      <c r="AE266" t="s">
        <v>16</v>
      </c>
      <c r="AF266">
        <v>4.45</v>
      </c>
      <c r="AG266" t="s">
        <v>17</v>
      </c>
      <c r="AH266" t="s">
        <v>253</v>
      </c>
      <c r="AI266" t="s">
        <v>772</v>
      </c>
    </row>
    <row r="267" spans="2:35" x14ac:dyDescent="0.25">
      <c r="B267" s="2" t="s">
        <v>481</v>
      </c>
      <c r="C267" t="s">
        <v>5</v>
      </c>
      <c r="D267">
        <v>31</v>
      </c>
      <c r="E267" t="s">
        <v>6</v>
      </c>
      <c r="F267" t="s">
        <v>7</v>
      </c>
      <c r="G267" t="s">
        <v>65</v>
      </c>
      <c r="H267" t="s">
        <v>23</v>
      </c>
      <c r="I267" t="s">
        <v>10</v>
      </c>
      <c r="J267">
        <f>- -28130</f>
        <v>28130</v>
      </c>
      <c r="K267">
        <v>74034</v>
      </c>
      <c r="L267">
        <v>40.200000000000003</v>
      </c>
      <c r="M267" t="s">
        <v>12</v>
      </c>
      <c r="O267">
        <v>408</v>
      </c>
      <c r="P267" t="s">
        <v>13</v>
      </c>
      <c r="Q267">
        <v>803.2</v>
      </c>
      <c r="R267" t="s">
        <v>13</v>
      </c>
      <c r="S267">
        <v>282</v>
      </c>
      <c r="T267" t="s">
        <v>13</v>
      </c>
      <c r="U267" t="s">
        <v>14</v>
      </c>
      <c r="V267">
        <v>42</v>
      </c>
      <c r="W267">
        <v>3</v>
      </c>
      <c r="X267">
        <v>40.200000000000003</v>
      </c>
      <c r="Y267" t="s">
        <v>15</v>
      </c>
      <c r="Z267">
        <v>75</v>
      </c>
      <c r="AA267">
        <v>56</v>
      </c>
      <c r="AB267">
        <v>44.2</v>
      </c>
      <c r="AC267">
        <v>1236974</v>
      </c>
      <c r="AD267">
        <v>389.47</v>
      </c>
      <c r="AE267" t="s">
        <v>16</v>
      </c>
      <c r="AF267">
        <v>242.01</v>
      </c>
      <c r="AG267" t="s">
        <v>17</v>
      </c>
      <c r="AH267" t="s">
        <v>482</v>
      </c>
      <c r="AI267" t="s">
        <v>773</v>
      </c>
    </row>
    <row r="268" spans="2:35" x14ac:dyDescent="0.25">
      <c r="B268" s="2" t="s">
        <v>483</v>
      </c>
      <c r="C268" t="s">
        <v>5</v>
      </c>
      <c r="D268">
        <v>31</v>
      </c>
      <c r="E268" t="s">
        <v>6</v>
      </c>
      <c r="F268" t="s">
        <v>21</v>
      </c>
      <c r="G268" t="s">
        <v>654</v>
      </c>
      <c r="H268" t="s">
        <v>23</v>
      </c>
      <c r="I268" t="s">
        <v>10</v>
      </c>
      <c r="J268">
        <f>- -37694</f>
        <v>37694</v>
      </c>
      <c r="K268">
        <v>73356</v>
      </c>
      <c r="L268">
        <v>100</v>
      </c>
      <c r="M268" t="s">
        <v>12</v>
      </c>
      <c r="O268">
        <v>519</v>
      </c>
      <c r="P268" t="s">
        <v>13</v>
      </c>
      <c r="Q268">
        <v>530.4</v>
      </c>
      <c r="R268" t="s">
        <v>13</v>
      </c>
      <c r="S268">
        <v>526.1</v>
      </c>
      <c r="T268" t="s">
        <v>13</v>
      </c>
      <c r="U268" t="s">
        <v>14</v>
      </c>
      <c r="V268">
        <v>40</v>
      </c>
      <c r="W268">
        <v>42</v>
      </c>
      <c r="X268">
        <v>46.8</v>
      </c>
      <c r="Y268" t="s">
        <v>15</v>
      </c>
      <c r="Z268">
        <v>74</v>
      </c>
      <c r="AA268">
        <v>0</v>
      </c>
      <c r="AB268">
        <v>47.3</v>
      </c>
      <c r="AC268">
        <v>1263701</v>
      </c>
      <c r="AD268">
        <v>295.45</v>
      </c>
      <c r="AE268" t="s">
        <v>16</v>
      </c>
      <c r="AF268">
        <v>183.59</v>
      </c>
      <c r="AG268" t="s">
        <v>17</v>
      </c>
      <c r="AH268" t="s">
        <v>33</v>
      </c>
      <c r="AI268" t="s">
        <v>706</v>
      </c>
    </row>
    <row r="269" spans="2:35" x14ac:dyDescent="0.25">
      <c r="B269" s="2" t="s">
        <v>463</v>
      </c>
      <c r="C269" t="s">
        <v>5</v>
      </c>
      <c r="D269">
        <v>31</v>
      </c>
      <c r="E269" t="s">
        <v>20</v>
      </c>
      <c r="F269" t="s">
        <v>21</v>
      </c>
      <c r="G269" t="s">
        <v>683</v>
      </c>
      <c r="H269" t="s">
        <v>23</v>
      </c>
      <c r="I269" t="s">
        <v>10</v>
      </c>
      <c r="J269">
        <f>- -49440</f>
        <v>49440</v>
      </c>
      <c r="K269">
        <v>128222</v>
      </c>
      <c r="L269">
        <v>0.12</v>
      </c>
      <c r="M269" t="s">
        <v>12</v>
      </c>
      <c r="N269" t="s">
        <v>53</v>
      </c>
      <c r="O269">
        <v>0</v>
      </c>
      <c r="P269" t="s">
        <v>13</v>
      </c>
      <c r="Q269">
        <v>232</v>
      </c>
      <c r="R269" t="s">
        <v>13</v>
      </c>
      <c r="S269">
        <v>43</v>
      </c>
      <c r="T269" t="s">
        <v>13</v>
      </c>
      <c r="U269" t="s">
        <v>14</v>
      </c>
      <c r="V269">
        <v>40</v>
      </c>
      <c r="W269">
        <v>47</v>
      </c>
      <c r="X269">
        <v>18</v>
      </c>
      <c r="Y269" t="s">
        <v>15</v>
      </c>
      <c r="Z269">
        <v>74</v>
      </c>
      <c r="AA269">
        <v>15</v>
      </c>
      <c r="AB269">
        <v>18</v>
      </c>
      <c r="AC269">
        <v>1045804</v>
      </c>
      <c r="AD269">
        <v>306.47000000000003</v>
      </c>
      <c r="AE269" t="s">
        <v>16</v>
      </c>
      <c r="AF269">
        <v>190.43</v>
      </c>
      <c r="AG269" t="s">
        <v>17</v>
      </c>
      <c r="AH269" t="s">
        <v>225</v>
      </c>
      <c r="AI269" t="s">
        <v>684</v>
      </c>
    </row>
    <row r="270" spans="2:35" x14ac:dyDescent="0.25">
      <c r="B270" s="2" t="s">
        <v>483</v>
      </c>
      <c r="C270" t="s">
        <v>5</v>
      </c>
      <c r="D270">
        <v>31</v>
      </c>
      <c r="E270" t="s">
        <v>6</v>
      </c>
      <c r="F270" t="s">
        <v>7</v>
      </c>
      <c r="G270" t="s">
        <v>654</v>
      </c>
      <c r="H270" t="s">
        <v>23</v>
      </c>
      <c r="I270" t="s">
        <v>10</v>
      </c>
      <c r="J270">
        <f>- -52936</f>
        <v>52936</v>
      </c>
      <c r="K270">
        <v>73356</v>
      </c>
      <c r="L270">
        <v>60</v>
      </c>
      <c r="M270" t="s">
        <v>12</v>
      </c>
      <c r="O270">
        <v>519</v>
      </c>
      <c r="P270" t="s">
        <v>13</v>
      </c>
      <c r="Q270">
        <v>530.4</v>
      </c>
      <c r="R270" t="s">
        <v>13</v>
      </c>
      <c r="S270">
        <v>526.1</v>
      </c>
      <c r="T270" t="s">
        <v>13</v>
      </c>
      <c r="U270" t="s">
        <v>14</v>
      </c>
      <c r="V270">
        <v>40</v>
      </c>
      <c r="W270">
        <v>42</v>
      </c>
      <c r="X270">
        <v>46.8</v>
      </c>
      <c r="Y270" t="s">
        <v>15</v>
      </c>
      <c r="Z270">
        <v>74</v>
      </c>
      <c r="AA270">
        <v>0</v>
      </c>
      <c r="AB270">
        <v>47.3</v>
      </c>
      <c r="AC270">
        <v>1263701</v>
      </c>
      <c r="AD270">
        <v>295.45</v>
      </c>
      <c r="AE270" t="s">
        <v>16</v>
      </c>
      <c r="AF270">
        <v>183.59</v>
      </c>
      <c r="AG270" t="s">
        <v>17</v>
      </c>
      <c r="AH270" t="s">
        <v>33</v>
      </c>
      <c r="AI270" t="s">
        <v>706</v>
      </c>
    </row>
    <row r="271" spans="2:35" x14ac:dyDescent="0.25">
      <c r="B271" s="2" t="s">
        <v>484</v>
      </c>
      <c r="C271" t="s">
        <v>5</v>
      </c>
      <c r="D271">
        <v>31</v>
      </c>
      <c r="E271" t="s">
        <v>20</v>
      </c>
      <c r="F271" t="s">
        <v>7</v>
      </c>
      <c r="G271" t="s">
        <v>774</v>
      </c>
      <c r="H271" t="s">
        <v>23</v>
      </c>
      <c r="I271" t="s">
        <v>10</v>
      </c>
      <c r="J271">
        <f>- -54409</f>
        <v>54409</v>
      </c>
      <c r="K271">
        <v>34332</v>
      </c>
      <c r="L271">
        <v>15</v>
      </c>
      <c r="M271" t="s">
        <v>12</v>
      </c>
      <c r="N271" t="s">
        <v>53</v>
      </c>
      <c r="O271">
        <v>0</v>
      </c>
      <c r="P271" t="s">
        <v>13</v>
      </c>
      <c r="Q271">
        <v>665</v>
      </c>
      <c r="R271" t="s">
        <v>13</v>
      </c>
      <c r="S271">
        <v>47.2</v>
      </c>
      <c r="T271" t="s">
        <v>13</v>
      </c>
      <c r="U271" t="s">
        <v>14</v>
      </c>
      <c r="V271">
        <v>42</v>
      </c>
      <c r="W271">
        <v>42</v>
      </c>
      <c r="X271">
        <v>53.3</v>
      </c>
      <c r="Y271" t="s">
        <v>15</v>
      </c>
      <c r="Z271">
        <v>75</v>
      </c>
      <c r="AA271">
        <v>8</v>
      </c>
      <c r="AB271">
        <v>38.6</v>
      </c>
      <c r="AC271" t="s">
        <v>11</v>
      </c>
      <c r="AD271">
        <v>322.3</v>
      </c>
      <c r="AE271" t="s">
        <v>16</v>
      </c>
      <c r="AF271">
        <v>200.27</v>
      </c>
      <c r="AG271" t="s">
        <v>17</v>
      </c>
      <c r="AH271" t="s">
        <v>485</v>
      </c>
      <c r="AI271" t="s">
        <v>677</v>
      </c>
    </row>
    <row r="272" spans="2:35" x14ac:dyDescent="0.25">
      <c r="B272" s="2" t="s">
        <v>486</v>
      </c>
      <c r="C272" t="s">
        <v>5</v>
      </c>
      <c r="D272">
        <v>31</v>
      </c>
      <c r="E272" t="s">
        <v>20</v>
      </c>
      <c r="F272" t="s">
        <v>74</v>
      </c>
      <c r="G272" t="s">
        <v>654</v>
      </c>
      <c r="H272" t="s">
        <v>23</v>
      </c>
      <c r="I272" t="s">
        <v>10</v>
      </c>
      <c r="J272">
        <f>- -54804</f>
        <v>54804</v>
      </c>
      <c r="K272">
        <v>127812</v>
      </c>
      <c r="L272">
        <v>15</v>
      </c>
      <c r="M272" t="s">
        <v>12</v>
      </c>
      <c r="N272" t="s">
        <v>53</v>
      </c>
      <c r="O272">
        <v>0</v>
      </c>
      <c r="P272" t="s">
        <v>13</v>
      </c>
      <c r="Q272">
        <v>275</v>
      </c>
      <c r="R272" t="s">
        <v>13</v>
      </c>
      <c r="S272">
        <v>265.60000000000002</v>
      </c>
      <c r="T272" t="s">
        <v>13</v>
      </c>
      <c r="U272" t="s">
        <v>14</v>
      </c>
      <c r="V272">
        <v>40</v>
      </c>
      <c r="W272">
        <v>45</v>
      </c>
      <c r="X272">
        <v>8.1</v>
      </c>
      <c r="Y272" t="s">
        <v>15</v>
      </c>
      <c r="Z272">
        <v>73</v>
      </c>
      <c r="AA272">
        <v>58</v>
      </c>
      <c r="AB272">
        <v>2.1</v>
      </c>
      <c r="AC272">
        <v>1268297</v>
      </c>
      <c r="AD272">
        <v>289.69</v>
      </c>
      <c r="AE272" t="s">
        <v>16</v>
      </c>
      <c r="AF272">
        <v>180</v>
      </c>
      <c r="AG272" t="s">
        <v>17</v>
      </c>
      <c r="AH272" t="s">
        <v>25</v>
      </c>
      <c r="AI272" t="s">
        <v>684</v>
      </c>
    </row>
    <row r="273" spans="2:35" x14ac:dyDescent="0.25">
      <c r="B273" s="2" t="s">
        <v>487</v>
      </c>
      <c r="C273" t="s">
        <v>5</v>
      </c>
      <c r="D273">
        <v>31</v>
      </c>
      <c r="E273" t="s">
        <v>6</v>
      </c>
      <c r="F273" t="s">
        <v>7</v>
      </c>
      <c r="G273" t="s">
        <v>248</v>
      </c>
      <c r="H273" t="s">
        <v>249</v>
      </c>
      <c r="I273" t="s">
        <v>10</v>
      </c>
      <c r="J273">
        <f>- -14013</f>
        <v>14013</v>
      </c>
      <c r="K273">
        <v>73374</v>
      </c>
      <c r="L273">
        <v>100</v>
      </c>
      <c r="M273" t="s">
        <v>12</v>
      </c>
      <c r="O273">
        <v>356</v>
      </c>
      <c r="P273" t="s">
        <v>13</v>
      </c>
      <c r="Q273">
        <v>709.6</v>
      </c>
      <c r="R273" t="s">
        <v>13</v>
      </c>
      <c r="S273">
        <v>79</v>
      </c>
      <c r="T273" t="s">
        <v>13</v>
      </c>
      <c r="U273" t="s">
        <v>14</v>
      </c>
      <c r="V273">
        <v>41</v>
      </c>
      <c r="W273">
        <v>26</v>
      </c>
      <c r="X273">
        <v>9.1</v>
      </c>
      <c r="Y273" t="s">
        <v>15</v>
      </c>
      <c r="Z273">
        <v>75</v>
      </c>
      <c r="AA273">
        <v>43</v>
      </c>
      <c r="AB273">
        <v>42.3</v>
      </c>
      <c r="AC273">
        <v>1026644</v>
      </c>
      <c r="AD273">
        <v>386.13</v>
      </c>
      <c r="AE273" t="s">
        <v>16</v>
      </c>
      <c r="AF273">
        <v>239.93</v>
      </c>
      <c r="AG273" t="s">
        <v>17</v>
      </c>
      <c r="AH273" t="s">
        <v>358</v>
      </c>
      <c r="AI273" t="s">
        <v>775</v>
      </c>
    </row>
    <row r="274" spans="2:35" x14ac:dyDescent="0.25">
      <c r="B274" s="2" t="s">
        <v>11</v>
      </c>
      <c r="C274" t="s">
        <v>5</v>
      </c>
      <c r="D274">
        <v>31</v>
      </c>
      <c r="E274" t="s">
        <v>6</v>
      </c>
      <c r="F274" t="s">
        <v>7</v>
      </c>
      <c r="G274" t="s">
        <v>175</v>
      </c>
      <c r="H274" t="s">
        <v>110</v>
      </c>
      <c r="I274" t="s">
        <v>111</v>
      </c>
      <c r="J274" t="e">
        <f>- -CANADA280</f>
        <v>#NAME?</v>
      </c>
      <c r="K274">
        <v>704012</v>
      </c>
      <c r="L274">
        <v>4.03</v>
      </c>
      <c r="M274" t="s">
        <v>12</v>
      </c>
      <c r="N274" t="s">
        <v>53</v>
      </c>
      <c r="O274">
        <v>0</v>
      </c>
      <c r="P274" t="s">
        <v>13</v>
      </c>
      <c r="Q274">
        <v>224</v>
      </c>
      <c r="R274" t="s">
        <v>13</v>
      </c>
      <c r="S274">
        <v>0</v>
      </c>
      <c r="T274" t="s">
        <v>13</v>
      </c>
      <c r="U274" t="s">
        <v>14</v>
      </c>
      <c r="V274">
        <v>45</v>
      </c>
      <c r="W274">
        <v>30</v>
      </c>
      <c r="X274">
        <v>12.12</v>
      </c>
      <c r="Y274" t="s">
        <v>15</v>
      </c>
      <c r="Z274">
        <v>73</v>
      </c>
      <c r="AA274">
        <v>35</v>
      </c>
      <c r="AB274">
        <v>46.58</v>
      </c>
      <c r="AC274" t="s">
        <v>11</v>
      </c>
      <c r="AD274">
        <v>395.53</v>
      </c>
      <c r="AE274" t="s">
        <v>16</v>
      </c>
      <c r="AF274">
        <v>245.77</v>
      </c>
      <c r="AG274" t="s">
        <v>17</v>
      </c>
      <c r="AH274" t="s">
        <v>488</v>
      </c>
      <c r="AI274" t="s">
        <v>11</v>
      </c>
    </row>
    <row r="275" spans="2:35" x14ac:dyDescent="0.25">
      <c r="B275" s="2" t="s">
        <v>489</v>
      </c>
      <c r="C275" t="s">
        <v>5</v>
      </c>
      <c r="D275">
        <v>32</v>
      </c>
      <c r="E275" t="s">
        <v>20</v>
      </c>
      <c r="F275" t="s">
        <v>7</v>
      </c>
      <c r="G275" t="s">
        <v>143</v>
      </c>
      <c r="H275" t="s">
        <v>115</v>
      </c>
      <c r="I275" t="s">
        <v>10</v>
      </c>
      <c r="J275">
        <f>- -63086</f>
        <v>63086</v>
      </c>
      <c r="K275">
        <v>26336</v>
      </c>
      <c r="L275">
        <v>8</v>
      </c>
      <c r="M275" t="s">
        <v>12</v>
      </c>
      <c r="N275" t="s">
        <v>53</v>
      </c>
      <c r="O275">
        <v>0</v>
      </c>
      <c r="P275" t="s">
        <v>13</v>
      </c>
      <c r="Q275">
        <v>293.39999999999998</v>
      </c>
      <c r="R275" t="s">
        <v>13</v>
      </c>
      <c r="S275">
        <v>77.7</v>
      </c>
      <c r="T275" t="s">
        <v>13</v>
      </c>
      <c r="U275" t="s">
        <v>14</v>
      </c>
      <c r="V275">
        <v>41</v>
      </c>
      <c r="W275">
        <v>47</v>
      </c>
      <c r="X275">
        <v>48.4</v>
      </c>
      <c r="Y275" t="s">
        <v>15</v>
      </c>
      <c r="Z275">
        <v>72</v>
      </c>
      <c r="AA275">
        <v>47</v>
      </c>
      <c r="AB275">
        <v>48.5</v>
      </c>
      <c r="AC275">
        <v>1226764</v>
      </c>
      <c r="AD275">
        <v>143.34</v>
      </c>
      <c r="AE275" t="s">
        <v>16</v>
      </c>
      <c r="AF275">
        <v>89.07</v>
      </c>
      <c r="AG275" t="s">
        <v>17</v>
      </c>
      <c r="AH275" t="s">
        <v>440</v>
      </c>
      <c r="AI275" t="s">
        <v>763</v>
      </c>
    </row>
    <row r="276" spans="2:35" x14ac:dyDescent="0.25">
      <c r="B276" s="2" t="s">
        <v>490</v>
      </c>
      <c r="C276" t="s">
        <v>5</v>
      </c>
      <c r="D276">
        <v>32</v>
      </c>
      <c r="E276" t="s">
        <v>20</v>
      </c>
      <c r="F276" t="s">
        <v>656</v>
      </c>
      <c r="G276" t="s">
        <v>62</v>
      </c>
      <c r="H276" t="s">
        <v>9</v>
      </c>
      <c r="I276" t="s">
        <v>10</v>
      </c>
      <c r="J276">
        <f>- -63724</f>
        <v>63724</v>
      </c>
      <c r="K276">
        <v>47717</v>
      </c>
      <c r="L276">
        <v>15</v>
      </c>
      <c r="M276" t="s">
        <v>12</v>
      </c>
      <c r="N276" t="s">
        <v>53</v>
      </c>
      <c r="O276">
        <v>0</v>
      </c>
      <c r="P276" t="s">
        <v>13</v>
      </c>
      <c r="Q276">
        <v>314.5</v>
      </c>
      <c r="R276" t="s">
        <v>13</v>
      </c>
      <c r="S276">
        <v>175</v>
      </c>
      <c r="T276" t="s">
        <v>13</v>
      </c>
      <c r="U276" t="s">
        <v>14</v>
      </c>
      <c r="V276">
        <v>43</v>
      </c>
      <c r="W276">
        <v>51</v>
      </c>
      <c r="X276">
        <v>6</v>
      </c>
      <c r="Y276" t="s">
        <v>15</v>
      </c>
      <c r="Z276">
        <v>70</v>
      </c>
      <c r="AA276">
        <v>19</v>
      </c>
      <c r="AB276">
        <v>37.5</v>
      </c>
      <c r="AC276">
        <v>1022679</v>
      </c>
      <c r="AD276">
        <v>180.43</v>
      </c>
      <c r="AE276" t="s">
        <v>16</v>
      </c>
      <c r="AF276">
        <v>112.11</v>
      </c>
      <c r="AG276" t="s">
        <v>17</v>
      </c>
      <c r="AH276" t="s">
        <v>491</v>
      </c>
      <c r="AI276" t="s">
        <v>757</v>
      </c>
    </row>
    <row r="277" spans="2:35" x14ac:dyDescent="0.25">
      <c r="B277" s="2" t="s">
        <v>302</v>
      </c>
      <c r="C277" t="s">
        <v>5</v>
      </c>
      <c r="D277">
        <v>32</v>
      </c>
      <c r="E277" t="s">
        <v>6</v>
      </c>
      <c r="F277" t="s">
        <v>21</v>
      </c>
      <c r="G277" t="s">
        <v>40</v>
      </c>
      <c r="H277" t="s">
        <v>41</v>
      </c>
      <c r="I277" t="s">
        <v>10</v>
      </c>
      <c r="J277" t="s">
        <v>492</v>
      </c>
      <c r="K277">
        <v>7692</v>
      </c>
      <c r="L277">
        <v>300</v>
      </c>
      <c r="M277" t="s">
        <v>12</v>
      </c>
      <c r="N277" t="s">
        <v>53</v>
      </c>
      <c r="O277">
        <v>292</v>
      </c>
      <c r="P277" t="s">
        <v>13</v>
      </c>
      <c r="Q277">
        <v>335</v>
      </c>
      <c r="R277" t="s">
        <v>13</v>
      </c>
      <c r="S277">
        <v>304.8</v>
      </c>
      <c r="T277" t="s">
        <v>13</v>
      </c>
      <c r="U277" t="s">
        <v>14</v>
      </c>
      <c r="V277">
        <v>42</v>
      </c>
      <c r="W277">
        <v>18</v>
      </c>
      <c r="X277">
        <v>27.8</v>
      </c>
      <c r="Y277" t="s">
        <v>15</v>
      </c>
      <c r="Z277">
        <v>71</v>
      </c>
      <c r="AA277">
        <v>13</v>
      </c>
      <c r="AB277">
        <v>24.9</v>
      </c>
      <c r="AC277">
        <v>1004623</v>
      </c>
      <c r="AD277">
        <v>7.64</v>
      </c>
      <c r="AE277" t="s">
        <v>16</v>
      </c>
      <c r="AF277">
        <v>4.75</v>
      </c>
      <c r="AG277" t="s">
        <v>17</v>
      </c>
      <c r="AH277" t="s">
        <v>238</v>
      </c>
      <c r="AI277" t="s">
        <v>725</v>
      </c>
    </row>
    <row r="278" spans="2:35" x14ac:dyDescent="0.25">
      <c r="B278" s="2" t="s">
        <v>493</v>
      </c>
      <c r="C278" t="s">
        <v>5</v>
      </c>
      <c r="D278">
        <v>32</v>
      </c>
      <c r="E278" t="s">
        <v>6</v>
      </c>
      <c r="F278" t="s">
        <v>7</v>
      </c>
      <c r="G278" t="s">
        <v>494</v>
      </c>
      <c r="H278" t="s">
        <v>41</v>
      </c>
      <c r="I278" t="s">
        <v>10</v>
      </c>
      <c r="J278">
        <f>- -42469</f>
        <v>42469</v>
      </c>
      <c r="K278">
        <v>6476</v>
      </c>
      <c r="L278">
        <v>300</v>
      </c>
      <c r="M278" t="s">
        <v>12</v>
      </c>
      <c r="N278" t="s">
        <v>53</v>
      </c>
      <c r="O278">
        <v>292</v>
      </c>
      <c r="P278" t="s">
        <v>13</v>
      </c>
      <c r="Q278">
        <v>333.4</v>
      </c>
      <c r="R278" t="s">
        <v>13</v>
      </c>
      <c r="S278">
        <v>304.8</v>
      </c>
      <c r="T278" t="s">
        <v>13</v>
      </c>
      <c r="U278" t="s">
        <v>14</v>
      </c>
      <c r="V278">
        <v>42</v>
      </c>
      <c r="W278">
        <v>18</v>
      </c>
      <c r="X278">
        <v>27.8</v>
      </c>
      <c r="Y278" t="s">
        <v>15</v>
      </c>
      <c r="Z278">
        <v>71</v>
      </c>
      <c r="AA278">
        <v>13</v>
      </c>
      <c r="AB278">
        <v>24.9</v>
      </c>
      <c r="AC278">
        <v>1004623</v>
      </c>
      <c r="AD278">
        <v>7.64</v>
      </c>
      <c r="AE278" t="s">
        <v>16</v>
      </c>
      <c r="AF278">
        <v>4.75</v>
      </c>
      <c r="AG278" t="s">
        <v>17</v>
      </c>
      <c r="AH278" t="s">
        <v>238</v>
      </c>
      <c r="AI278" t="s">
        <v>725</v>
      </c>
    </row>
    <row r="279" spans="2:35" x14ac:dyDescent="0.25">
      <c r="B279" s="2" t="s">
        <v>302</v>
      </c>
      <c r="C279" t="s">
        <v>5</v>
      </c>
      <c r="D279">
        <v>32</v>
      </c>
      <c r="E279" t="s">
        <v>6</v>
      </c>
      <c r="F279" t="s">
        <v>7</v>
      </c>
      <c r="G279" t="s">
        <v>40</v>
      </c>
      <c r="H279" t="s">
        <v>41</v>
      </c>
      <c r="I279" t="s">
        <v>10</v>
      </c>
      <c r="J279">
        <f>- -48989</f>
        <v>48989</v>
      </c>
      <c r="K279">
        <v>7692</v>
      </c>
      <c r="L279">
        <v>300</v>
      </c>
      <c r="M279" t="s">
        <v>12</v>
      </c>
      <c r="N279" t="s">
        <v>53</v>
      </c>
      <c r="O279">
        <v>292</v>
      </c>
      <c r="P279" t="s">
        <v>13</v>
      </c>
      <c r="Q279">
        <v>333.4</v>
      </c>
      <c r="R279" t="s">
        <v>13</v>
      </c>
      <c r="S279">
        <v>304.8</v>
      </c>
      <c r="T279" t="s">
        <v>13</v>
      </c>
      <c r="U279" t="s">
        <v>14</v>
      </c>
      <c r="V279">
        <v>42</v>
      </c>
      <c r="W279">
        <v>18</v>
      </c>
      <c r="X279">
        <v>27.8</v>
      </c>
      <c r="Y279" t="s">
        <v>15</v>
      </c>
      <c r="Z279">
        <v>71</v>
      </c>
      <c r="AA279">
        <v>13</v>
      </c>
      <c r="AB279">
        <v>24.9</v>
      </c>
      <c r="AC279">
        <v>1004623</v>
      </c>
      <c r="AD279">
        <v>7.64</v>
      </c>
      <c r="AE279" t="s">
        <v>16</v>
      </c>
      <c r="AF279">
        <v>4.75</v>
      </c>
      <c r="AG279" t="s">
        <v>17</v>
      </c>
      <c r="AH279" t="s">
        <v>238</v>
      </c>
      <c r="AI279" t="s">
        <v>725</v>
      </c>
    </row>
    <row r="280" spans="2:35" x14ac:dyDescent="0.25">
      <c r="B280" s="2" t="s">
        <v>311</v>
      </c>
      <c r="C280" t="s">
        <v>5</v>
      </c>
      <c r="D280">
        <v>32</v>
      </c>
      <c r="E280" t="s">
        <v>20</v>
      </c>
      <c r="F280" t="s">
        <v>21</v>
      </c>
      <c r="G280" t="s">
        <v>654</v>
      </c>
      <c r="H280" t="s">
        <v>23</v>
      </c>
      <c r="I280" t="s">
        <v>10</v>
      </c>
      <c r="J280" t="s">
        <v>495</v>
      </c>
      <c r="K280">
        <v>29231</v>
      </c>
      <c r="L280">
        <v>7.5</v>
      </c>
      <c r="M280" t="s">
        <v>12</v>
      </c>
      <c r="N280" t="s">
        <v>53</v>
      </c>
      <c r="O280">
        <v>0</v>
      </c>
      <c r="P280" t="s">
        <v>13</v>
      </c>
      <c r="Q280">
        <v>213</v>
      </c>
      <c r="R280" t="s">
        <v>13</v>
      </c>
      <c r="S280">
        <v>208.1</v>
      </c>
      <c r="T280" t="s">
        <v>13</v>
      </c>
      <c r="U280" t="s">
        <v>14</v>
      </c>
      <c r="V280">
        <v>40</v>
      </c>
      <c r="W280">
        <v>44</v>
      </c>
      <c r="X280">
        <v>50.3</v>
      </c>
      <c r="Y280" t="s">
        <v>15</v>
      </c>
      <c r="Z280">
        <v>73</v>
      </c>
      <c r="AA280">
        <v>56</v>
      </c>
      <c r="AB280">
        <v>36.4</v>
      </c>
      <c r="AC280" t="s">
        <v>11</v>
      </c>
      <c r="AD280">
        <v>288.49</v>
      </c>
      <c r="AE280" t="s">
        <v>16</v>
      </c>
      <c r="AF280">
        <v>179.26</v>
      </c>
      <c r="AG280" t="s">
        <v>17</v>
      </c>
      <c r="AH280" t="s">
        <v>60</v>
      </c>
      <c r="AI280" t="s">
        <v>666</v>
      </c>
    </row>
    <row r="281" spans="2:35" x14ac:dyDescent="0.25">
      <c r="B281" s="2" t="s">
        <v>496</v>
      </c>
      <c r="C281" t="s">
        <v>5</v>
      </c>
      <c r="D281">
        <v>32</v>
      </c>
      <c r="E281" t="s">
        <v>34</v>
      </c>
      <c r="F281" t="s">
        <v>21</v>
      </c>
      <c r="G281" t="s">
        <v>683</v>
      </c>
      <c r="H281" t="s">
        <v>23</v>
      </c>
      <c r="I281" t="s">
        <v>10</v>
      </c>
      <c r="J281" t="s">
        <v>497</v>
      </c>
      <c r="K281">
        <v>130470</v>
      </c>
      <c r="L281">
        <v>0.2</v>
      </c>
      <c r="M281" t="s">
        <v>12</v>
      </c>
      <c r="N281" t="s">
        <v>53</v>
      </c>
      <c r="O281">
        <v>0</v>
      </c>
      <c r="P281" t="s">
        <v>13</v>
      </c>
      <c r="Q281">
        <v>171</v>
      </c>
      <c r="R281" t="s">
        <v>13</v>
      </c>
      <c r="S281">
        <v>38</v>
      </c>
      <c r="T281" t="s">
        <v>13</v>
      </c>
      <c r="U281" t="s">
        <v>14</v>
      </c>
      <c r="V281">
        <v>41</v>
      </c>
      <c r="W281">
        <v>21</v>
      </c>
      <c r="X281">
        <v>49.3</v>
      </c>
      <c r="Y281" t="s">
        <v>15</v>
      </c>
      <c r="Z281">
        <v>74</v>
      </c>
      <c r="AA281">
        <v>40</v>
      </c>
      <c r="AB281">
        <v>39.5</v>
      </c>
      <c r="AC281" t="s">
        <v>11</v>
      </c>
      <c r="AD281">
        <v>306.08999999999997</v>
      </c>
      <c r="AE281" t="s">
        <v>16</v>
      </c>
      <c r="AF281">
        <v>190.2</v>
      </c>
      <c r="AG281" t="s">
        <v>17</v>
      </c>
      <c r="AH281" t="s">
        <v>280</v>
      </c>
      <c r="AI281" t="s">
        <v>684</v>
      </c>
    </row>
    <row r="282" spans="2:35" x14ac:dyDescent="0.25">
      <c r="B282" s="2" t="s">
        <v>496</v>
      </c>
      <c r="C282" t="s">
        <v>5</v>
      </c>
      <c r="D282">
        <v>32</v>
      </c>
      <c r="E282" t="s">
        <v>20</v>
      </c>
      <c r="F282" t="s">
        <v>21</v>
      </c>
      <c r="G282" t="s">
        <v>683</v>
      </c>
      <c r="H282" t="s">
        <v>23</v>
      </c>
      <c r="I282" t="s">
        <v>10</v>
      </c>
      <c r="J282">
        <f>- -15198</f>
        <v>15198</v>
      </c>
      <c r="K282">
        <v>130470</v>
      </c>
      <c r="L282">
        <v>1.87</v>
      </c>
      <c r="M282" t="s">
        <v>12</v>
      </c>
      <c r="N282" t="s">
        <v>53</v>
      </c>
      <c r="O282">
        <v>0</v>
      </c>
      <c r="P282" t="s">
        <v>13</v>
      </c>
      <c r="Q282">
        <v>471.5</v>
      </c>
      <c r="R282" t="s">
        <v>13</v>
      </c>
      <c r="S282">
        <v>65.5</v>
      </c>
      <c r="T282" t="s">
        <v>13</v>
      </c>
      <c r="U282" t="s">
        <v>14</v>
      </c>
      <c r="V282">
        <v>41</v>
      </c>
      <c r="W282">
        <v>0</v>
      </c>
      <c r="X282">
        <v>35.6</v>
      </c>
      <c r="Y282" t="s">
        <v>15</v>
      </c>
      <c r="Z282">
        <v>74</v>
      </c>
      <c r="AA282">
        <v>35</v>
      </c>
      <c r="AB282">
        <v>37.4</v>
      </c>
      <c r="AC282">
        <v>1032928</v>
      </c>
      <c r="AD282">
        <v>317.12</v>
      </c>
      <c r="AE282" t="s">
        <v>16</v>
      </c>
      <c r="AF282">
        <v>197.05</v>
      </c>
      <c r="AG282" t="s">
        <v>17</v>
      </c>
      <c r="AH282" t="s">
        <v>310</v>
      </c>
      <c r="AI282" t="s">
        <v>684</v>
      </c>
    </row>
    <row r="283" spans="2:35" x14ac:dyDescent="0.25">
      <c r="B283" s="2" t="s">
        <v>496</v>
      </c>
      <c r="C283" t="s">
        <v>5</v>
      </c>
      <c r="D283">
        <v>32</v>
      </c>
      <c r="E283" t="s">
        <v>20</v>
      </c>
      <c r="F283" t="s">
        <v>74</v>
      </c>
      <c r="G283" t="s">
        <v>683</v>
      </c>
      <c r="H283" t="s">
        <v>23</v>
      </c>
      <c r="I283" t="s">
        <v>10</v>
      </c>
      <c r="J283">
        <f>- -33498</f>
        <v>33498</v>
      </c>
      <c r="K283">
        <v>130470</v>
      </c>
      <c r="L283">
        <v>0.1</v>
      </c>
      <c r="M283" t="s">
        <v>12</v>
      </c>
      <c r="N283" t="s">
        <v>53</v>
      </c>
      <c r="O283">
        <v>0</v>
      </c>
      <c r="P283" t="s">
        <v>13</v>
      </c>
      <c r="Q283">
        <v>232</v>
      </c>
      <c r="R283" t="s">
        <v>13</v>
      </c>
      <c r="S283">
        <v>43</v>
      </c>
      <c r="T283" t="s">
        <v>13</v>
      </c>
      <c r="U283" t="s">
        <v>14</v>
      </c>
      <c r="V283">
        <v>40</v>
      </c>
      <c r="W283">
        <v>47</v>
      </c>
      <c r="X283">
        <v>18</v>
      </c>
      <c r="Y283" t="s">
        <v>15</v>
      </c>
      <c r="Z283">
        <v>74</v>
      </c>
      <c r="AA283">
        <v>15</v>
      </c>
      <c r="AB283">
        <v>18</v>
      </c>
      <c r="AC283">
        <v>1045804</v>
      </c>
      <c r="AD283">
        <v>306.47000000000003</v>
      </c>
      <c r="AE283" t="s">
        <v>16</v>
      </c>
      <c r="AF283">
        <v>190.43</v>
      </c>
      <c r="AG283" t="s">
        <v>17</v>
      </c>
      <c r="AH283" t="s">
        <v>225</v>
      </c>
      <c r="AI283" t="s">
        <v>684</v>
      </c>
    </row>
    <row r="284" spans="2:35" x14ac:dyDescent="0.25">
      <c r="B284" s="2" t="s">
        <v>498</v>
      </c>
      <c r="C284" t="s">
        <v>5</v>
      </c>
      <c r="D284">
        <v>32</v>
      </c>
      <c r="E284" t="s">
        <v>20</v>
      </c>
      <c r="F284" t="s">
        <v>7</v>
      </c>
      <c r="G284" t="s">
        <v>776</v>
      </c>
      <c r="H284" t="s">
        <v>23</v>
      </c>
      <c r="I284" t="s">
        <v>10</v>
      </c>
      <c r="J284">
        <f>- -54298</f>
        <v>54298</v>
      </c>
      <c r="K284">
        <v>68052</v>
      </c>
      <c r="L284">
        <v>1.42</v>
      </c>
      <c r="M284" t="s">
        <v>12</v>
      </c>
      <c r="N284" t="s">
        <v>53</v>
      </c>
      <c r="O284">
        <v>0</v>
      </c>
      <c r="P284" t="s">
        <v>13</v>
      </c>
      <c r="Q284">
        <v>464.3</v>
      </c>
      <c r="R284" t="s">
        <v>13</v>
      </c>
      <c r="S284">
        <v>62</v>
      </c>
      <c r="T284" t="s">
        <v>13</v>
      </c>
      <c r="U284" t="s">
        <v>14</v>
      </c>
      <c r="V284">
        <v>43</v>
      </c>
      <c r="W284">
        <v>18</v>
      </c>
      <c r="X284">
        <v>17</v>
      </c>
      <c r="Y284" t="s">
        <v>15</v>
      </c>
      <c r="Z284">
        <v>73</v>
      </c>
      <c r="AA284">
        <v>45</v>
      </c>
      <c r="AB284">
        <v>5</v>
      </c>
      <c r="AC284">
        <v>1200269</v>
      </c>
      <c r="AD284">
        <v>229.32</v>
      </c>
      <c r="AE284" t="s">
        <v>16</v>
      </c>
      <c r="AF284">
        <v>142.49</v>
      </c>
      <c r="AG284" t="s">
        <v>17</v>
      </c>
      <c r="AH284" t="s">
        <v>208</v>
      </c>
      <c r="AI284" t="s">
        <v>757</v>
      </c>
    </row>
    <row r="285" spans="2:35" x14ac:dyDescent="0.25">
      <c r="B285" s="2" t="s">
        <v>499</v>
      </c>
      <c r="C285" t="s">
        <v>5</v>
      </c>
      <c r="D285">
        <v>32</v>
      </c>
      <c r="E285" t="s">
        <v>20</v>
      </c>
      <c r="F285" t="s">
        <v>21</v>
      </c>
      <c r="G285" t="s">
        <v>192</v>
      </c>
      <c r="H285" t="s">
        <v>23</v>
      </c>
      <c r="I285" t="s">
        <v>10</v>
      </c>
      <c r="J285">
        <f>- -67798</f>
        <v>67798</v>
      </c>
      <c r="K285">
        <v>130308</v>
      </c>
      <c r="L285">
        <v>9.4</v>
      </c>
      <c r="M285" t="s">
        <v>12</v>
      </c>
      <c r="O285">
        <v>0</v>
      </c>
      <c r="P285" t="s">
        <v>13</v>
      </c>
      <c r="Q285">
        <v>386.4</v>
      </c>
      <c r="R285" t="s">
        <v>13</v>
      </c>
      <c r="S285">
        <v>96</v>
      </c>
      <c r="T285" t="s">
        <v>13</v>
      </c>
      <c r="U285" t="s">
        <v>14</v>
      </c>
      <c r="V285">
        <v>42</v>
      </c>
      <c r="W285">
        <v>39</v>
      </c>
      <c r="X285">
        <v>3</v>
      </c>
      <c r="Y285" t="s">
        <v>15</v>
      </c>
      <c r="Z285">
        <v>74</v>
      </c>
      <c r="AA285">
        <v>31</v>
      </c>
      <c r="AB285">
        <v>23</v>
      </c>
      <c r="AC285">
        <v>1010829</v>
      </c>
      <c r="AD285">
        <v>270.94</v>
      </c>
      <c r="AE285" t="s">
        <v>16</v>
      </c>
      <c r="AF285">
        <v>168.36</v>
      </c>
      <c r="AG285" t="s">
        <v>17</v>
      </c>
      <c r="AH285" t="s">
        <v>500</v>
      </c>
      <c r="AI285" t="s">
        <v>777</v>
      </c>
    </row>
    <row r="286" spans="2:35" x14ac:dyDescent="0.25">
      <c r="B286" s="2" t="s">
        <v>501</v>
      </c>
      <c r="C286" t="s">
        <v>5</v>
      </c>
      <c r="D286">
        <v>32</v>
      </c>
      <c r="E286" t="s">
        <v>6</v>
      </c>
      <c r="F286" t="s">
        <v>21</v>
      </c>
      <c r="G286" t="s">
        <v>248</v>
      </c>
      <c r="H286" t="s">
        <v>249</v>
      </c>
      <c r="I286" t="s">
        <v>10</v>
      </c>
      <c r="J286" t="s">
        <v>502</v>
      </c>
      <c r="K286">
        <v>64690</v>
      </c>
      <c r="L286">
        <v>528</v>
      </c>
      <c r="M286" t="s">
        <v>12</v>
      </c>
      <c r="N286" t="s">
        <v>53</v>
      </c>
      <c r="O286">
        <v>354</v>
      </c>
      <c r="P286" t="s">
        <v>13</v>
      </c>
      <c r="Q286">
        <v>712.6</v>
      </c>
      <c r="R286" t="s">
        <v>13</v>
      </c>
      <c r="S286">
        <v>75.599999999999994</v>
      </c>
      <c r="T286" t="s">
        <v>13</v>
      </c>
      <c r="U286" t="s">
        <v>14</v>
      </c>
      <c r="V286">
        <v>41</v>
      </c>
      <c r="W286">
        <v>26</v>
      </c>
      <c r="X286">
        <v>6</v>
      </c>
      <c r="Y286" t="s">
        <v>15</v>
      </c>
      <c r="Z286">
        <v>75</v>
      </c>
      <c r="AA286">
        <v>43</v>
      </c>
      <c r="AB286">
        <v>34</v>
      </c>
      <c r="AC286">
        <v>1026736</v>
      </c>
      <c r="AD286">
        <v>385.98</v>
      </c>
      <c r="AE286" t="s">
        <v>16</v>
      </c>
      <c r="AF286">
        <v>239.84</v>
      </c>
      <c r="AG286" t="s">
        <v>17</v>
      </c>
      <c r="AH286" t="s">
        <v>503</v>
      </c>
      <c r="AI286" t="s">
        <v>778</v>
      </c>
    </row>
    <row r="287" spans="2:35" x14ac:dyDescent="0.25">
      <c r="B287" s="2" t="s">
        <v>260</v>
      </c>
      <c r="C287" t="s">
        <v>5</v>
      </c>
      <c r="D287">
        <v>33</v>
      </c>
      <c r="E287" t="s">
        <v>6</v>
      </c>
      <c r="F287" t="s">
        <v>656</v>
      </c>
      <c r="G287" t="s">
        <v>261</v>
      </c>
      <c r="H287" t="s">
        <v>115</v>
      </c>
      <c r="I287" t="s">
        <v>10</v>
      </c>
      <c r="J287">
        <f>- -34241</f>
        <v>34241</v>
      </c>
      <c r="K287">
        <v>14050</v>
      </c>
      <c r="L287">
        <v>220</v>
      </c>
      <c r="M287" t="s">
        <v>12</v>
      </c>
      <c r="O287">
        <v>517</v>
      </c>
      <c r="P287" t="s">
        <v>13</v>
      </c>
      <c r="Q287">
        <v>615.4</v>
      </c>
      <c r="R287" t="s">
        <v>13</v>
      </c>
      <c r="S287">
        <v>399</v>
      </c>
      <c r="T287" t="s">
        <v>13</v>
      </c>
      <c r="U287" t="s">
        <v>14</v>
      </c>
      <c r="V287">
        <v>41</v>
      </c>
      <c r="W287">
        <v>42</v>
      </c>
      <c r="X287">
        <v>13</v>
      </c>
      <c r="Y287" t="s">
        <v>15</v>
      </c>
      <c r="Z287">
        <v>72</v>
      </c>
      <c r="AA287">
        <v>49</v>
      </c>
      <c r="AB287">
        <v>55</v>
      </c>
      <c r="AC287">
        <v>1041624</v>
      </c>
      <c r="AD287">
        <v>150.86000000000001</v>
      </c>
      <c r="AE287" t="s">
        <v>16</v>
      </c>
      <c r="AF287">
        <v>93.74</v>
      </c>
      <c r="AG287" t="s">
        <v>17</v>
      </c>
      <c r="AH287" t="s">
        <v>263</v>
      </c>
      <c r="AI287" t="s">
        <v>717</v>
      </c>
    </row>
    <row r="288" spans="2:35" x14ac:dyDescent="0.25">
      <c r="B288" s="2" t="s">
        <v>233</v>
      </c>
      <c r="C288" t="s">
        <v>5</v>
      </c>
      <c r="D288">
        <v>33</v>
      </c>
      <c r="E288" t="s">
        <v>34</v>
      </c>
      <c r="F288" t="s">
        <v>7</v>
      </c>
      <c r="G288" t="s">
        <v>234</v>
      </c>
      <c r="H288" t="s">
        <v>9</v>
      </c>
      <c r="I288" t="s">
        <v>10</v>
      </c>
      <c r="J288" t="s">
        <v>504</v>
      </c>
      <c r="K288">
        <v>33959</v>
      </c>
      <c r="L288">
        <v>2.5000000000000001E-2</v>
      </c>
      <c r="M288" t="s">
        <v>12</v>
      </c>
      <c r="N288" t="s">
        <v>53</v>
      </c>
      <c r="O288">
        <v>0</v>
      </c>
      <c r="P288" t="s">
        <v>13</v>
      </c>
      <c r="Q288">
        <v>100</v>
      </c>
      <c r="R288" t="s">
        <v>13</v>
      </c>
      <c r="S288">
        <v>11</v>
      </c>
      <c r="T288" t="s">
        <v>13</v>
      </c>
      <c r="U288" t="s">
        <v>14</v>
      </c>
      <c r="V288">
        <v>44</v>
      </c>
      <c r="W288">
        <v>52</v>
      </c>
      <c r="X288">
        <v>44</v>
      </c>
      <c r="Y288" t="s">
        <v>15</v>
      </c>
      <c r="Z288">
        <v>68</v>
      </c>
      <c r="AA288">
        <v>52</v>
      </c>
      <c r="AB288">
        <v>55.7</v>
      </c>
      <c r="AC288" t="s">
        <v>11</v>
      </c>
      <c r="AD288">
        <v>337.47</v>
      </c>
      <c r="AE288" t="s">
        <v>16</v>
      </c>
      <c r="AF288">
        <v>209.7</v>
      </c>
      <c r="AG288" t="s">
        <v>17</v>
      </c>
      <c r="AH288" t="s">
        <v>235</v>
      </c>
      <c r="AI288" t="s">
        <v>712</v>
      </c>
    </row>
    <row r="289" spans="2:35" x14ac:dyDescent="0.25">
      <c r="B289" s="2" t="s">
        <v>264</v>
      </c>
      <c r="C289" t="s">
        <v>5</v>
      </c>
      <c r="D289">
        <v>33</v>
      </c>
      <c r="E289" t="s">
        <v>6</v>
      </c>
      <c r="F289" t="s">
        <v>656</v>
      </c>
      <c r="G289" t="s">
        <v>40</v>
      </c>
      <c r="H289" t="s">
        <v>41</v>
      </c>
      <c r="I289" t="s">
        <v>10</v>
      </c>
      <c r="J289">
        <f>- -34567</f>
        <v>34567</v>
      </c>
      <c r="K289">
        <v>65684</v>
      </c>
      <c r="L289">
        <v>922</v>
      </c>
      <c r="M289" t="s">
        <v>12</v>
      </c>
      <c r="O289">
        <v>388.3</v>
      </c>
      <c r="P289" t="s">
        <v>13</v>
      </c>
      <c r="Q289">
        <v>431.9</v>
      </c>
      <c r="R289" t="s">
        <v>13</v>
      </c>
      <c r="S289">
        <v>385.3</v>
      </c>
      <c r="T289" t="s">
        <v>13</v>
      </c>
      <c r="U289" t="s">
        <v>14</v>
      </c>
      <c r="V289">
        <v>42</v>
      </c>
      <c r="W289">
        <v>18</v>
      </c>
      <c r="X289">
        <v>37</v>
      </c>
      <c r="Y289" t="s">
        <v>15</v>
      </c>
      <c r="Z289">
        <v>71</v>
      </c>
      <c r="AA289">
        <v>14</v>
      </c>
      <c r="AB289">
        <v>12</v>
      </c>
      <c r="AC289">
        <v>1003433</v>
      </c>
      <c r="AD289">
        <v>7.16</v>
      </c>
      <c r="AE289" t="s">
        <v>16</v>
      </c>
      <c r="AF289">
        <v>4.45</v>
      </c>
      <c r="AG289" t="s">
        <v>17</v>
      </c>
      <c r="AH289" t="s">
        <v>253</v>
      </c>
      <c r="AI289" t="s">
        <v>699</v>
      </c>
    </row>
    <row r="290" spans="2:35" x14ac:dyDescent="0.25">
      <c r="B290" s="2" t="s">
        <v>505</v>
      </c>
      <c r="C290" t="s">
        <v>5</v>
      </c>
      <c r="D290">
        <v>33</v>
      </c>
      <c r="E290" t="s">
        <v>6</v>
      </c>
      <c r="F290" t="s">
        <v>7</v>
      </c>
      <c r="G290" t="s">
        <v>506</v>
      </c>
      <c r="H290" t="s">
        <v>41</v>
      </c>
      <c r="I290" t="s">
        <v>10</v>
      </c>
      <c r="J290">
        <f>- -53222</f>
        <v>53222</v>
      </c>
      <c r="K290">
        <v>18783</v>
      </c>
      <c r="L290">
        <v>100</v>
      </c>
      <c r="M290" t="s">
        <v>12</v>
      </c>
      <c r="N290" t="s">
        <v>53</v>
      </c>
      <c r="O290">
        <v>344</v>
      </c>
      <c r="P290" t="s">
        <v>13</v>
      </c>
      <c r="Q290">
        <v>508.6</v>
      </c>
      <c r="R290" t="s">
        <v>13</v>
      </c>
      <c r="S290">
        <v>78.900000000000006</v>
      </c>
      <c r="T290" t="s">
        <v>13</v>
      </c>
      <c r="U290" t="s">
        <v>14</v>
      </c>
      <c r="V290">
        <v>43</v>
      </c>
      <c r="W290">
        <v>11</v>
      </c>
      <c r="X290">
        <v>4</v>
      </c>
      <c r="Y290" t="s">
        <v>15</v>
      </c>
      <c r="Z290">
        <v>71</v>
      </c>
      <c r="AA290">
        <v>19</v>
      </c>
      <c r="AB290">
        <v>10</v>
      </c>
      <c r="AC290">
        <v>1033792</v>
      </c>
      <c r="AD290">
        <v>90.2</v>
      </c>
      <c r="AE290" t="s">
        <v>16</v>
      </c>
      <c r="AF290">
        <v>56.05</v>
      </c>
      <c r="AG290" t="s">
        <v>17</v>
      </c>
      <c r="AH290" t="s">
        <v>47</v>
      </c>
      <c r="AI290" t="s">
        <v>779</v>
      </c>
    </row>
    <row r="291" spans="2:35" x14ac:dyDescent="0.25">
      <c r="B291" s="2" t="s">
        <v>507</v>
      </c>
      <c r="C291" t="s">
        <v>5</v>
      </c>
      <c r="D291">
        <v>33</v>
      </c>
      <c r="E291" t="s">
        <v>34</v>
      </c>
      <c r="F291" t="s">
        <v>21</v>
      </c>
      <c r="G291" t="s">
        <v>508</v>
      </c>
      <c r="H291" t="s">
        <v>45</v>
      </c>
      <c r="I291" t="s">
        <v>10</v>
      </c>
      <c r="J291" t="s">
        <v>509</v>
      </c>
      <c r="K291">
        <v>9764</v>
      </c>
      <c r="L291">
        <v>0.73499999999999999</v>
      </c>
      <c r="M291" t="s">
        <v>12</v>
      </c>
      <c r="O291">
        <v>0</v>
      </c>
      <c r="P291" t="s">
        <v>13</v>
      </c>
      <c r="Q291">
        <v>85</v>
      </c>
      <c r="R291" t="s">
        <v>13</v>
      </c>
      <c r="S291">
        <v>39</v>
      </c>
      <c r="T291" t="s">
        <v>13</v>
      </c>
      <c r="U291" t="s">
        <v>14</v>
      </c>
      <c r="V291">
        <v>42</v>
      </c>
      <c r="W291">
        <v>45</v>
      </c>
      <c r="X291">
        <v>45.3</v>
      </c>
      <c r="Y291" t="s">
        <v>15</v>
      </c>
      <c r="Z291">
        <v>71</v>
      </c>
      <c r="AA291">
        <v>27</v>
      </c>
      <c r="AB291">
        <v>47.2</v>
      </c>
      <c r="AC291" t="s">
        <v>11</v>
      </c>
      <c r="AD291">
        <v>46.63</v>
      </c>
      <c r="AE291" t="s">
        <v>16</v>
      </c>
      <c r="AF291">
        <v>28.98</v>
      </c>
      <c r="AG291" t="s">
        <v>17</v>
      </c>
      <c r="AH291" t="s">
        <v>510</v>
      </c>
      <c r="AI291" t="s">
        <v>661</v>
      </c>
    </row>
    <row r="292" spans="2:35" x14ac:dyDescent="0.25">
      <c r="B292" s="2" t="s">
        <v>511</v>
      </c>
      <c r="C292" t="s">
        <v>5</v>
      </c>
      <c r="D292">
        <v>33</v>
      </c>
      <c r="E292" t="s">
        <v>6</v>
      </c>
      <c r="F292" t="s">
        <v>7</v>
      </c>
      <c r="G292" t="s">
        <v>44</v>
      </c>
      <c r="H292" t="s">
        <v>45</v>
      </c>
      <c r="I292" t="s">
        <v>10</v>
      </c>
      <c r="J292">
        <f>- -53337</f>
        <v>53337</v>
      </c>
      <c r="K292">
        <v>48406</v>
      </c>
      <c r="L292">
        <v>100</v>
      </c>
      <c r="M292" t="s">
        <v>12</v>
      </c>
      <c r="N292" t="s">
        <v>53</v>
      </c>
      <c r="O292">
        <v>344</v>
      </c>
      <c r="P292" t="s">
        <v>13</v>
      </c>
      <c r="Q292">
        <v>508.6</v>
      </c>
      <c r="R292" t="s">
        <v>13</v>
      </c>
      <c r="S292">
        <v>78.900000000000006</v>
      </c>
      <c r="T292" t="s">
        <v>13</v>
      </c>
      <c r="U292" t="s">
        <v>14</v>
      </c>
      <c r="V292">
        <v>43</v>
      </c>
      <c r="W292">
        <v>11</v>
      </c>
      <c r="X292">
        <v>4</v>
      </c>
      <c r="Y292" t="s">
        <v>15</v>
      </c>
      <c r="Z292">
        <v>71</v>
      </c>
      <c r="AA292">
        <v>19</v>
      </c>
      <c r="AB292">
        <v>10</v>
      </c>
      <c r="AC292">
        <v>1033792</v>
      </c>
      <c r="AD292">
        <v>90.2</v>
      </c>
      <c r="AE292" t="s">
        <v>16</v>
      </c>
      <c r="AF292">
        <v>56.05</v>
      </c>
      <c r="AG292" t="s">
        <v>17</v>
      </c>
      <c r="AH292" t="s">
        <v>47</v>
      </c>
      <c r="AI292" t="s">
        <v>725</v>
      </c>
    </row>
    <row r="293" spans="2:35" x14ac:dyDescent="0.25">
      <c r="B293" s="2" t="s">
        <v>512</v>
      </c>
      <c r="C293" t="s">
        <v>5</v>
      </c>
      <c r="D293">
        <v>33</v>
      </c>
      <c r="E293" t="s">
        <v>96</v>
      </c>
      <c r="F293" t="s">
        <v>21</v>
      </c>
      <c r="G293" t="s">
        <v>654</v>
      </c>
      <c r="H293" t="s">
        <v>23</v>
      </c>
      <c r="I293" t="s">
        <v>10</v>
      </c>
      <c r="J293">
        <f>- -4179</f>
        <v>4179</v>
      </c>
      <c r="K293">
        <v>9610</v>
      </c>
      <c r="L293">
        <v>400</v>
      </c>
      <c r="M293" t="s">
        <v>12</v>
      </c>
      <c r="N293" t="s">
        <v>53</v>
      </c>
      <c r="O293">
        <v>222.7</v>
      </c>
      <c r="P293" t="s">
        <v>13</v>
      </c>
      <c r="Q293">
        <v>288.10000000000002</v>
      </c>
      <c r="R293" t="s">
        <v>13</v>
      </c>
      <c r="S293">
        <v>98.5</v>
      </c>
      <c r="T293" t="s">
        <v>13</v>
      </c>
      <c r="U293" t="s">
        <v>14</v>
      </c>
      <c r="V293">
        <v>40</v>
      </c>
      <c r="W293">
        <v>48</v>
      </c>
      <c r="X293">
        <v>8</v>
      </c>
      <c r="Y293" t="s">
        <v>15</v>
      </c>
      <c r="Z293">
        <v>74</v>
      </c>
      <c r="AA293">
        <v>14</v>
      </c>
      <c r="AB293">
        <v>47</v>
      </c>
      <c r="AC293">
        <v>1060205</v>
      </c>
      <c r="AD293">
        <v>304.98</v>
      </c>
      <c r="AE293" t="s">
        <v>16</v>
      </c>
      <c r="AF293">
        <v>189.5</v>
      </c>
      <c r="AG293" t="s">
        <v>17</v>
      </c>
      <c r="AH293" t="s">
        <v>167</v>
      </c>
      <c r="AI293" t="s">
        <v>780</v>
      </c>
    </row>
    <row r="294" spans="2:35" x14ac:dyDescent="0.25">
      <c r="B294" s="2" t="s">
        <v>512</v>
      </c>
      <c r="C294" t="s">
        <v>5</v>
      </c>
      <c r="D294">
        <v>33</v>
      </c>
      <c r="E294" t="s">
        <v>6</v>
      </c>
      <c r="F294" t="s">
        <v>21</v>
      </c>
      <c r="G294" t="s">
        <v>654</v>
      </c>
      <c r="H294" t="s">
        <v>23</v>
      </c>
      <c r="I294" t="s">
        <v>10</v>
      </c>
      <c r="J294">
        <f>- -48556</f>
        <v>48556</v>
      </c>
      <c r="K294">
        <v>9610</v>
      </c>
      <c r="L294">
        <v>385</v>
      </c>
      <c r="M294" t="s">
        <v>12</v>
      </c>
      <c r="O294">
        <v>519.1</v>
      </c>
      <c r="P294" t="s">
        <v>13</v>
      </c>
      <c r="Q294">
        <v>530.4</v>
      </c>
      <c r="R294" t="s">
        <v>13</v>
      </c>
      <c r="S294">
        <v>526.1</v>
      </c>
      <c r="T294" t="s">
        <v>13</v>
      </c>
      <c r="U294" t="s">
        <v>14</v>
      </c>
      <c r="V294">
        <v>40</v>
      </c>
      <c r="W294">
        <v>42</v>
      </c>
      <c r="X294">
        <v>46.8</v>
      </c>
      <c r="Y294" t="s">
        <v>15</v>
      </c>
      <c r="Z294">
        <v>74</v>
      </c>
      <c r="AA294">
        <v>0</v>
      </c>
      <c r="AB294">
        <v>47.3</v>
      </c>
      <c r="AC294">
        <v>1263701</v>
      </c>
      <c r="AD294">
        <v>295.45</v>
      </c>
      <c r="AE294" t="s">
        <v>16</v>
      </c>
      <c r="AF294">
        <v>183.59</v>
      </c>
      <c r="AG294" t="s">
        <v>17</v>
      </c>
      <c r="AH294" t="s">
        <v>33</v>
      </c>
      <c r="AI294" t="s">
        <v>780</v>
      </c>
    </row>
    <row r="295" spans="2:35" x14ac:dyDescent="0.25">
      <c r="B295" s="2" t="s">
        <v>368</v>
      </c>
      <c r="C295" t="s">
        <v>5</v>
      </c>
      <c r="D295">
        <v>33</v>
      </c>
      <c r="E295" t="s">
        <v>20</v>
      </c>
      <c r="F295" t="s">
        <v>7</v>
      </c>
      <c r="G295" t="s">
        <v>71</v>
      </c>
      <c r="H295" t="s">
        <v>23</v>
      </c>
      <c r="I295" t="s">
        <v>10</v>
      </c>
      <c r="J295">
        <f>- -51695</f>
        <v>51695</v>
      </c>
      <c r="K295">
        <v>6763</v>
      </c>
      <c r="L295">
        <v>15</v>
      </c>
      <c r="M295" t="s">
        <v>12</v>
      </c>
      <c r="N295" t="s">
        <v>53</v>
      </c>
      <c r="O295">
        <v>0</v>
      </c>
      <c r="P295" t="s">
        <v>13</v>
      </c>
      <c r="Q295">
        <v>451.3</v>
      </c>
      <c r="R295" t="s">
        <v>13</v>
      </c>
      <c r="S295">
        <v>20</v>
      </c>
      <c r="T295" t="s">
        <v>13</v>
      </c>
      <c r="U295" t="s">
        <v>14</v>
      </c>
      <c r="V295">
        <v>43</v>
      </c>
      <c r="W295">
        <v>1</v>
      </c>
      <c r="X295">
        <v>12.2</v>
      </c>
      <c r="Y295" t="s">
        <v>15</v>
      </c>
      <c r="Z295">
        <v>73</v>
      </c>
      <c r="AA295">
        <v>31</v>
      </c>
      <c r="AB295">
        <v>26.4</v>
      </c>
      <c r="AC295">
        <v>1211139</v>
      </c>
      <c r="AD295">
        <v>199.86</v>
      </c>
      <c r="AE295" t="s">
        <v>16</v>
      </c>
      <c r="AF295">
        <v>124.19</v>
      </c>
      <c r="AG295" t="s">
        <v>17</v>
      </c>
      <c r="AH295" t="s">
        <v>345</v>
      </c>
      <c r="AI295" t="s">
        <v>734</v>
      </c>
    </row>
    <row r="296" spans="2:35" x14ac:dyDescent="0.25">
      <c r="B296" s="2" t="s">
        <v>512</v>
      </c>
      <c r="C296" t="s">
        <v>5</v>
      </c>
      <c r="D296">
        <v>33</v>
      </c>
      <c r="E296" t="s">
        <v>6</v>
      </c>
      <c r="F296" t="s">
        <v>7</v>
      </c>
      <c r="G296" t="s">
        <v>654</v>
      </c>
      <c r="H296" t="s">
        <v>23</v>
      </c>
      <c r="I296" t="s">
        <v>10</v>
      </c>
      <c r="J296">
        <f>- -59100</f>
        <v>59100</v>
      </c>
      <c r="K296">
        <v>9610</v>
      </c>
      <c r="L296">
        <v>245</v>
      </c>
      <c r="M296" t="s">
        <v>12</v>
      </c>
      <c r="O296">
        <v>519.1</v>
      </c>
      <c r="P296" t="s">
        <v>13</v>
      </c>
      <c r="Q296">
        <v>530.4</v>
      </c>
      <c r="R296" t="s">
        <v>13</v>
      </c>
      <c r="S296">
        <v>526.1</v>
      </c>
      <c r="T296" t="s">
        <v>13</v>
      </c>
      <c r="U296" t="s">
        <v>14</v>
      </c>
      <c r="V296">
        <v>40</v>
      </c>
      <c r="W296">
        <v>42</v>
      </c>
      <c r="X296">
        <v>46.8</v>
      </c>
      <c r="Y296" t="s">
        <v>15</v>
      </c>
      <c r="Z296">
        <v>74</v>
      </c>
      <c r="AA296">
        <v>0</v>
      </c>
      <c r="AB296">
        <v>47.3</v>
      </c>
      <c r="AC296">
        <v>1263701</v>
      </c>
      <c r="AD296">
        <v>295.45</v>
      </c>
      <c r="AE296" t="s">
        <v>16</v>
      </c>
      <c r="AF296">
        <v>183.59</v>
      </c>
      <c r="AG296" t="s">
        <v>17</v>
      </c>
      <c r="AH296" t="s">
        <v>33</v>
      </c>
      <c r="AI296" t="s">
        <v>780</v>
      </c>
    </row>
    <row r="297" spans="2:35" x14ac:dyDescent="0.25">
      <c r="B297" s="2" t="s">
        <v>513</v>
      </c>
      <c r="C297" t="s">
        <v>5</v>
      </c>
      <c r="D297">
        <v>33</v>
      </c>
      <c r="E297" t="s">
        <v>20</v>
      </c>
      <c r="F297" t="s">
        <v>7</v>
      </c>
      <c r="G297" t="s">
        <v>654</v>
      </c>
      <c r="H297" t="s">
        <v>23</v>
      </c>
      <c r="I297" t="s">
        <v>10</v>
      </c>
      <c r="J297">
        <f>- -48498</f>
        <v>48498</v>
      </c>
      <c r="K297">
        <v>60554</v>
      </c>
      <c r="L297">
        <v>15</v>
      </c>
      <c r="M297" t="s">
        <v>12</v>
      </c>
      <c r="N297" t="s">
        <v>53</v>
      </c>
      <c r="O297">
        <v>0</v>
      </c>
      <c r="P297" t="s">
        <v>13</v>
      </c>
      <c r="Q297">
        <v>270.7</v>
      </c>
      <c r="R297" t="s">
        <v>13</v>
      </c>
      <c r="S297">
        <v>257</v>
      </c>
      <c r="T297" t="s">
        <v>13</v>
      </c>
      <c r="U297" t="s">
        <v>14</v>
      </c>
      <c r="V297">
        <v>40</v>
      </c>
      <c r="W297">
        <v>45</v>
      </c>
      <c r="X297">
        <v>42.2</v>
      </c>
      <c r="Y297" t="s">
        <v>15</v>
      </c>
      <c r="Z297">
        <v>73</v>
      </c>
      <c r="AA297">
        <v>58</v>
      </c>
      <c r="AB297">
        <v>5</v>
      </c>
      <c r="AC297">
        <v>1245781</v>
      </c>
      <c r="AD297">
        <v>289.08</v>
      </c>
      <c r="AE297" t="s">
        <v>16</v>
      </c>
      <c r="AF297">
        <v>179.62</v>
      </c>
      <c r="AG297" t="s">
        <v>17</v>
      </c>
      <c r="AH297" t="s">
        <v>459</v>
      </c>
      <c r="AI297" t="s">
        <v>781</v>
      </c>
    </row>
    <row r="298" spans="2:35" x14ac:dyDescent="0.25">
      <c r="B298" s="2" t="s">
        <v>496</v>
      </c>
      <c r="C298" t="s">
        <v>5</v>
      </c>
      <c r="D298">
        <v>33</v>
      </c>
      <c r="E298" t="s">
        <v>20</v>
      </c>
      <c r="F298" t="s">
        <v>7</v>
      </c>
      <c r="G298" t="s">
        <v>654</v>
      </c>
      <c r="H298" t="s">
        <v>23</v>
      </c>
      <c r="I298" t="s">
        <v>10</v>
      </c>
      <c r="J298">
        <f>- -54805</f>
        <v>54805</v>
      </c>
      <c r="K298">
        <v>130470</v>
      </c>
      <c r="L298">
        <v>15</v>
      </c>
      <c r="M298" t="s">
        <v>12</v>
      </c>
      <c r="N298" t="s">
        <v>53</v>
      </c>
      <c r="O298">
        <v>0</v>
      </c>
      <c r="P298" t="s">
        <v>13</v>
      </c>
      <c r="Q298">
        <v>232</v>
      </c>
      <c r="R298" t="s">
        <v>13</v>
      </c>
      <c r="S298">
        <v>43</v>
      </c>
      <c r="T298" t="s">
        <v>13</v>
      </c>
      <c r="U298" t="s">
        <v>14</v>
      </c>
      <c r="V298">
        <v>40</v>
      </c>
      <c r="W298">
        <v>47</v>
      </c>
      <c r="X298">
        <v>18</v>
      </c>
      <c r="Y298" t="s">
        <v>15</v>
      </c>
      <c r="Z298">
        <v>74</v>
      </c>
      <c r="AA298">
        <v>15</v>
      </c>
      <c r="AB298">
        <v>18</v>
      </c>
      <c r="AC298">
        <v>1045804</v>
      </c>
      <c r="AD298">
        <v>306.47000000000003</v>
      </c>
      <c r="AE298" t="s">
        <v>16</v>
      </c>
      <c r="AF298">
        <v>190.43</v>
      </c>
      <c r="AG298" t="s">
        <v>17</v>
      </c>
      <c r="AH298" t="s">
        <v>225</v>
      </c>
      <c r="AI298" t="s">
        <v>684</v>
      </c>
    </row>
    <row r="299" spans="2:35" x14ac:dyDescent="0.25">
      <c r="B299" s="2" t="s">
        <v>512</v>
      </c>
      <c r="C299" t="s">
        <v>5</v>
      </c>
      <c r="D299">
        <v>33</v>
      </c>
      <c r="E299" t="s">
        <v>6</v>
      </c>
      <c r="F299" t="s">
        <v>7</v>
      </c>
      <c r="G299" t="s">
        <v>654</v>
      </c>
      <c r="H299" t="s">
        <v>23</v>
      </c>
      <c r="I299" t="s">
        <v>10</v>
      </c>
      <c r="J299">
        <f>- -65777</f>
        <v>65777</v>
      </c>
      <c r="K299">
        <v>9610</v>
      </c>
      <c r="L299">
        <v>245</v>
      </c>
      <c r="M299" t="s">
        <v>12</v>
      </c>
      <c r="O299">
        <v>519.1</v>
      </c>
      <c r="P299" t="s">
        <v>13</v>
      </c>
      <c r="Q299">
        <v>530.4</v>
      </c>
      <c r="R299" t="s">
        <v>13</v>
      </c>
      <c r="S299">
        <v>526.1</v>
      </c>
      <c r="T299" t="s">
        <v>13</v>
      </c>
      <c r="U299" t="s">
        <v>14</v>
      </c>
      <c r="V299">
        <v>40</v>
      </c>
      <c r="W299">
        <v>42</v>
      </c>
      <c r="X299">
        <v>46.8</v>
      </c>
      <c r="Y299" t="s">
        <v>15</v>
      </c>
      <c r="Z299">
        <v>74</v>
      </c>
      <c r="AA299">
        <v>0</v>
      </c>
      <c r="AB299">
        <v>47.3</v>
      </c>
      <c r="AC299">
        <v>1263701</v>
      </c>
      <c r="AD299">
        <v>295.45</v>
      </c>
      <c r="AE299" t="s">
        <v>16</v>
      </c>
      <c r="AF299">
        <v>183.59</v>
      </c>
      <c r="AG299" t="s">
        <v>17</v>
      </c>
      <c r="AH299" t="s">
        <v>33</v>
      </c>
      <c r="AI299" t="s">
        <v>780</v>
      </c>
    </row>
    <row r="300" spans="2:35" x14ac:dyDescent="0.25">
      <c r="B300" s="2" t="s">
        <v>501</v>
      </c>
      <c r="C300" t="s">
        <v>5</v>
      </c>
      <c r="D300">
        <v>33</v>
      </c>
      <c r="E300" t="s">
        <v>6</v>
      </c>
      <c r="F300" t="s">
        <v>656</v>
      </c>
      <c r="G300" t="s">
        <v>248</v>
      </c>
      <c r="H300" t="s">
        <v>249</v>
      </c>
      <c r="I300" t="s">
        <v>10</v>
      </c>
      <c r="J300">
        <f>- -68029</f>
        <v>68029</v>
      </c>
      <c r="K300">
        <v>64690</v>
      </c>
      <c r="L300">
        <v>700</v>
      </c>
      <c r="M300" t="s">
        <v>12</v>
      </c>
      <c r="N300" t="s">
        <v>53</v>
      </c>
      <c r="O300">
        <v>377</v>
      </c>
      <c r="P300" t="s">
        <v>13</v>
      </c>
      <c r="Q300">
        <v>735</v>
      </c>
      <c r="R300" t="s">
        <v>13</v>
      </c>
      <c r="S300">
        <v>98</v>
      </c>
      <c r="T300" t="s">
        <v>13</v>
      </c>
      <c r="U300" t="s">
        <v>14</v>
      </c>
      <c r="V300">
        <v>41</v>
      </c>
      <c r="W300">
        <v>26</v>
      </c>
      <c r="X300">
        <v>6</v>
      </c>
      <c r="Y300" t="s">
        <v>15</v>
      </c>
      <c r="Z300">
        <v>75</v>
      </c>
      <c r="AA300">
        <v>43</v>
      </c>
      <c r="AB300">
        <v>34</v>
      </c>
      <c r="AC300">
        <v>1026736</v>
      </c>
      <c r="AD300">
        <v>385.98</v>
      </c>
      <c r="AE300" t="s">
        <v>16</v>
      </c>
      <c r="AF300">
        <v>239.84</v>
      </c>
      <c r="AG300" t="s">
        <v>17</v>
      </c>
      <c r="AH300" t="s">
        <v>503</v>
      </c>
      <c r="AI300" t="s">
        <v>778</v>
      </c>
    </row>
    <row r="301" spans="2:35" x14ac:dyDescent="0.25">
      <c r="B301" s="2" t="s">
        <v>439</v>
      </c>
      <c r="C301" t="s">
        <v>5</v>
      </c>
      <c r="D301">
        <v>34</v>
      </c>
      <c r="E301" t="s">
        <v>20</v>
      </c>
      <c r="F301" t="s">
        <v>7</v>
      </c>
      <c r="G301" t="s">
        <v>51</v>
      </c>
      <c r="H301" t="s">
        <v>41</v>
      </c>
      <c r="I301" t="s">
        <v>10</v>
      </c>
      <c r="J301" t="s">
        <v>514</v>
      </c>
      <c r="K301">
        <v>31453</v>
      </c>
      <c r="L301">
        <v>15</v>
      </c>
      <c r="M301" t="s">
        <v>12</v>
      </c>
      <c r="N301" t="s">
        <v>53</v>
      </c>
      <c r="O301">
        <v>0</v>
      </c>
      <c r="P301" t="s">
        <v>13</v>
      </c>
      <c r="Q301">
        <v>283.5</v>
      </c>
      <c r="R301" t="s">
        <v>13</v>
      </c>
      <c r="S301">
        <v>36.6</v>
      </c>
      <c r="T301" t="s">
        <v>13</v>
      </c>
      <c r="U301" t="s">
        <v>14</v>
      </c>
      <c r="V301">
        <v>42</v>
      </c>
      <c r="W301">
        <v>7</v>
      </c>
      <c r="X301">
        <v>11.6</v>
      </c>
      <c r="Y301" t="s">
        <v>15</v>
      </c>
      <c r="Z301">
        <v>72</v>
      </c>
      <c r="AA301">
        <v>24</v>
      </c>
      <c r="AB301">
        <v>37.299999999999997</v>
      </c>
      <c r="AC301">
        <v>1007622</v>
      </c>
      <c r="AD301">
        <v>100.04</v>
      </c>
      <c r="AE301" t="s">
        <v>16</v>
      </c>
      <c r="AF301">
        <v>62.16</v>
      </c>
      <c r="AG301" t="s">
        <v>17</v>
      </c>
      <c r="AH301" t="s">
        <v>268</v>
      </c>
      <c r="AI301" t="s">
        <v>763</v>
      </c>
    </row>
    <row r="302" spans="2:35" x14ac:dyDescent="0.25">
      <c r="B302" s="2" t="s">
        <v>439</v>
      </c>
      <c r="C302" t="s">
        <v>5</v>
      </c>
      <c r="D302">
        <v>34</v>
      </c>
      <c r="E302" t="s">
        <v>20</v>
      </c>
      <c r="F302" t="s">
        <v>21</v>
      </c>
      <c r="G302" t="s">
        <v>51</v>
      </c>
      <c r="H302" t="s">
        <v>41</v>
      </c>
      <c r="I302" t="s">
        <v>10</v>
      </c>
      <c r="J302">
        <f>- -22340</f>
        <v>22340</v>
      </c>
      <c r="K302">
        <v>31453</v>
      </c>
      <c r="L302">
        <v>7.5</v>
      </c>
      <c r="M302" t="s">
        <v>12</v>
      </c>
      <c r="O302">
        <v>0</v>
      </c>
      <c r="P302" t="s">
        <v>13</v>
      </c>
      <c r="Q302">
        <v>353</v>
      </c>
      <c r="R302" t="s">
        <v>13</v>
      </c>
      <c r="S302">
        <v>158.5</v>
      </c>
      <c r="T302" t="s">
        <v>13</v>
      </c>
      <c r="U302" t="s">
        <v>14</v>
      </c>
      <c r="V302">
        <v>41</v>
      </c>
      <c r="W302">
        <v>26</v>
      </c>
      <c r="X302">
        <v>1.7</v>
      </c>
      <c r="Y302" t="s">
        <v>15</v>
      </c>
      <c r="Z302">
        <v>72</v>
      </c>
      <c r="AA302">
        <v>56</v>
      </c>
      <c r="AB302">
        <v>43.2</v>
      </c>
      <c r="AC302">
        <v>1216288</v>
      </c>
      <c r="AD302">
        <v>175.37</v>
      </c>
      <c r="AE302" t="s">
        <v>16</v>
      </c>
      <c r="AF302">
        <v>108.97</v>
      </c>
      <c r="AG302" t="s">
        <v>17</v>
      </c>
      <c r="AH302" t="s">
        <v>515</v>
      </c>
      <c r="AI302" t="s">
        <v>763</v>
      </c>
    </row>
    <row r="303" spans="2:35" x14ac:dyDescent="0.25">
      <c r="B303" s="2" t="s">
        <v>477</v>
      </c>
      <c r="C303" t="s">
        <v>5</v>
      </c>
      <c r="D303">
        <v>34</v>
      </c>
      <c r="E303" t="s">
        <v>6</v>
      </c>
      <c r="F303" t="s">
        <v>7</v>
      </c>
      <c r="G303" t="s">
        <v>143</v>
      </c>
      <c r="H303" t="s">
        <v>115</v>
      </c>
      <c r="I303" t="s">
        <v>10</v>
      </c>
      <c r="J303">
        <f>- -25068</f>
        <v>25068</v>
      </c>
      <c r="K303">
        <v>147</v>
      </c>
      <c r="L303">
        <v>526</v>
      </c>
      <c r="M303" t="s">
        <v>12</v>
      </c>
      <c r="N303" t="s">
        <v>53</v>
      </c>
      <c r="O303">
        <v>507</v>
      </c>
      <c r="P303" t="s">
        <v>13</v>
      </c>
      <c r="Q303">
        <v>605.4</v>
      </c>
      <c r="R303" t="s">
        <v>13</v>
      </c>
      <c r="S303">
        <v>389</v>
      </c>
      <c r="T303" t="s">
        <v>13</v>
      </c>
      <c r="U303" t="s">
        <v>14</v>
      </c>
      <c r="V303">
        <v>41</v>
      </c>
      <c r="W303">
        <v>42</v>
      </c>
      <c r="X303">
        <v>13</v>
      </c>
      <c r="Y303" t="s">
        <v>15</v>
      </c>
      <c r="Z303">
        <v>72</v>
      </c>
      <c r="AA303">
        <v>49</v>
      </c>
      <c r="AB303">
        <v>55</v>
      </c>
      <c r="AC303">
        <v>1041624</v>
      </c>
      <c r="AD303">
        <v>150.86000000000001</v>
      </c>
      <c r="AE303" t="s">
        <v>16</v>
      </c>
      <c r="AF303">
        <v>93.74</v>
      </c>
      <c r="AG303" t="s">
        <v>17</v>
      </c>
      <c r="AH303" t="s">
        <v>263</v>
      </c>
      <c r="AI303" t="s">
        <v>717</v>
      </c>
    </row>
    <row r="304" spans="2:35" x14ac:dyDescent="0.25">
      <c r="B304" s="2" t="s">
        <v>516</v>
      </c>
      <c r="C304" t="s">
        <v>5</v>
      </c>
      <c r="D304">
        <v>34</v>
      </c>
      <c r="E304" t="s">
        <v>20</v>
      </c>
      <c r="F304" t="s">
        <v>656</v>
      </c>
      <c r="G304" t="s">
        <v>8</v>
      </c>
      <c r="H304" t="s">
        <v>9</v>
      </c>
      <c r="I304" t="s">
        <v>10</v>
      </c>
      <c r="J304">
        <f>- -7295</f>
        <v>7295</v>
      </c>
      <c r="K304">
        <v>187896</v>
      </c>
      <c r="L304">
        <v>1</v>
      </c>
      <c r="M304" t="s">
        <v>12</v>
      </c>
      <c r="N304" t="s">
        <v>53</v>
      </c>
      <c r="O304">
        <v>0</v>
      </c>
      <c r="P304" t="s">
        <v>13</v>
      </c>
      <c r="Q304">
        <v>104.3</v>
      </c>
      <c r="R304" t="s">
        <v>13</v>
      </c>
      <c r="S304">
        <v>18</v>
      </c>
      <c r="T304" t="s">
        <v>13</v>
      </c>
      <c r="U304" t="s">
        <v>14</v>
      </c>
      <c r="V304">
        <v>44</v>
      </c>
      <c r="W304">
        <v>52</v>
      </c>
      <c r="X304">
        <v>43.8</v>
      </c>
      <c r="Y304" t="s">
        <v>15</v>
      </c>
      <c r="Z304">
        <v>68</v>
      </c>
      <c r="AA304">
        <v>52</v>
      </c>
      <c r="AB304">
        <v>57.6</v>
      </c>
      <c r="AC304" t="s">
        <v>11</v>
      </c>
      <c r="AD304">
        <v>337.44</v>
      </c>
      <c r="AE304" t="s">
        <v>16</v>
      </c>
      <c r="AF304">
        <v>209.68</v>
      </c>
      <c r="AG304" t="s">
        <v>17</v>
      </c>
      <c r="AH304" t="s">
        <v>203</v>
      </c>
      <c r="AI304" t="s">
        <v>701</v>
      </c>
    </row>
    <row r="305" spans="2:35" x14ac:dyDescent="0.25">
      <c r="B305" s="2" t="s">
        <v>517</v>
      </c>
      <c r="C305" t="s">
        <v>5</v>
      </c>
      <c r="D305">
        <v>34</v>
      </c>
      <c r="E305" t="s">
        <v>6</v>
      </c>
      <c r="F305" t="s">
        <v>656</v>
      </c>
      <c r="G305" t="s">
        <v>62</v>
      </c>
      <c r="H305" t="s">
        <v>9</v>
      </c>
      <c r="I305" t="s">
        <v>10</v>
      </c>
      <c r="J305">
        <f>- -64060</f>
        <v>64060</v>
      </c>
      <c r="K305">
        <v>53065</v>
      </c>
      <c r="L305">
        <v>500</v>
      </c>
      <c r="M305" t="s">
        <v>12</v>
      </c>
      <c r="N305" t="s">
        <v>53</v>
      </c>
      <c r="O305">
        <v>590.4</v>
      </c>
      <c r="P305" t="s">
        <v>13</v>
      </c>
      <c r="Q305">
        <v>744</v>
      </c>
      <c r="R305" t="s">
        <v>13</v>
      </c>
      <c r="S305">
        <v>475</v>
      </c>
      <c r="T305" t="s">
        <v>13</v>
      </c>
      <c r="U305" t="s">
        <v>14</v>
      </c>
      <c r="V305">
        <v>43</v>
      </c>
      <c r="W305">
        <v>50</v>
      </c>
      <c r="X305">
        <v>44</v>
      </c>
      <c r="Y305" t="s">
        <v>15</v>
      </c>
      <c r="Z305">
        <v>70</v>
      </c>
      <c r="AA305">
        <v>45</v>
      </c>
      <c r="AB305">
        <v>41</v>
      </c>
      <c r="AC305">
        <v>1045602</v>
      </c>
      <c r="AD305">
        <v>168.18</v>
      </c>
      <c r="AE305" t="s">
        <v>16</v>
      </c>
      <c r="AF305">
        <v>104.5</v>
      </c>
      <c r="AG305" t="s">
        <v>17</v>
      </c>
      <c r="AH305" t="s">
        <v>518</v>
      </c>
      <c r="AI305" t="s">
        <v>682</v>
      </c>
    </row>
    <row r="306" spans="2:35" x14ac:dyDescent="0.25">
      <c r="B306" s="2" t="s">
        <v>480</v>
      </c>
      <c r="C306" t="s">
        <v>5</v>
      </c>
      <c r="D306">
        <v>34</v>
      </c>
      <c r="E306" t="s">
        <v>6</v>
      </c>
      <c r="F306" t="s">
        <v>656</v>
      </c>
      <c r="G306" t="s">
        <v>40</v>
      </c>
      <c r="H306" t="s">
        <v>41</v>
      </c>
      <c r="I306" t="s">
        <v>10</v>
      </c>
      <c r="J306">
        <f>- -34907</f>
        <v>34907</v>
      </c>
      <c r="K306">
        <v>6463</v>
      </c>
      <c r="L306">
        <v>1000</v>
      </c>
      <c r="M306" t="s">
        <v>12</v>
      </c>
      <c r="N306" t="s">
        <v>53</v>
      </c>
      <c r="O306">
        <v>350</v>
      </c>
      <c r="P306" t="s">
        <v>13</v>
      </c>
      <c r="Q306">
        <v>393</v>
      </c>
      <c r="R306" t="s">
        <v>13</v>
      </c>
      <c r="S306">
        <v>347</v>
      </c>
      <c r="T306" t="s">
        <v>13</v>
      </c>
      <c r="U306" t="s">
        <v>14</v>
      </c>
      <c r="V306">
        <v>42</v>
      </c>
      <c r="W306">
        <v>18</v>
      </c>
      <c r="X306">
        <v>10.7</v>
      </c>
      <c r="Y306" t="s">
        <v>15</v>
      </c>
      <c r="Z306">
        <v>71</v>
      </c>
      <c r="AA306">
        <v>13</v>
      </c>
      <c r="AB306">
        <v>4.9000000000000004</v>
      </c>
      <c r="AC306">
        <v>1004233</v>
      </c>
      <c r="AD306">
        <v>8.2799999999999994</v>
      </c>
      <c r="AE306" t="s">
        <v>16</v>
      </c>
      <c r="AF306">
        <v>5.14</v>
      </c>
      <c r="AG306" t="s">
        <v>17</v>
      </c>
      <c r="AH306" t="s">
        <v>407</v>
      </c>
      <c r="AI306" t="s">
        <v>772</v>
      </c>
    </row>
    <row r="307" spans="2:35" x14ac:dyDescent="0.25">
      <c r="B307" s="2" t="s">
        <v>417</v>
      </c>
      <c r="C307" t="s">
        <v>5</v>
      </c>
      <c r="D307">
        <v>34</v>
      </c>
      <c r="E307" t="s">
        <v>6</v>
      </c>
      <c r="F307" t="s">
        <v>21</v>
      </c>
      <c r="G307" t="s">
        <v>65</v>
      </c>
      <c r="H307" t="s">
        <v>23</v>
      </c>
      <c r="I307" t="s">
        <v>10</v>
      </c>
      <c r="J307" t="s">
        <v>519</v>
      </c>
      <c r="K307">
        <v>11260</v>
      </c>
      <c r="L307">
        <v>345</v>
      </c>
      <c r="M307" t="s">
        <v>12</v>
      </c>
      <c r="N307" t="s">
        <v>53</v>
      </c>
      <c r="O307">
        <v>278</v>
      </c>
      <c r="P307" t="s">
        <v>13</v>
      </c>
      <c r="Q307">
        <v>671</v>
      </c>
      <c r="R307" t="s">
        <v>13</v>
      </c>
      <c r="S307">
        <v>162</v>
      </c>
      <c r="T307" t="s">
        <v>13</v>
      </c>
      <c r="U307" t="s">
        <v>14</v>
      </c>
      <c r="V307">
        <v>42</v>
      </c>
      <c r="W307">
        <v>3</v>
      </c>
      <c r="X307">
        <v>39</v>
      </c>
      <c r="Y307" t="s">
        <v>15</v>
      </c>
      <c r="Z307">
        <v>75</v>
      </c>
      <c r="AA307">
        <v>56</v>
      </c>
      <c r="AB307">
        <v>35</v>
      </c>
      <c r="AC307">
        <v>1007060</v>
      </c>
      <c r="AD307">
        <v>389.27</v>
      </c>
      <c r="AE307" t="s">
        <v>16</v>
      </c>
      <c r="AF307">
        <v>241.88</v>
      </c>
      <c r="AG307" t="s">
        <v>17</v>
      </c>
      <c r="AH307" t="s">
        <v>278</v>
      </c>
      <c r="AI307" t="s">
        <v>677</v>
      </c>
    </row>
    <row r="308" spans="2:35" x14ac:dyDescent="0.25">
      <c r="B308" s="2" t="s">
        <v>520</v>
      </c>
      <c r="C308" t="s">
        <v>5</v>
      </c>
      <c r="D308">
        <v>34</v>
      </c>
      <c r="E308" t="s">
        <v>6</v>
      </c>
      <c r="F308" t="s">
        <v>656</v>
      </c>
      <c r="G308" t="s">
        <v>314</v>
      </c>
      <c r="H308" t="s">
        <v>23</v>
      </c>
      <c r="I308" t="s">
        <v>10</v>
      </c>
      <c r="J308">
        <f>- -29986</f>
        <v>29986</v>
      </c>
      <c r="K308">
        <v>43424</v>
      </c>
      <c r="L308">
        <v>1000</v>
      </c>
      <c r="M308" t="s">
        <v>12</v>
      </c>
      <c r="N308" t="s">
        <v>53</v>
      </c>
      <c r="O308">
        <v>243.5</v>
      </c>
      <c r="P308" t="s">
        <v>13</v>
      </c>
      <c r="Q308">
        <v>492.9</v>
      </c>
      <c r="R308" t="s">
        <v>13</v>
      </c>
      <c r="S308">
        <v>121.1</v>
      </c>
      <c r="T308" t="s">
        <v>13</v>
      </c>
      <c r="U308" t="s">
        <v>14</v>
      </c>
      <c r="V308">
        <v>43</v>
      </c>
      <c r="W308">
        <v>8</v>
      </c>
      <c r="X308">
        <v>41.1</v>
      </c>
      <c r="Y308" t="s">
        <v>15</v>
      </c>
      <c r="Z308">
        <v>75</v>
      </c>
      <c r="AA308">
        <v>10</v>
      </c>
      <c r="AB308">
        <v>32.200000000000003</v>
      </c>
      <c r="AC308">
        <v>1003764</v>
      </c>
      <c r="AD308">
        <v>332.75</v>
      </c>
      <c r="AE308" t="s">
        <v>16</v>
      </c>
      <c r="AF308">
        <v>206.76</v>
      </c>
      <c r="AG308" t="s">
        <v>17</v>
      </c>
      <c r="AH308" t="s">
        <v>168</v>
      </c>
      <c r="AI308" t="s">
        <v>677</v>
      </c>
    </row>
    <row r="309" spans="2:35" x14ac:dyDescent="0.25">
      <c r="B309" s="2" t="s">
        <v>521</v>
      </c>
      <c r="C309" t="s">
        <v>5</v>
      </c>
      <c r="D309">
        <v>34</v>
      </c>
      <c r="E309" t="s">
        <v>6</v>
      </c>
      <c r="F309" t="s">
        <v>656</v>
      </c>
      <c r="G309" t="s">
        <v>782</v>
      </c>
      <c r="H309" t="s">
        <v>23</v>
      </c>
      <c r="I309" t="s">
        <v>10</v>
      </c>
      <c r="J309">
        <f>- -34619</f>
        <v>34619</v>
      </c>
      <c r="K309">
        <v>77515</v>
      </c>
      <c r="L309">
        <v>440</v>
      </c>
      <c r="M309" t="s">
        <v>12</v>
      </c>
      <c r="N309" t="s">
        <v>53</v>
      </c>
      <c r="O309">
        <v>530</v>
      </c>
      <c r="P309" t="s">
        <v>13</v>
      </c>
      <c r="Q309">
        <v>836.7</v>
      </c>
      <c r="R309" t="s">
        <v>13</v>
      </c>
      <c r="S309">
        <v>225</v>
      </c>
      <c r="T309" t="s">
        <v>13</v>
      </c>
      <c r="U309" t="s">
        <v>14</v>
      </c>
      <c r="V309">
        <v>44</v>
      </c>
      <c r="W309">
        <v>34</v>
      </c>
      <c r="X309">
        <v>27.3</v>
      </c>
      <c r="Y309" t="s">
        <v>15</v>
      </c>
      <c r="Z309">
        <v>73</v>
      </c>
      <c r="AA309">
        <v>40</v>
      </c>
      <c r="AB309">
        <v>29</v>
      </c>
      <c r="AC309">
        <v>1003384</v>
      </c>
      <c r="AD309">
        <v>313.55</v>
      </c>
      <c r="AE309" t="s">
        <v>16</v>
      </c>
      <c r="AF309">
        <v>194.83</v>
      </c>
      <c r="AG309" t="s">
        <v>17</v>
      </c>
      <c r="AH309" t="s">
        <v>522</v>
      </c>
      <c r="AI309" t="s">
        <v>749</v>
      </c>
    </row>
    <row r="310" spans="2:35" x14ac:dyDescent="0.25">
      <c r="B310" s="2" t="s">
        <v>486</v>
      </c>
      <c r="C310" t="s">
        <v>5</v>
      </c>
      <c r="D310">
        <v>34</v>
      </c>
      <c r="E310" t="s">
        <v>20</v>
      </c>
      <c r="F310" t="s">
        <v>21</v>
      </c>
      <c r="G310" t="s">
        <v>683</v>
      </c>
      <c r="H310" t="s">
        <v>23</v>
      </c>
      <c r="I310" t="s">
        <v>10</v>
      </c>
      <c r="J310">
        <f>- -48491</f>
        <v>48491</v>
      </c>
      <c r="K310">
        <v>127812</v>
      </c>
      <c r="L310">
        <v>0.57999999999999996</v>
      </c>
      <c r="M310" t="s">
        <v>12</v>
      </c>
      <c r="N310" t="s">
        <v>53</v>
      </c>
      <c r="O310">
        <v>0</v>
      </c>
      <c r="P310" t="s">
        <v>13</v>
      </c>
      <c r="Q310">
        <v>232</v>
      </c>
      <c r="R310" t="s">
        <v>13</v>
      </c>
      <c r="S310">
        <v>43</v>
      </c>
      <c r="T310" t="s">
        <v>13</v>
      </c>
      <c r="U310" t="s">
        <v>14</v>
      </c>
      <c r="V310">
        <v>40</v>
      </c>
      <c r="W310">
        <v>47</v>
      </c>
      <c r="X310">
        <v>18</v>
      </c>
      <c r="Y310" t="s">
        <v>15</v>
      </c>
      <c r="Z310">
        <v>74</v>
      </c>
      <c r="AA310">
        <v>15</v>
      </c>
      <c r="AB310">
        <v>18</v>
      </c>
      <c r="AC310">
        <v>1045804</v>
      </c>
      <c r="AD310">
        <v>306.47000000000003</v>
      </c>
      <c r="AE310" t="s">
        <v>16</v>
      </c>
      <c r="AF310">
        <v>190.43</v>
      </c>
      <c r="AG310" t="s">
        <v>17</v>
      </c>
      <c r="AH310" t="s">
        <v>225</v>
      </c>
      <c r="AI310" t="s">
        <v>684</v>
      </c>
    </row>
    <row r="311" spans="2:35" x14ac:dyDescent="0.25">
      <c r="B311" s="2" t="s">
        <v>483</v>
      </c>
      <c r="C311" t="s">
        <v>5</v>
      </c>
      <c r="D311">
        <v>34</v>
      </c>
      <c r="E311" t="s">
        <v>6</v>
      </c>
      <c r="F311" t="s">
        <v>656</v>
      </c>
      <c r="G311" t="s">
        <v>654</v>
      </c>
      <c r="H311" t="s">
        <v>23</v>
      </c>
      <c r="I311" t="s">
        <v>10</v>
      </c>
      <c r="J311">
        <f>- -34356</f>
        <v>34356</v>
      </c>
      <c r="K311">
        <v>73356</v>
      </c>
      <c r="L311">
        <v>170</v>
      </c>
      <c r="M311" t="s">
        <v>12</v>
      </c>
      <c r="O311">
        <v>520</v>
      </c>
      <c r="P311" t="s">
        <v>13</v>
      </c>
      <c r="Q311">
        <v>530.4</v>
      </c>
      <c r="R311" t="s">
        <v>13</v>
      </c>
      <c r="S311">
        <v>526.1</v>
      </c>
      <c r="T311" t="s">
        <v>13</v>
      </c>
      <c r="U311" t="s">
        <v>14</v>
      </c>
      <c r="V311">
        <v>40</v>
      </c>
      <c r="W311">
        <v>42</v>
      </c>
      <c r="X311">
        <v>46.8</v>
      </c>
      <c r="Y311" t="s">
        <v>15</v>
      </c>
      <c r="Z311">
        <v>74</v>
      </c>
      <c r="AA311">
        <v>0</v>
      </c>
      <c r="AB311">
        <v>47.3</v>
      </c>
      <c r="AC311">
        <v>1263701</v>
      </c>
      <c r="AD311">
        <v>295.45</v>
      </c>
      <c r="AE311" t="s">
        <v>16</v>
      </c>
      <c r="AF311">
        <v>183.59</v>
      </c>
      <c r="AG311" t="s">
        <v>17</v>
      </c>
      <c r="AH311" t="s">
        <v>33</v>
      </c>
      <c r="AI311" t="s">
        <v>706</v>
      </c>
    </row>
    <row r="312" spans="2:35" x14ac:dyDescent="0.25">
      <c r="B312" s="2" t="s">
        <v>523</v>
      </c>
      <c r="C312" t="s">
        <v>5</v>
      </c>
      <c r="D312">
        <v>35</v>
      </c>
      <c r="E312" t="s">
        <v>181</v>
      </c>
      <c r="F312" t="s">
        <v>7</v>
      </c>
      <c r="G312" t="s">
        <v>143</v>
      </c>
      <c r="H312" t="s">
        <v>115</v>
      </c>
      <c r="I312" t="s">
        <v>10</v>
      </c>
      <c r="J312">
        <f>- -48451</f>
        <v>48451</v>
      </c>
      <c r="K312">
        <v>10153</v>
      </c>
      <c r="L312">
        <v>250</v>
      </c>
      <c r="M312" t="s">
        <v>12</v>
      </c>
      <c r="N312" t="s">
        <v>53</v>
      </c>
      <c r="O312">
        <v>434</v>
      </c>
      <c r="P312" t="s">
        <v>13</v>
      </c>
      <c r="Q312">
        <v>531.70000000000005</v>
      </c>
      <c r="R312" t="s">
        <v>13</v>
      </c>
      <c r="S312">
        <v>312</v>
      </c>
      <c r="T312" t="s">
        <v>13</v>
      </c>
      <c r="U312" t="s">
        <v>14</v>
      </c>
      <c r="V312">
        <v>41</v>
      </c>
      <c r="W312">
        <v>42</v>
      </c>
      <c r="X312">
        <v>2</v>
      </c>
      <c r="Y312" t="s">
        <v>15</v>
      </c>
      <c r="Z312">
        <v>72</v>
      </c>
      <c r="AA312">
        <v>49</v>
      </c>
      <c r="AB312">
        <v>55</v>
      </c>
      <c r="AC312">
        <v>1044874</v>
      </c>
      <c r="AD312">
        <v>151.03</v>
      </c>
      <c r="AE312" t="s">
        <v>16</v>
      </c>
      <c r="AF312">
        <v>93.85</v>
      </c>
      <c r="AG312" t="s">
        <v>17</v>
      </c>
      <c r="AH312" t="s">
        <v>524</v>
      </c>
      <c r="AI312" t="s">
        <v>711</v>
      </c>
    </row>
    <row r="313" spans="2:35" x14ac:dyDescent="0.25">
      <c r="B313" s="2" t="s">
        <v>525</v>
      </c>
      <c r="C313" t="s">
        <v>5</v>
      </c>
      <c r="D313">
        <v>35</v>
      </c>
      <c r="E313" t="s">
        <v>6</v>
      </c>
      <c r="F313" t="s">
        <v>7</v>
      </c>
      <c r="G313" t="s">
        <v>783</v>
      </c>
      <c r="H313" t="s">
        <v>115</v>
      </c>
      <c r="I313" t="s">
        <v>10</v>
      </c>
      <c r="J313">
        <f>- -48456</f>
        <v>48456</v>
      </c>
      <c r="K313">
        <v>74170</v>
      </c>
      <c r="L313">
        <v>250</v>
      </c>
      <c r="M313" t="s">
        <v>12</v>
      </c>
      <c r="N313" t="s">
        <v>53</v>
      </c>
      <c r="O313">
        <v>434</v>
      </c>
      <c r="P313" t="s">
        <v>13</v>
      </c>
      <c r="Q313">
        <v>531.70000000000005</v>
      </c>
      <c r="R313" t="s">
        <v>13</v>
      </c>
      <c r="S313">
        <v>312</v>
      </c>
      <c r="T313" t="s">
        <v>13</v>
      </c>
      <c r="U313" t="s">
        <v>14</v>
      </c>
      <c r="V313">
        <v>41</v>
      </c>
      <c r="W313">
        <v>42</v>
      </c>
      <c r="X313">
        <v>2</v>
      </c>
      <c r="Y313" t="s">
        <v>15</v>
      </c>
      <c r="Z313">
        <v>72</v>
      </c>
      <c r="AA313">
        <v>49</v>
      </c>
      <c r="AB313">
        <v>55</v>
      </c>
      <c r="AC313">
        <v>1044874</v>
      </c>
      <c r="AD313">
        <v>151.03</v>
      </c>
      <c r="AE313" t="s">
        <v>16</v>
      </c>
      <c r="AF313">
        <v>93.85</v>
      </c>
      <c r="AG313" t="s">
        <v>17</v>
      </c>
      <c r="AH313" t="s">
        <v>524</v>
      </c>
      <c r="AI313" t="s">
        <v>711</v>
      </c>
    </row>
    <row r="314" spans="2:35" x14ac:dyDescent="0.25">
      <c r="B314" s="2" t="s">
        <v>526</v>
      </c>
      <c r="C314" t="s">
        <v>5</v>
      </c>
      <c r="D314">
        <v>35</v>
      </c>
      <c r="E314" t="s">
        <v>20</v>
      </c>
      <c r="F314" t="s">
        <v>7</v>
      </c>
      <c r="G314" t="s">
        <v>527</v>
      </c>
      <c r="H314" t="s">
        <v>9</v>
      </c>
      <c r="I314" t="s">
        <v>10</v>
      </c>
      <c r="J314">
        <f>- -30286</f>
        <v>30286</v>
      </c>
      <c r="K314">
        <v>33955</v>
      </c>
      <c r="L314">
        <v>0.1</v>
      </c>
      <c r="M314" t="s">
        <v>12</v>
      </c>
      <c r="N314" t="s">
        <v>53</v>
      </c>
      <c r="O314">
        <v>0</v>
      </c>
      <c r="P314" t="s">
        <v>13</v>
      </c>
      <c r="Q314">
        <v>205.7</v>
      </c>
      <c r="R314" t="s">
        <v>13</v>
      </c>
      <c r="S314">
        <v>75.900000000000006</v>
      </c>
      <c r="T314" t="s">
        <v>13</v>
      </c>
      <c r="U314" t="s">
        <v>14</v>
      </c>
      <c r="V314">
        <v>44</v>
      </c>
      <c r="W314">
        <v>29</v>
      </c>
      <c r="X314">
        <v>5.9</v>
      </c>
      <c r="Y314" t="s">
        <v>15</v>
      </c>
      <c r="Z314">
        <v>69</v>
      </c>
      <c r="AA314">
        <v>39</v>
      </c>
      <c r="AB314">
        <v>18.7</v>
      </c>
      <c r="AC314">
        <v>1030409</v>
      </c>
      <c r="AD314">
        <v>267.62</v>
      </c>
      <c r="AE314" t="s">
        <v>16</v>
      </c>
      <c r="AF314">
        <v>166.29</v>
      </c>
      <c r="AG314" t="s">
        <v>17</v>
      </c>
      <c r="AH314" t="s">
        <v>528</v>
      </c>
      <c r="AI314" t="s">
        <v>761</v>
      </c>
    </row>
    <row r="315" spans="2:35" x14ac:dyDescent="0.25">
      <c r="B315" s="2" t="s">
        <v>529</v>
      </c>
      <c r="C315" t="s">
        <v>5</v>
      </c>
      <c r="D315">
        <v>35</v>
      </c>
      <c r="E315" t="s">
        <v>20</v>
      </c>
      <c r="F315" t="s">
        <v>7</v>
      </c>
      <c r="G315" t="s">
        <v>530</v>
      </c>
      <c r="H315" t="s">
        <v>41</v>
      </c>
      <c r="I315" t="s">
        <v>10</v>
      </c>
      <c r="J315">
        <f>- -53980</f>
        <v>53980</v>
      </c>
      <c r="K315">
        <v>73358</v>
      </c>
      <c r="L315">
        <v>15</v>
      </c>
      <c r="M315" t="s">
        <v>12</v>
      </c>
      <c r="O315">
        <v>0</v>
      </c>
      <c r="P315" t="s">
        <v>13</v>
      </c>
      <c r="Q315">
        <v>1105</v>
      </c>
      <c r="R315" t="s">
        <v>13</v>
      </c>
      <c r="S315">
        <v>57</v>
      </c>
      <c r="T315" t="s">
        <v>13</v>
      </c>
      <c r="U315" t="s">
        <v>14</v>
      </c>
      <c r="V315">
        <v>42</v>
      </c>
      <c r="W315">
        <v>38</v>
      </c>
      <c r="X315">
        <v>14</v>
      </c>
      <c r="Y315" t="s">
        <v>15</v>
      </c>
      <c r="Z315">
        <v>73</v>
      </c>
      <c r="AA315">
        <v>10</v>
      </c>
      <c r="AB315">
        <v>6</v>
      </c>
      <c r="AC315">
        <v>1035419</v>
      </c>
      <c r="AD315">
        <v>160.56</v>
      </c>
      <c r="AE315" t="s">
        <v>16</v>
      </c>
      <c r="AF315">
        <v>99.76</v>
      </c>
      <c r="AG315" t="s">
        <v>17</v>
      </c>
      <c r="AH315" t="s">
        <v>531</v>
      </c>
      <c r="AI315" t="s">
        <v>672</v>
      </c>
    </row>
    <row r="316" spans="2:35" x14ac:dyDescent="0.25">
      <c r="B316" s="2" t="s">
        <v>532</v>
      </c>
      <c r="C316" t="s">
        <v>5</v>
      </c>
      <c r="D316">
        <v>35</v>
      </c>
      <c r="E316" t="s">
        <v>6</v>
      </c>
      <c r="F316" t="s">
        <v>7</v>
      </c>
      <c r="G316" t="s">
        <v>40</v>
      </c>
      <c r="H316" t="s">
        <v>41</v>
      </c>
      <c r="I316" t="s">
        <v>10</v>
      </c>
      <c r="J316">
        <f>- -67937</f>
        <v>67937</v>
      </c>
      <c r="K316">
        <v>72145</v>
      </c>
      <c r="L316">
        <v>1000</v>
      </c>
      <c r="M316" t="s">
        <v>12</v>
      </c>
      <c r="O316">
        <v>304.10000000000002</v>
      </c>
      <c r="P316" t="s">
        <v>13</v>
      </c>
      <c r="Q316">
        <v>348.5</v>
      </c>
      <c r="R316" t="s">
        <v>13</v>
      </c>
      <c r="S316">
        <v>315.39999999999998</v>
      </c>
      <c r="T316" t="s">
        <v>13</v>
      </c>
      <c r="U316" t="s">
        <v>14</v>
      </c>
      <c r="V316">
        <v>42</v>
      </c>
      <c r="W316">
        <v>18</v>
      </c>
      <c r="X316">
        <v>41</v>
      </c>
      <c r="Y316" t="s">
        <v>15</v>
      </c>
      <c r="Z316">
        <v>71</v>
      </c>
      <c r="AA316">
        <v>12</v>
      </c>
      <c r="AB316">
        <v>58</v>
      </c>
      <c r="AC316">
        <v>1005862</v>
      </c>
      <c r="AD316">
        <v>7.44</v>
      </c>
      <c r="AE316" t="s">
        <v>16</v>
      </c>
      <c r="AF316">
        <v>4.62</v>
      </c>
      <c r="AG316" t="s">
        <v>17</v>
      </c>
      <c r="AH316" t="s">
        <v>533</v>
      </c>
      <c r="AI316" t="s">
        <v>534</v>
      </c>
    </row>
    <row r="317" spans="2:35" x14ac:dyDescent="0.25">
      <c r="B317" s="2" t="s">
        <v>412</v>
      </c>
      <c r="C317" t="s">
        <v>5</v>
      </c>
      <c r="D317">
        <v>35</v>
      </c>
      <c r="E317" t="s">
        <v>6</v>
      </c>
      <c r="F317" t="s">
        <v>21</v>
      </c>
      <c r="G317" t="s">
        <v>413</v>
      </c>
      <c r="H317" t="s">
        <v>45</v>
      </c>
      <c r="I317" t="s">
        <v>10</v>
      </c>
      <c r="J317" t="s">
        <v>535</v>
      </c>
      <c r="K317">
        <v>14682</v>
      </c>
      <c r="L317">
        <v>7.3</v>
      </c>
      <c r="M317" t="s">
        <v>12</v>
      </c>
      <c r="O317">
        <v>204.8</v>
      </c>
      <c r="P317" t="s">
        <v>13</v>
      </c>
      <c r="Q317">
        <v>271.10000000000002</v>
      </c>
      <c r="R317" t="s">
        <v>13</v>
      </c>
      <c r="S317">
        <v>124.8</v>
      </c>
      <c r="T317" t="s">
        <v>13</v>
      </c>
      <c r="U317" t="s">
        <v>14</v>
      </c>
      <c r="V317">
        <v>42</v>
      </c>
      <c r="W317">
        <v>44</v>
      </c>
      <c r="X317">
        <v>7</v>
      </c>
      <c r="Y317" t="s">
        <v>15</v>
      </c>
      <c r="Z317">
        <v>71</v>
      </c>
      <c r="AA317">
        <v>23</v>
      </c>
      <c r="AB317">
        <v>35</v>
      </c>
      <c r="AC317">
        <v>1033400</v>
      </c>
      <c r="AD317">
        <v>41.85</v>
      </c>
      <c r="AE317" t="s">
        <v>16</v>
      </c>
      <c r="AF317">
        <v>26.01</v>
      </c>
      <c r="AG317" t="s">
        <v>17</v>
      </c>
      <c r="AH317" t="s">
        <v>536</v>
      </c>
      <c r="AI317" t="s">
        <v>755</v>
      </c>
    </row>
    <row r="318" spans="2:35" x14ac:dyDescent="0.25">
      <c r="B318" s="2" t="s">
        <v>331</v>
      </c>
      <c r="C318" t="s">
        <v>5</v>
      </c>
      <c r="D318">
        <v>35</v>
      </c>
      <c r="E318" t="s">
        <v>20</v>
      </c>
      <c r="F318" t="s">
        <v>21</v>
      </c>
      <c r="G318" t="s">
        <v>332</v>
      </c>
      <c r="H318" t="s">
        <v>31</v>
      </c>
      <c r="I318" t="s">
        <v>10</v>
      </c>
      <c r="J318">
        <f>- -16552</f>
        <v>16552</v>
      </c>
      <c r="K318">
        <v>48466</v>
      </c>
      <c r="L318">
        <v>5</v>
      </c>
      <c r="M318" t="s">
        <v>12</v>
      </c>
      <c r="N318" t="s">
        <v>53</v>
      </c>
      <c r="O318">
        <v>0</v>
      </c>
      <c r="P318" t="s">
        <v>13</v>
      </c>
      <c r="Q318">
        <v>448</v>
      </c>
      <c r="R318" t="s">
        <v>13</v>
      </c>
      <c r="S318">
        <v>52</v>
      </c>
      <c r="T318" t="s">
        <v>13</v>
      </c>
      <c r="U318" t="s">
        <v>14</v>
      </c>
      <c r="V318">
        <v>41</v>
      </c>
      <c r="W318">
        <v>8</v>
      </c>
      <c r="X318">
        <v>37</v>
      </c>
      <c r="Y318" t="s">
        <v>15</v>
      </c>
      <c r="Z318">
        <v>74</v>
      </c>
      <c r="AA318">
        <v>32</v>
      </c>
      <c r="AB318">
        <v>17</v>
      </c>
      <c r="AC318">
        <v>1045122</v>
      </c>
      <c r="AD318">
        <v>305.89</v>
      </c>
      <c r="AE318" t="s">
        <v>16</v>
      </c>
      <c r="AF318">
        <v>190.07</v>
      </c>
      <c r="AG318" t="s">
        <v>17</v>
      </c>
      <c r="AH318" t="s">
        <v>333</v>
      </c>
      <c r="AI318" t="s">
        <v>680</v>
      </c>
    </row>
    <row r="319" spans="2:35" x14ac:dyDescent="0.25">
      <c r="B319" s="2" t="s">
        <v>537</v>
      </c>
      <c r="C319" t="s">
        <v>5</v>
      </c>
      <c r="D319">
        <v>35</v>
      </c>
      <c r="E319" t="s">
        <v>6</v>
      </c>
      <c r="F319" t="s">
        <v>7</v>
      </c>
      <c r="G319" t="s">
        <v>538</v>
      </c>
      <c r="H319" t="s">
        <v>31</v>
      </c>
      <c r="I319" t="s">
        <v>10</v>
      </c>
      <c r="J319">
        <f>- -53139</f>
        <v>53139</v>
      </c>
      <c r="K319">
        <v>73333</v>
      </c>
      <c r="L319">
        <v>575</v>
      </c>
      <c r="M319" t="s">
        <v>12</v>
      </c>
      <c r="O319">
        <v>496</v>
      </c>
      <c r="P319" t="s">
        <v>13</v>
      </c>
      <c r="Q319">
        <v>506</v>
      </c>
      <c r="R319" t="s">
        <v>13</v>
      </c>
      <c r="S319">
        <v>501.7</v>
      </c>
      <c r="T319" t="s">
        <v>13</v>
      </c>
      <c r="U319" t="s">
        <v>14</v>
      </c>
      <c r="V319">
        <v>40</v>
      </c>
      <c r="W319">
        <v>42</v>
      </c>
      <c r="X319">
        <v>46.8</v>
      </c>
      <c r="Y319" t="s">
        <v>15</v>
      </c>
      <c r="Z319">
        <v>74</v>
      </c>
      <c r="AA319">
        <v>0</v>
      </c>
      <c r="AB319">
        <v>47.3</v>
      </c>
      <c r="AC319">
        <v>1263701</v>
      </c>
      <c r="AD319">
        <v>295.45</v>
      </c>
      <c r="AE319" t="s">
        <v>16</v>
      </c>
      <c r="AF319">
        <v>183.59</v>
      </c>
      <c r="AG319" t="s">
        <v>17</v>
      </c>
      <c r="AH319" t="s">
        <v>33</v>
      </c>
      <c r="AI319" t="s">
        <v>711</v>
      </c>
    </row>
    <row r="320" spans="2:35" x14ac:dyDescent="0.25">
      <c r="B320" s="2" t="s">
        <v>537</v>
      </c>
      <c r="C320" t="s">
        <v>5</v>
      </c>
      <c r="D320">
        <v>35</v>
      </c>
      <c r="E320" t="s">
        <v>96</v>
      </c>
      <c r="F320" t="s">
        <v>7</v>
      </c>
      <c r="G320" t="s">
        <v>538</v>
      </c>
      <c r="H320" t="s">
        <v>31</v>
      </c>
      <c r="I320" t="s">
        <v>10</v>
      </c>
      <c r="J320">
        <f>- -67927</f>
        <v>67927</v>
      </c>
      <c r="K320">
        <v>73333</v>
      </c>
      <c r="L320">
        <v>500</v>
      </c>
      <c r="M320" t="s">
        <v>12</v>
      </c>
      <c r="O320">
        <v>309.7</v>
      </c>
      <c r="P320" t="s">
        <v>13</v>
      </c>
      <c r="Q320">
        <v>324.2</v>
      </c>
      <c r="R320" t="s">
        <v>13</v>
      </c>
      <c r="S320">
        <v>309</v>
      </c>
      <c r="T320" t="s">
        <v>13</v>
      </c>
      <c r="U320" t="s">
        <v>14</v>
      </c>
      <c r="V320">
        <v>40</v>
      </c>
      <c r="W320">
        <v>45</v>
      </c>
      <c r="X320">
        <v>22.4</v>
      </c>
      <c r="Y320" t="s">
        <v>15</v>
      </c>
      <c r="Z320">
        <v>73</v>
      </c>
      <c r="AA320">
        <v>59</v>
      </c>
      <c r="AB320">
        <v>10.5</v>
      </c>
      <c r="AC320">
        <v>1238745</v>
      </c>
      <c r="AD320">
        <v>290.64999999999998</v>
      </c>
      <c r="AE320" t="s">
        <v>16</v>
      </c>
      <c r="AF320">
        <v>180.6</v>
      </c>
      <c r="AG320" t="s">
        <v>17</v>
      </c>
      <c r="AH320" t="s">
        <v>32</v>
      </c>
      <c r="AI320" t="s">
        <v>711</v>
      </c>
    </row>
    <row r="321" spans="2:35" x14ac:dyDescent="0.25">
      <c r="B321" s="2" t="s">
        <v>59</v>
      </c>
      <c r="C321" t="s">
        <v>5</v>
      </c>
      <c r="D321">
        <v>35</v>
      </c>
      <c r="E321" t="s">
        <v>20</v>
      </c>
      <c r="F321" t="s">
        <v>21</v>
      </c>
      <c r="G321" t="s">
        <v>654</v>
      </c>
      <c r="H321" t="s">
        <v>23</v>
      </c>
      <c r="I321" t="s">
        <v>10</v>
      </c>
      <c r="J321" t="s">
        <v>539</v>
      </c>
      <c r="K321">
        <v>29236</v>
      </c>
      <c r="L321">
        <v>10</v>
      </c>
      <c r="M321" t="s">
        <v>12</v>
      </c>
      <c r="N321" t="s">
        <v>53</v>
      </c>
      <c r="O321">
        <v>0</v>
      </c>
      <c r="P321" t="s">
        <v>13</v>
      </c>
      <c r="Q321">
        <v>213</v>
      </c>
      <c r="R321" t="s">
        <v>13</v>
      </c>
      <c r="S321">
        <v>208.1</v>
      </c>
      <c r="T321" t="s">
        <v>13</v>
      </c>
      <c r="U321" t="s">
        <v>14</v>
      </c>
      <c r="V321">
        <v>40</v>
      </c>
      <c r="W321">
        <v>44</v>
      </c>
      <c r="X321">
        <v>50.3</v>
      </c>
      <c r="Y321" t="s">
        <v>15</v>
      </c>
      <c r="Z321">
        <v>73</v>
      </c>
      <c r="AA321">
        <v>56</v>
      </c>
      <c r="AB321">
        <v>36.4</v>
      </c>
      <c r="AC321" t="s">
        <v>11</v>
      </c>
      <c r="AD321">
        <v>288.49</v>
      </c>
      <c r="AE321" t="s">
        <v>16</v>
      </c>
      <c r="AF321">
        <v>179.26</v>
      </c>
      <c r="AG321" t="s">
        <v>17</v>
      </c>
      <c r="AH321" t="s">
        <v>60</v>
      </c>
      <c r="AI321" t="s">
        <v>666</v>
      </c>
    </row>
    <row r="322" spans="2:35" x14ac:dyDescent="0.25">
      <c r="B322" s="2" t="s">
        <v>11</v>
      </c>
      <c r="C322" t="s">
        <v>5</v>
      </c>
      <c r="D322">
        <v>35</v>
      </c>
      <c r="E322" t="s">
        <v>6</v>
      </c>
      <c r="F322" t="s">
        <v>7</v>
      </c>
      <c r="G322" t="s">
        <v>175</v>
      </c>
      <c r="H322" t="s">
        <v>110</v>
      </c>
      <c r="I322" t="s">
        <v>111</v>
      </c>
      <c r="J322" t="e">
        <f>- -CANADA279</f>
        <v>#NAME?</v>
      </c>
      <c r="K322">
        <v>704011</v>
      </c>
      <c r="L322">
        <v>17.7</v>
      </c>
      <c r="M322" t="s">
        <v>12</v>
      </c>
      <c r="N322" t="s">
        <v>53</v>
      </c>
      <c r="O322">
        <v>0</v>
      </c>
      <c r="P322" t="s">
        <v>13</v>
      </c>
      <c r="Q322">
        <v>327</v>
      </c>
      <c r="R322" t="s">
        <v>13</v>
      </c>
      <c r="S322">
        <v>0</v>
      </c>
      <c r="T322" t="s">
        <v>13</v>
      </c>
      <c r="U322" t="s">
        <v>14</v>
      </c>
      <c r="V322">
        <v>45</v>
      </c>
      <c r="W322">
        <v>30</v>
      </c>
      <c r="X322">
        <v>20.12</v>
      </c>
      <c r="Y322" t="s">
        <v>15</v>
      </c>
      <c r="Z322">
        <v>73</v>
      </c>
      <c r="AA322">
        <v>35</v>
      </c>
      <c r="AB322">
        <v>29.58</v>
      </c>
      <c r="AC322" t="s">
        <v>11</v>
      </c>
      <c r="AD322">
        <v>395.57</v>
      </c>
      <c r="AE322" t="s">
        <v>16</v>
      </c>
      <c r="AF322">
        <v>245.79</v>
      </c>
      <c r="AG322" t="s">
        <v>17</v>
      </c>
      <c r="AH322" t="s">
        <v>176</v>
      </c>
      <c r="AI322" t="s">
        <v>11</v>
      </c>
    </row>
    <row r="323" spans="2:35" x14ac:dyDescent="0.25">
      <c r="B323" s="2" t="s">
        <v>540</v>
      </c>
      <c r="C323" t="s">
        <v>5</v>
      </c>
      <c r="D323">
        <v>36</v>
      </c>
      <c r="E323" t="s">
        <v>6</v>
      </c>
      <c r="F323" t="s">
        <v>7</v>
      </c>
      <c r="G323" t="s">
        <v>143</v>
      </c>
      <c r="H323" t="s">
        <v>115</v>
      </c>
      <c r="I323" t="s">
        <v>10</v>
      </c>
      <c r="J323">
        <f>- -24832</f>
        <v>24832</v>
      </c>
      <c r="K323">
        <v>53115</v>
      </c>
      <c r="L323">
        <v>1000</v>
      </c>
      <c r="M323" t="s">
        <v>12</v>
      </c>
      <c r="N323" t="s">
        <v>53</v>
      </c>
      <c r="O323">
        <v>289</v>
      </c>
      <c r="P323" t="s">
        <v>13</v>
      </c>
      <c r="Q323">
        <v>375.8</v>
      </c>
      <c r="R323" t="s">
        <v>13</v>
      </c>
      <c r="S323">
        <v>160.30000000000001</v>
      </c>
      <c r="T323" t="s">
        <v>13</v>
      </c>
      <c r="U323" t="s">
        <v>14</v>
      </c>
      <c r="V323">
        <v>41</v>
      </c>
      <c r="W323">
        <v>46</v>
      </c>
      <c r="X323">
        <v>30</v>
      </c>
      <c r="Y323" t="s">
        <v>15</v>
      </c>
      <c r="Z323">
        <v>72</v>
      </c>
      <c r="AA323">
        <v>48</v>
      </c>
      <c r="AB323">
        <v>18.3</v>
      </c>
      <c r="AC323">
        <v>1046016</v>
      </c>
      <c r="AD323">
        <v>145.06</v>
      </c>
      <c r="AE323" t="s">
        <v>16</v>
      </c>
      <c r="AF323">
        <v>90.14</v>
      </c>
      <c r="AG323" t="s">
        <v>17</v>
      </c>
      <c r="AH323" t="s">
        <v>541</v>
      </c>
      <c r="AI323" t="s">
        <v>719</v>
      </c>
    </row>
    <row r="324" spans="2:35" x14ac:dyDescent="0.25">
      <c r="B324" s="2" t="s">
        <v>540</v>
      </c>
      <c r="C324" t="s">
        <v>5</v>
      </c>
      <c r="D324">
        <v>36</v>
      </c>
      <c r="E324" t="s">
        <v>96</v>
      </c>
      <c r="F324" t="s">
        <v>7</v>
      </c>
      <c r="G324" t="s">
        <v>143</v>
      </c>
      <c r="H324" t="s">
        <v>115</v>
      </c>
      <c r="I324" t="s">
        <v>10</v>
      </c>
      <c r="J324">
        <f>- -29174</f>
        <v>29174</v>
      </c>
      <c r="K324">
        <v>53115</v>
      </c>
      <c r="L324">
        <v>80</v>
      </c>
      <c r="M324" t="s">
        <v>12</v>
      </c>
      <c r="N324" t="s">
        <v>53</v>
      </c>
      <c r="O324">
        <v>223</v>
      </c>
      <c r="P324" t="s">
        <v>13</v>
      </c>
      <c r="Q324">
        <v>310.60000000000002</v>
      </c>
      <c r="R324" t="s">
        <v>13</v>
      </c>
      <c r="S324">
        <v>94.2</v>
      </c>
      <c r="T324" t="s">
        <v>13</v>
      </c>
      <c r="U324" t="s">
        <v>14</v>
      </c>
      <c r="V324">
        <v>41</v>
      </c>
      <c r="W324">
        <v>46</v>
      </c>
      <c r="X324">
        <v>27</v>
      </c>
      <c r="Y324" t="s">
        <v>15</v>
      </c>
      <c r="Z324">
        <v>72</v>
      </c>
      <c r="AA324">
        <v>48</v>
      </c>
      <c r="AB324">
        <v>18</v>
      </c>
      <c r="AC324">
        <v>1045791</v>
      </c>
      <c r="AD324">
        <v>145.1</v>
      </c>
      <c r="AE324" t="s">
        <v>16</v>
      </c>
      <c r="AF324">
        <v>90.16</v>
      </c>
      <c r="AG324" t="s">
        <v>17</v>
      </c>
      <c r="AH324" t="s">
        <v>542</v>
      </c>
      <c r="AI324" t="s">
        <v>719</v>
      </c>
    </row>
    <row r="325" spans="2:35" x14ac:dyDescent="0.25">
      <c r="B325" s="2" t="s">
        <v>543</v>
      </c>
      <c r="C325" t="s">
        <v>5</v>
      </c>
      <c r="D325">
        <v>36</v>
      </c>
      <c r="E325" t="s">
        <v>6</v>
      </c>
      <c r="F325" t="s">
        <v>656</v>
      </c>
      <c r="G325" t="s">
        <v>544</v>
      </c>
      <c r="H325" t="s">
        <v>9</v>
      </c>
      <c r="I325" t="s">
        <v>10</v>
      </c>
      <c r="J325">
        <f>- -34397</f>
        <v>34397</v>
      </c>
      <c r="K325">
        <v>39656</v>
      </c>
      <c r="L325">
        <v>149</v>
      </c>
      <c r="M325" t="s">
        <v>12</v>
      </c>
      <c r="N325" t="s">
        <v>53</v>
      </c>
      <c r="O325">
        <v>231</v>
      </c>
      <c r="P325" t="s">
        <v>13</v>
      </c>
      <c r="Q325">
        <v>349.4</v>
      </c>
      <c r="R325" t="s">
        <v>13</v>
      </c>
      <c r="S325">
        <v>157.4</v>
      </c>
      <c r="T325" t="s">
        <v>13</v>
      </c>
      <c r="U325" t="s">
        <v>14</v>
      </c>
      <c r="V325">
        <v>43</v>
      </c>
      <c r="W325">
        <v>25</v>
      </c>
      <c r="X325">
        <v>0.3</v>
      </c>
      <c r="Y325" t="s">
        <v>15</v>
      </c>
      <c r="Z325">
        <v>70</v>
      </c>
      <c r="AA325">
        <v>48</v>
      </c>
      <c r="AB325">
        <v>15.2</v>
      </c>
      <c r="AC325">
        <v>1037792</v>
      </c>
      <c r="AD325">
        <v>121.35</v>
      </c>
      <c r="AE325" t="s">
        <v>16</v>
      </c>
      <c r="AF325">
        <v>75.400000000000006</v>
      </c>
      <c r="AG325" t="s">
        <v>17</v>
      </c>
      <c r="AH325" t="s">
        <v>545</v>
      </c>
      <c r="AI325" t="s">
        <v>688</v>
      </c>
    </row>
    <row r="326" spans="2:35" x14ac:dyDescent="0.25">
      <c r="B326" s="2" t="s">
        <v>22</v>
      </c>
      <c r="C326" t="s">
        <v>5</v>
      </c>
      <c r="D326">
        <v>36</v>
      </c>
      <c r="E326" t="s">
        <v>20</v>
      </c>
      <c r="F326" t="s">
        <v>74</v>
      </c>
      <c r="G326" t="s">
        <v>784</v>
      </c>
      <c r="H326" t="s">
        <v>41</v>
      </c>
      <c r="I326" t="s">
        <v>10</v>
      </c>
      <c r="J326" t="s">
        <v>546</v>
      </c>
      <c r="K326">
        <v>181956</v>
      </c>
      <c r="L326">
        <v>3</v>
      </c>
      <c r="M326" t="s">
        <v>12</v>
      </c>
      <c r="N326" t="s">
        <v>53</v>
      </c>
      <c r="O326">
        <v>0</v>
      </c>
      <c r="P326" t="s">
        <v>13</v>
      </c>
      <c r="Q326">
        <v>30.2</v>
      </c>
      <c r="R326" t="s">
        <v>13</v>
      </c>
      <c r="S326">
        <v>15.1</v>
      </c>
      <c r="T326" t="s">
        <v>13</v>
      </c>
      <c r="U326" t="s">
        <v>14</v>
      </c>
      <c r="V326">
        <v>41</v>
      </c>
      <c r="W326">
        <v>15</v>
      </c>
      <c r="X326">
        <v>39.799999999999997</v>
      </c>
      <c r="Y326" t="s">
        <v>15</v>
      </c>
      <c r="Z326">
        <v>70</v>
      </c>
      <c r="AA326">
        <v>3</v>
      </c>
      <c r="AB326">
        <v>41</v>
      </c>
      <c r="AC326">
        <v>1233474</v>
      </c>
      <c r="AD326">
        <v>158.11000000000001</v>
      </c>
      <c r="AE326" t="s">
        <v>16</v>
      </c>
      <c r="AF326">
        <v>98.25</v>
      </c>
      <c r="AG326" t="s">
        <v>17</v>
      </c>
      <c r="AH326" t="s">
        <v>547</v>
      </c>
      <c r="AI326" t="s">
        <v>785</v>
      </c>
    </row>
    <row r="327" spans="2:35" x14ac:dyDescent="0.25">
      <c r="B327" s="2" t="s">
        <v>548</v>
      </c>
      <c r="C327" t="s">
        <v>5</v>
      </c>
      <c r="D327">
        <v>36</v>
      </c>
      <c r="E327" t="s">
        <v>20</v>
      </c>
      <c r="F327" t="s">
        <v>7</v>
      </c>
      <c r="G327" t="s">
        <v>40</v>
      </c>
      <c r="H327" t="s">
        <v>41</v>
      </c>
      <c r="I327" t="s">
        <v>10</v>
      </c>
      <c r="J327">
        <f>- -53501</f>
        <v>53501</v>
      </c>
      <c r="K327">
        <v>168497</v>
      </c>
      <c r="L327">
        <v>15</v>
      </c>
      <c r="M327" t="s">
        <v>12</v>
      </c>
      <c r="N327" t="s">
        <v>53</v>
      </c>
      <c r="O327">
        <v>0</v>
      </c>
      <c r="P327" t="s">
        <v>13</v>
      </c>
      <c r="Q327">
        <v>255</v>
      </c>
      <c r="R327" t="s">
        <v>13</v>
      </c>
      <c r="S327">
        <v>249.5</v>
      </c>
      <c r="T327" t="s">
        <v>13</v>
      </c>
      <c r="U327" t="s">
        <v>14</v>
      </c>
      <c r="V327">
        <v>42</v>
      </c>
      <c r="W327">
        <v>20</v>
      </c>
      <c r="X327">
        <v>57</v>
      </c>
      <c r="Y327" t="s">
        <v>15</v>
      </c>
      <c r="Z327">
        <v>71</v>
      </c>
      <c r="AA327">
        <v>4</v>
      </c>
      <c r="AB327">
        <v>29</v>
      </c>
      <c r="AC327">
        <v>1005833</v>
      </c>
      <c r="AD327">
        <v>14.51</v>
      </c>
      <c r="AE327" t="s">
        <v>16</v>
      </c>
      <c r="AF327">
        <v>9.02</v>
      </c>
      <c r="AG327" t="s">
        <v>17</v>
      </c>
      <c r="AH327" t="s">
        <v>549</v>
      </c>
      <c r="AI327" t="s">
        <v>786</v>
      </c>
    </row>
    <row r="328" spans="2:35" x14ac:dyDescent="0.25">
      <c r="B328" s="2" t="s">
        <v>550</v>
      </c>
      <c r="C328" t="s">
        <v>5</v>
      </c>
      <c r="D328">
        <v>36</v>
      </c>
      <c r="E328" t="s">
        <v>181</v>
      </c>
      <c r="F328" t="s">
        <v>21</v>
      </c>
      <c r="G328" t="s">
        <v>508</v>
      </c>
      <c r="H328" t="s">
        <v>45</v>
      </c>
      <c r="I328" t="s">
        <v>10</v>
      </c>
      <c r="J328" t="s">
        <v>551</v>
      </c>
      <c r="K328">
        <v>9766</v>
      </c>
      <c r="L328">
        <v>15</v>
      </c>
      <c r="M328" t="s">
        <v>12</v>
      </c>
      <c r="O328">
        <v>0</v>
      </c>
      <c r="P328" t="s">
        <v>13</v>
      </c>
      <c r="Q328">
        <v>236.8</v>
      </c>
      <c r="R328" t="s">
        <v>13</v>
      </c>
      <c r="S328">
        <v>90.5</v>
      </c>
      <c r="T328" t="s">
        <v>13</v>
      </c>
      <c r="U328" t="s">
        <v>14</v>
      </c>
      <c r="V328">
        <v>42</v>
      </c>
      <c r="W328">
        <v>44</v>
      </c>
      <c r="X328">
        <v>7</v>
      </c>
      <c r="Y328" t="s">
        <v>15</v>
      </c>
      <c r="Z328">
        <v>71</v>
      </c>
      <c r="AA328">
        <v>23</v>
      </c>
      <c r="AB328">
        <v>35</v>
      </c>
      <c r="AC328">
        <v>1033400</v>
      </c>
      <c r="AD328">
        <v>41.85</v>
      </c>
      <c r="AE328" t="s">
        <v>16</v>
      </c>
      <c r="AF328">
        <v>26.01</v>
      </c>
      <c r="AG328" t="s">
        <v>17</v>
      </c>
      <c r="AH328" t="s">
        <v>536</v>
      </c>
      <c r="AI328" t="s">
        <v>711</v>
      </c>
    </row>
    <row r="329" spans="2:35" x14ac:dyDescent="0.25">
      <c r="B329" s="2" t="s">
        <v>552</v>
      </c>
      <c r="C329" t="s">
        <v>5</v>
      </c>
      <c r="D329">
        <v>36</v>
      </c>
      <c r="E329" t="s">
        <v>20</v>
      </c>
      <c r="F329" t="s">
        <v>7</v>
      </c>
      <c r="G329" t="s">
        <v>553</v>
      </c>
      <c r="H329" t="s">
        <v>45</v>
      </c>
      <c r="I329" t="s">
        <v>10</v>
      </c>
      <c r="J329">
        <f>- -63744</f>
        <v>63744</v>
      </c>
      <c r="K329">
        <v>69322</v>
      </c>
      <c r="L329">
        <v>0.22800000000000001</v>
      </c>
      <c r="M329" t="s">
        <v>12</v>
      </c>
      <c r="O329">
        <v>0</v>
      </c>
      <c r="P329" t="s">
        <v>13</v>
      </c>
      <c r="Q329">
        <v>690.8</v>
      </c>
      <c r="R329" t="s">
        <v>13</v>
      </c>
      <c r="S329">
        <v>123</v>
      </c>
      <c r="T329" t="s">
        <v>13</v>
      </c>
      <c r="U329" t="s">
        <v>14</v>
      </c>
      <c r="V329">
        <v>43</v>
      </c>
      <c r="W329">
        <v>42</v>
      </c>
      <c r="X329">
        <v>32.1</v>
      </c>
      <c r="Y329" t="s">
        <v>15</v>
      </c>
      <c r="Z329">
        <v>72</v>
      </c>
      <c r="AA329">
        <v>9</v>
      </c>
      <c r="AB329">
        <v>14.6</v>
      </c>
      <c r="AC329">
        <v>1034695</v>
      </c>
      <c r="AD329">
        <v>165.66</v>
      </c>
      <c r="AE329" t="s">
        <v>16</v>
      </c>
      <c r="AF329">
        <v>102.93</v>
      </c>
      <c r="AG329" t="s">
        <v>17</v>
      </c>
      <c r="AH329" t="s">
        <v>554</v>
      </c>
      <c r="AI329" t="s">
        <v>692</v>
      </c>
    </row>
    <row r="330" spans="2:35" x14ac:dyDescent="0.25">
      <c r="B330" s="2" t="s">
        <v>552</v>
      </c>
      <c r="C330" t="s">
        <v>5</v>
      </c>
      <c r="D330">
        <v>36</v>
      </c>
      <c r="E330" t="s">
        <v>20</v>
      </c>
      <c r="F330" t="s">
        <v>656</v>
      </c>
      <c r="G330" t="s">
        <v>553</v>
      </c>
      <c r="H330" t="s">
        <v>45</v>
      </c>
      <c r="I330" t="s">
        <v>10</v>
      </c>
      <c r="J330">
        <f>- -67834</f>
        <v>67834</v>
      </c>
      <c r="K330">
        <v>69322</v>
      </c>
      <c r="L330">
        <v>15</v>
      </c>
      <c r="M330" t="s">
        <v>12</v>
      </c>
      <c r="O330">
        <v>0</v>
      </c>
      <c r="P330" t="s">
        <v>13</v>
      </c>
      <c r="Q330">
        <v>685.6</v>
      </c>
      <c r="R330" t="s">
        <v>13</v>
      </c>
      <c r="S330">
        <v>117.8</v>
      </c>
      <c r="T330" t="s">
        <v>13</v>
      </c>
      <c r="U330" t="s">
        <v>14</v>
      </c>
      <c r="V330">
        <v>43</v>
      </c>
      <c r="W330">
        <v>42</v>
      </c>
      <c r="X330">
        <v>32.1</v>
      </c>
      <c r="Y330" t="s">
        <v>15</v>
      </c>
      <c r="Z330">
        <v>72</v>
      </c>
      <c r="AA330">
        <v>9</v>
      </c>
      <c r="AB330">
        <v>14.6</v>
      </c>
      <c r="AC330">
        <v>1034695</v>
      </c>
      <c r="AD330">
        <v>165.66</v>
      </c>
      <c r="AE330" t="s">
        <v>16</v>
      </c>
      <c r="AF330">
        <v>102.93</v>
      </c>
      <c r="AG330" t="s">
        <v>17</v>
      </c>
      <c r="AH330" t="s">
        <v>554</v>
      </c>
      <c r="AI330" t="s">
        <v>692</v>
      </c>
    </row>
    <row r="331" spans="2:35" x14ac:dyDescent="0.25">
      <c r="B331" s="2" t="s">
        <v>537</v>
      </c>
      <c r="C331" t="s">
        <v>5</v>
      </c>
      <c r="D331">
        <v>36</v>
      </c>
      <c r="E331" t="s">
        <v>96</v>
      </c>
      <c r="F331" t="s">
        <v>21</v>
      </c>
      <c r="G331" t="s">
        <v>538</v>
      </c>
      <c r="H331" t="s">
        <v>31</v>
      </c>
      <c r="I331" t="s">
        <v>10</v>
      </c>
      <c r="J331">
        <f>- -13276</f>
        <v>13276</v>
      </c>
      <c r="K331">
        <v>73333</v>
      </c>
      <c r="L331">
        <v>650</v>
      </c>
      <c r="M331" t="s">
        <v>12</v>
      </c>
      <c r="N331" t="s">
        <v>53</v>
      </c>
      <c r="O331">
        <v>223.4</v>
      </c>
      <c r="P331" t="s">
        <v>13</v>
      </c>
      <c r="Q331">
        <v>288.10000000000002</v>
      </c>
      <c r="R331" t="s">
        <v>13</v>
      </c>
      <c r="S331">
        <v>98.5</v>
      </c>
      <c r="T331" t="s">
        <v>13</v>
      </c>
      <c r="U331" t="s">
        <v>14</v>
      </c>
      <c r="V331">
        <v>40</v>
      </c>
      <c r="W331">
        <v>48</v>
      </c>
      <c r="X331">
        <v>7.6</v>
      </c>
      <c r="Y331" t="s">
        <v>15</v>
      </c>
      <c r="Z331">
        <v>74</v>
      </c>
      <c r="AA331">
        <v>14</v>
      </c>
      <c r="AB331">
        <v>45.5</v>
      </c>
      <c r="AC331">
        <v>1060205</v>
      </c>
      <c r="AD331">
        <v>304.95</v>
      </c>
      <c r="AE331" t="s">
        <v>16</v>
      </c>
      <c r="AF331">
        <v>189.49</v>
      </c>
      <c r="AG331" t="s">
        <v>17</v>
      </c>
      <c r="AH331" t="s">
        <v>54</v>
      </c>
      <c r="AI331" t="s">
        <v>711</v>
      </c>
    </row>
    <row r="332" spans="2:35" x14ac:dyDescent="0.25">
      <c r="B332" s="2" t="s">
        <v>537</v>
      </c>
      <c r="C332" t="s">
        <v>5</v>
      </c>
      <c r="D332">
        <v>36</v>
      </c>
      <c r="E332" t="s">
        <v>6</v>
      </c>
      <c r="F332" t="s">
        <v>7</v>
      </c>
      <c r="G332" t="s">
        <v>538</v>
      </c>
      <c r="H332" t="s">
        <v>31</v>
      </c>
      <c r="I332" t="s">
        <v>10</v>
      </c>
      <c r="J332">
        <f>- -49867</f>
        <v>49867</v>
      </c>
      <c r="K332">
        <v>73333</v>
      </c>
      <c r="L332">
        <v>750</v>
      </c>
      <c r="M332" t="s">
        <v>12</v>
      </c>
      <c r="N332" t="s">
        <v>53</v>
      </c>
      <c r="O332">
        <v>348</v>
      </c>
      <c r="P332" t="s">
        <v>13</v>
      </c>
      <c r="Q332">
        <v>361.9</v>
      </c>
      <c r="R332" t="s">
        <v>13</v>
      </c>
      <c r="S332">
        <v>346.4</v>
      </c>
      <c r="T332" t="s">
        <v>13</v>
      </c>
      <c r="U332" t="s">
        <v>14</v>
      </c>
      <c r="V332">
        <v>40</v>
      </c>
      <c r="W332">
        <v>44</v>
      </c>
      <c r="X332">
        <v>54</v>
      </c>
      <c r="Y332" t="s">
        <v>15</v>
      </c>
      <c r="Z332">
        <v>73</v>
      </c>
      <c r="AA332">
        <v>59</v>
      </c>
      <c r="AB332">
        <v>9</v>
      </c>
      <c r="AC332">
        <v>1007048</v>
      </c>
      <c r="AD332">
        <v>291.18</v>
      </c>
      <c r="AE332" t="s">
        <v>16</v>
      </c>
      <c r="AF332">
        <v>180.93</v>
      </c>
      <c r="AG332" t="s">
        <v>17</v>
      </c>
      <c r="AH332" t="s">
        <v>50</v>
      </c>
      <c r="AI332" t="s">
        <v>711</v>
      </c>
    </row>
    <row r="333" spans="2:35" x14ac:dyDescent="0.25">
      <c r="B333" s="2" t="s">
        <v>537</v>
      </c>
      <c r="C333" t="s">
        <v>5</v>
      </c>
      <c r="D333">
        <v>36</v>
      </c>
      <c r="E333" t="s">
        <v>6</v>
      </c>
      <c r="F333" t="s">
        <v>7</v>
      </c>
      <c r="G333" t="s">
        <v>538</v>
      </c>
      <c r="H333" t="s">
        <v>31</v>
      </c>
      <c r="I333" t="s">
        <v>10</v>
      </c>
      <c r="J333">
        <f>- -60306</f>
        <v>60306</v>
      </c>
      <c r="K333">
        <v>73333</v>
      </c>
      <c r="L333">
        <v>340</v>
      </c>
      <c r="M333" t="s">
        <v>12</v>
      </c>
      <c r="O333">
        <v>519.1</v>
      </c>
      <c r="P333" t="s">
        <v>13</v>
      </c>
      <c r="Q333">
        <v>530.4</v>
      </c>
      <c r="R333" t="s">
        <v>13</v>
      </c>
      <c r="S333">
        <v>526.1</v>
      </c>
      <c r="T333" t="s">
        <v>13</v>
      </c>
      <c r="U333" t="s">
        <v>14</v>
      </c>
      <c r="V333">
        <v>40</v>
      </c>
      <c r="W333">
        <v>42</v>
      </c>
      <c r="X333">
        <v>46.8</v>
      </c>
      <c r="Y333" t="s">
        <v>15</v>
      </c>
      <c r="Z333">
        <v>74</v>
      </c>
      <c r="AA333">
        <v>0</v>
      </c>
      <c r="AB333">
        <v>47.3</v>
      </c>
      <c r="AC333">
        <v>1263701</v>
      </c>
      <c r="AD333">
        <v>295.45</v>
      </c>
      <c r="AE333" t="s">
        <v>16</v>
      </c>
      <c r="AF333">
        <v>183.59</v>
      </c>
      <c r="AG333" t="s">
        <v>17</v>
      </c>
      <c r="AH333" t="s">
        <v>33</v>
      </c>
      <c r="AI333" t="s">
        <v>711</v>
      </c>
    </row>
    <row r="334" spans="2:35" x14ac:dyDescent="0.25">
      <c r="B334" s="2" t="s">
        <v>537</v>
      </c>
      <c r="C334" t="s">
        <v>5</v>
      </c>
      <c r="D334">
        <v>36</v>
      </c>
      <c r="E334" t="s">
        <v>6</v>
      </c>
      <c r="F334" t="s">
        <v>7</v>
      </c>
      <c r="G334" t="s">
        <v>538</v>
      </c>
      <c r="H334" t="s">
        <v>31</v>
      </c>
      <c r="I334" t="s">
        <v>10</v>
      </c>
      <c r="J334">
        <f>- -67708</f>
        <v>67708</v>
      </c>
      <c r="K334">
        <v>73333</v>
      </c>
      <c r="L334">
        <v>415</v>
      </c>
      <c r="M334" t="s">
        <v>12</v>
      </c>
      <c r="O334">
        <v>496</v>
      </c>
      <c r="P334" t="s">
        <v>13</v>
      </c>
      <c r="Q334">
        <v>506</v>
      </c>
      <c r="R334" t="s">
        <v>13</v>
      </c>
      <c r="S334">
        <v>501.7</v>
      </c>
      <c r="T334" t="s">
        <v>13</v>
      </c>
      <c r="U334" t="s">
        <v>14</v>
      </c>
      <c r="V334">
        <v>40</v>
      </c>
      <c r="W334">
        <v>42</v>
      </c>
      <c r="X334">
        <v>46.8</v>
      </c>
      <c r="Y334" t="s">
        <v>15</v>
      </c>
      <c r="Z334">
        <v>74</v>
      </c>
      <c r="AA334">
        <v>0</v>
      </c>
      <c r="AB334">
        <v>47.3</v>
      </c>
      <c r="AC334">
        <v>1263701</v>
      </c>
      <c r="AD334">
        <v>295.45</v>
      </c>
      <c r="AE334" t="s">
        <v>16</v>
      </c>
      <c r="AF334">
        <v>183.59</v>
      </c>
      <c r="AG334" t="s">
        <v>17</v>
      </c>
      <c r="AH334" t="s">
        <v>33</v>
      </c>
      <c r="AI334" t="s">
        <v>711</v>
      </c>
    </row>
    <row r="335" spans="2:35" x14ac:dyDescent="0.25">
      <c r="B335" s="2" t="s">
        <v>537</v>
      </c>
      <c r="C335" t="s">
        <v>5</v>
      </c>
      <c r="D335">
        <v>36</v>
      </c>
      <c r="E335" t="s">
        <v>6</v>
      </c>
      <c r="F335" t="s">
        <v>7</v>
      </c>
      <c r="G335" t="s">
        <v>538</v>
      </c>
      <c r="H335" t="s">
        <v>31</v>
      </c>
      <c r="I335" t="s">
        <v>10</v>
      </c>
      <c r="J335">
        <f>- -69113</f>
        <v>69113</v>
      </c>
      <c r="K335">
        <v>73333</v>
      </c>
      <c r="L335">
        <v>340</v>
      </c>
      <c r="M335" t="s">
        <v>12</v>
      </c>
      <c r="O335">
        <v>519.1</v>
      </c>
      <c r="P335" t="s">
        <v>13</v>
      </c>
      <c r="Q335">
        <v>530.4</v>
      </c>
      <c r="R335" t="s">
        <v>13</v>
      </c>
      <c r="S335">
        <v>526.1</v>
      </c>
      <c r="T335" t="s">
        <v>13</v>
      </c>
      <c r="U335" t="s">
        <v>14</v>
      </c>
      <c r="V335">
        <v>40</v>
      </c>
      <c r="W335">
        <v>42</v>
      </c>
      <c r="X335">
        <v>46.8</v>
      </c>
      <c r="Y335" t="s">
        <v>15</v>
      </c>
      <c r="Z335">
        <v>74</v>
      </c>
      <c r="AA335">
        <v>0</v>
      </c>
      <c r="AB335">
        <v>47.3</v>
      </c>
      <c r="AC335">
        <v>1263701</v>
      </c>
      <c r="AD335">
        <v>295.45</v>
      </c>
      <c r="AE335" t="s">
        <v>16</v>
      </c>
      <c r="AF335">
        <v>183.59</v>
      </c>
      <c r="AG335" t="s">
        <v>17</v>
      </c>
      <c r="AH335" t="s">
        <v>33</v>
      </c>
      <c r="AI335" t="s">
        <v>711</v>
      </c>
    </row>
    <row r="336" spans="2:35" x14ac:dyDescent="0.25">
      <c r="B336" s="2" t="s">
        <v>555</v>
      </c>
      <c r="C336" t="s">
        <v>5</v>
      </c>
      <c r="D336">
        <v>36</v>
      </c>
      <c r="E336" t="s">
        <v>181</v>
      </c>
      <c r="F336" t="s">
        <v>21</v>
      </c>
      <c r="G336" t="s">
        <v>556</v>
      </c>
      <c r="H336" t="s">
        <v>23</v>
      </c>
      <c r="I336" t="s">
        <v>10</v>
      </c>
      <c r="J336">
        <f>- -1610</f>
        <v>1610</v>
      </c>
      <c r="K336">
        <v>34341</v>
      </c>
      <c r="L336">
        <v>8.5</v>
      </c>
      <c r="M336" t="s">
        <v>12</v>
      </c>
      <c r="N336" t="s">
        <v>53</v>
      </c>
      <c r="O336">
        <v>0</v>
      </c>
      <c r="P336" t="s">
        <v>13</v>
      </c>
      <c r="Q336">
        <v>283.39999999999998</v>
      </c>
      <c r="R336" t="s">
        <v>13</v>
      </c>
      <c r="S336">
        <v>33.5</v>
      </c>
      <c r="T336" t="s">
        <v>13</v>
      </c>
      <c r="U336" t="s">
        <v>14</v>
      </c>
      <c r="V336">
        <v>43</v>
      </c>
      <c r="W336">
        <v>3</v>
      </c>
      <c r="X336">
        <v>57.2</v>
      </c>
      <c r="Y336" t="s">
        <v>15</v>
      </c>
      <c r="Z336">
        <v>75</v>
      </c>
      <c r="AA336">
        <v>40</v>
      </c>
      <c r="AB336">
        <v>2.6</v>
      </c>
      <c r="AC336" t="s">
        <v>11</v>
      </c>
      <c r="AD336">
        <v>370.1</v>
      </c>
      <c r="AE336" t="s">
        <v>16</v>
      </c>
      <c r="AF336">
        <v>229.97</v>
      </c>
      <c r="AG336" t="s">
        <v>17</v>
      </c>
      <c r="AH336" t="s">
        <v>557</v>
      </c>
      <c r="AI336" t="s">
        <v>787</v>
      </c>
    </row>
    <row r="337" spans="2:35" x14ac:dyDescent="0.25">
      <c r="B337" s="2" t="s">
        <v>512</v>
      </c>
      <c r="C337" t="s">
        <v>5</v>
      </c>
      <c r="D337">
        <v>36</v>
      </c>
      <c r="E337" t="s">
        <v>6</v>
      </c>
      <c r="F337" t="s">
        <v>656</v>
      </c>
      <c r="G337" t="s">
        <v>654</v>
      </c>
      <c r="H337" t="s">
        <v>23</v>
      </c>
      <c r="I337" t="s">
        <v>10</v>
      </c>
      <c r="J337">
        <f>- -33867</f>
        <v>33867</v>
      </c>
      <c r="K337">
        <v>9610</v>
      </c>
      <c r="L337">
        <v>548</v>
      </c>
      <c r="M337" t="s">
        <v>12</v>
      </c>
      <c r="O337">
        <v>520</v>
      </c>
      <c r="P337" t="s">
        <v>13</v>
      </c>
      <c r="Q337">
        <v>530.4</v>
      </c>
      <c r="R337" t="s">
        <v>13</v>
      </c>
      <c r="S337">
        <v>526.1</v>
      </c>
      <c r="T337" t="s">
        <v>13</v>
      </c>
      <c r="U337" t="s">
        <v>14</v>
      </c>
      <c r="V337">
        <v>40</v>
      </c>
      <c r="W337">
        <v>42</v>
      </c>
      <c r="X337">
        <v>46.8</v>
      </c>
      <c r="Y337" t="s">
        <v>15</v>
      </c>
      <c r="Z337">
        <v>74</v>
      </c>
      <c r="AA337">
        <v>0</v>
      </c>
      <c r="AB337">
        <v>47.3</v>
      </c>
      <c r="AC337">
        <v>1263701</v>
      </c>
      <c r="AD337">
        <v>295.45</v>
      </c>
      <c r="AE337" t="s">
        <v>16</v>
      </c>
      <c r="AF337">
        <v>183.59</v>
      </c>
      <c r="AG337" t="s">
        <v>17</v>
      </c>
      <c r="AH337" t="s">
        <v>33</v>
      </c>
      <c r="AI337" t="s">
        <v>780</v>
      </c>
    </row>
    <row r="338" spans="2:35" x14ac:dyDescent="0.25">
      <c r="B338" s="2" t="s">
        <v>558</v>
      </c>
      <c r="C338" t="s">
        <v>5</v>
      </c>
      <c r="D338">
        <v>36</v>
      </c>
      <c r="E338" t="s">
        <v>6</v>
      </c>
      <c r="F338" t="s">
        <v>656</v>
      </c>
      <c r="G338" t="s">
        <v>195</v>
      </c>
      <c r="H338" t="s">
        <v>23</v>
      </c>
      <c r="I338" t="s">
        <v>10</v>
      </c>
      <c r="J338">
        <f>- -34025</f>
        <v>34025</v>
      </c>
      <c r="K338">
        <v>46755</v>
      </c>
      <c r="L338">
        <v>67</v>
      </c>
      <c r="M338" t="s">
        <v>12</v>
      </c>
      <c r="N338" t="s">
        <v>53</v>
      </c>
      <c r="O338">
        <v>741.7</v>
      </c>
      <c r="P338" t="s">
        <v>13</v>
      </c>
      <c r="Q338">
        <v>1240.5</v>
      </c>
      <c r="R338" t="s">
        <v>13</v>
      </c>
      <c r="S338">
        <v>128</v>
      </c>
      <c r="T338" t="s">
        <v>13</v>
      </c>
      <c r="U338" t="s">
        <v>14</v>
      </c>
      <c r="V338">
        <v>44</v>
      </c>
      <c r="W338">
        <v>41</v>
      </c>
      <c r="X338">
        <v>43</v>
      </c>
      <c r="Y338" t="s">
        <v>15</v>
      </c>
      <c r="Z338">
        <v>73</v>
      </c>
      <c r="AA338">
        <v>52</v>
      </c>
      <c r="AB338">
        <v>59</v>
      </c>
      <c r="AC338">
        <v>1003308</v>
      </c>
      <c r="AD338">
        <v>334.49</v>
      </c>
      <c r="AE338" t="s">
        <v>16</v>
      </c>
      <c r="AF338">
        <v>207.84</v>
      </c>
      <c r="AG338" t="s">
        <v>17</v>
      </c>
      <c r="AH338" t="s">
        <v>559</v>
      </c>
      <c r="AI338" t="s">
        <v>788</v>
      </c>
    </row>
    <row r="339" spans="2:35" x14ac:dyDescent="0.25">
      <c r="B339" s="2" t="s">
        <v>560</v>
      </c>
      <c r="C339" t="s">
        <v>5</v>
      </c>
      <c r="D339">
        <v>36</v>
      </c>
      <c r="E339" t="s">
        <v>6</v>
      </c>
      <c r="F339" t="s">
        <v>7</v>
      </c>
      <c r="G339" t="s">
        <v>654</v>
      </c>
      <c r="H339" t="s">
        <v>23</v>
      </c>
      <c r="I339" t="s">
        <v>10</v>
      </c>
      <c r="J339">
        <f>- -49872</f>
        <v>49872</v>
      </c>
      <c r="K339">
        <v>47535</v>
      </c>
      <c r="L339">
        <v>750</v>
      </c>
      <c r="M339" t="s">
        <v>12</v>
      </c>
      <c r="N339" t="s">
        <v>53</v>
      </c>
      <c r="O339">
        <v>348</v>
      </c>
      <c r="P339" t="s">
        <v>13</v>
      </c>
      <c r="Q339">
        <v>361.9</v>
      </c>
      <c r="R339" t="s">
        <v>13</v>
      </c>
      <c r="S339">
        <v>346.4</v>
      </c>
      <c r="T339" t="s">
        <v>13</v>
      </c>
      <c r="U339" t="s">
        <v>14</v>
      </c>
      <c r="V339">
        <v>40</v>
      </c>
      <c r="W339">
        <v>44</v>
      </c>
      <c r="X339">
        <v>54</v>
      </c>
      <c r="Y339" t="s">
        <v>15</v>
      </c>
      <c r="Z339">
        <v>73</v>
      </c>
      <c r="AA339">
        <v>59</v>
      </c>
      <c r="AB339">
        <v>9</v>
      </c>
      <c r="AC339">
        <v>1007048</v>
      </c>
      <c r="AD339">
        <v>291.18</v>
      </c>
      <c r="AE339" t="s">
        <v>16</v>
      </c>
      <c r="AF339">
        <v>180.93</v>
      </c>
      <c r="AG339" t="s">
        <v>17</v>
      </c>
      <c r="AH339" t="s">
        <v>50</v>
      </c>
      <c r="AI339" t="s">
        <v>711</v>
      </c>
    </row>
    <row r="340" spans="2:35" x14ac:dyDescent="0.25">
      <c r="B340" s="2" t="s">
        <v>343</v>
      </c>
      <c r="C340" t="s">
        <v>5</v>
      </c>
      <c r="D340">
        <v>36</v>
      </c>
      <c r="E340" t="s">
        <v>20</v>
      </c>
      <c r="F340" t="s">
        <v>7</v>
      </c>
      <c r="G340" t="s">
        <v>344</v>
      </c>
      <c r="H340" t="s">
        <v>23</v>
      </c>
      <c r="I340" t="s">
        <v>10</v>
      </c>
      <c r="J340">
        <f>- -51693</f>
        <v>51693</v>
      </c>
      <c r="K340">
        <v>6762</v>
      </c>
      <c r="L340">
        <v>15</v>
      </c>
      <c r="M340" t="s">
        <v>12</v>
      </c>
      <c r="N340" t="s">
        <v>53</v>
      </c>
      <c r="O340">
        <v>0</v>
      </c>
      <c r="P340" t="s">
        <v>13</v>
      </c>
      <c r="Q340">
        <v>451.3</v>
      </c>
      <c r="R340" t="s">
        <v>13</v>
      </c>
      <c r="S340">
        <v>20</v>
      </c>
      <c r="T340" t="s">
        <v>13</v>
      </c>
      <c r="U340" t="s">
        <v>14</v>
      </c>
      <c r="V340">
        <v>43</v>
      </c>
      <c r="W340">
        <v>1</v>
      </c>
      <c r="X340">
        <v>12.2</v>
      </c>
      <c r="Y340" t="s">
        <v>15</v>
      </c>
      <c r="Z340">
        <v>73</v>
      </c>
      <c r="AA340">
        <v>31</v>
      </c>
      <c r="AB340">
        <v>26.4</v>
      </c>
      <c r="AC340">
        <v>1211139</v>
      </c>
      <c r="AD340">
        <v>199.86</v>
      </c>
      <c r="AE340" t="s">
        <v>16</v>
      </c>
      <c r="AF340">
        <v>124.19</v>
      </c>
      <c r="AG340" t="s">
        <v>17</v>
      </c>
      <c r="AH340" t="s">
        <v>345</v>
      </c>
      <c r="AI340" t="s">
        <v>734</v>
      </c>
    </row>
    <row r="341" spans="2:35" x14ac:dyDescent="0.25">
      <c r="B341" s="2" t="s">
        <v>560</v>
      </c>
      <c r="C341" t="s">
        <v>5</v>
      </c>
      <c r="D341">
        <v>36</v>
      </c>
      <c r="E341" t="s">
        <v>6</v>
      </c>
      <c r="F341" t="s">
        <v>7</v>
      </c>
      <c r="G341" t="s">
        <v>654</v>
      </c>
      <c r="H341" t="s">
        <v>23</v>
      </c>
      <c r="I341" t="s">
        <v>10</v>
      </c>
      <c r="J341">
        <f>- -53022</f>
        <v>53022</v>
      </c>
      <c r="K341">
        <v>47535</v>
      </c>
      <c r="L341">
        <v>340</v>
      </c>
      <c r="M341" t="s">
        <v>12</v>
      </c>
      <c r="O341">
        <v>519.1</v>
      </c>
      <c r="P341" t="s">
        <v>13</v>
      </c>
      <c r="Q341">
        <v>530.4</v>
      </c>
      <c r="R341" t="s">
        <v>13</v>
      </c>
      <c r="S341">
        <v>526.1</v>
      </c>
      <c r="T341" t="s">
        <v>13</v>
      </c>
      <c r="U341" t="s">
        <v>14</v>
      </c>
      <c r="V341">
        <v>40</v>
      </c>
      <c r="W341">
        <v>42</v>
      </c>
      <c r="X341">
        <v>46.8</v>
      </c>
      <c r="Y341" t="s">
        <v>15</v>
      </c>
      <c r="Z341">
        <v>74</v>
      </c>
      <c r="AA341">
        <v>0</v>
      </c>
      <c r="AB341">
        <v>47.3</v>
      </c>
      <c r="AC341">
        <v>1263701</v>
      </c>
      <c r="AD341">
        <v>295.45</v>
      </c>
      <c r="AE341" t="s">
        <v>16</v>
      </c>
      <c r="AF341">
        <v>183.59</v>
      </c>
      <c r="AG341" t="s">
        <v>17</v>
      </c>
      <c r="AH341" t="s">
        <v>33</v>
      </c>
      <c r="AI341" t="s">
        <v>711</v>
      </c>
    </row>
    <row r="342" spans="2:35" x14ac:dyDescent="0.25">
      <c r="B342" s="2" t="s">
        <v>560</v>
      </c>
      <c r="C342" t="s">
        <v>5</v>
      </c>
      <c r="D342">
        <v>36</v>
      </c>
      <c r="E342" t="s">
        <v>6</v>
      </c>
      <c r="F342" t="s">
        <v>7</v>
      </c>
      <c r="G342" t="s">
        <v>654</v>
      </c>
      <c r="H342" t="s">
        <v>23</v>
      </c>
      <c r="I342" t="s">
        <v>10</v>
      </c>
      <c r="J342">
        <f>- -63262</f>
        <v>63262</v>
      </c>
      <c r="K342">
        <v>47535</v>
      </c>
      <c r="L342">
        <v>340</v>
      </c>
      <c r="M342" t="s">
        <v>12</v>
      </c>
      <c r="O342">
        <v>519.1</v>
      </c>
      <c r="P342" t="s">
        <v>13</v>
      </c>
      <c r="Q342">
        <v>530.4</v>
      </c>
      <c r="R342" t="s">
        <v>13</v>
      </c>
      <c r="S342">
        <v>526.1</v>
      </c>
      <c r="T342" t="s">
        <v>13</v>
      </c>
      <c r="U342" t="s">
        <v>14</v>
      </c>
      <c r="V342">
        <v>40</v>
      </c>
      <c r="W342">
        <v>42</v>
      </c>
      <c r="X342">
        <v>46.8</v>
      </c>
      <c r="Y342" t="s">
        <v>15</v>
      </c>
      <c r="Z342">
        <v>74</v>
      </c>
      <c r="AA342">
        <v>0</v>
      </c>
      <c r="AB342">
        <v>47.3</v>
      </c>
      <c r="AC342">
        <v>1263701</v>
      </c>
      <c r="AD342">
        <v>295.45</v>
      </c>
      <c r="AE342" t="s">
        <v>16</v>
      </c>
      <c r="AF342">
        <v>183.59</v>
      </c>
      <c r="AG342" t="s">
        <v>17</v>
      </c>
      <c r="AH342" t="s">
        <v>33</v>
      </c>
      <c r="AI342" t="s">
        <v>711</v>
      </c>
    </row>
    <row r="343" spans="2:35" x14ac:dyDescent="0.25">
      <c r="B343" s="2" t="s">
        <v>560</v>
      </c>
      <c r="C343" t="s">
        <v>5</v>
      </c>
      <c r="D343">
        <v>36</v>
      </c>
      <c r="E343" t="s">
        <v>6</v>
      </c>
      <c r="F343" t="s">
        <v>7</v>
      </c>
      <c r="G343" t="s">
        <v>654</v>
      </c>
      <c r="H343" t="s">
        <v>23</v>
      </c>
      <c r="I343" t="s">
        <v>10</v>
      </c>
      <c r="J343">
        <f>- -67711</f>
        <v>67711</v>
      </c>
      <c r="K343">
        <v>47535</v>
      </c>
      <c r="L343">
        <v>415</v>
      </c>
      <c r="M343" t="s">
        <v>12</v>
      </c>
      <c r="O343">
        <v>496</v>
      </c>
      <c r="P343" t="s">
        <v>13</v>
      </c>
      <c r="Q343">
        <v>506</v>
      </c>
      <c r="R343" t="s">
        <v>13</v>
      </c>
      <c r="S343">
        <v>501.7</v>
      </c>
      <c r="T343" t="s">
        <v>13</v>
      </c>
      <c r="U343" t="s">
        <v>14</v>
      </c>
      <c r="V343">
        <v>40</v>
      </c>
      <c r="W343">
        <v>42</v>
      </c>
      <c r="X343">
        <v>46.8</v>
      </c>
      <c r="Y343" t="s">
        <v>15</v>
      </c>
      <c r="Z343">
        <v>74</v>
      </c>
      <c r="AA343">
        <v>0</v>
      </c>
      <c r="AB343">
        <v>47.3</v>
      </c>
      <c r="AC343">
        <v>1263701</v>
      </c>
      <c r="AD343">
        <v>295.45</v>
      </c>
      <c r="AE343" t="s">
        <v>16</v>
      </c>
      <c r="AF343">
        <v>183.59</v>
      </c>
      <c r="AG343" t="s">
        <v>17</v>
      </c>
      <c r="AH343" t="s">
        <v>33</v>
      </c>
      <c r="AI343" t="s">
        <v>711</v>
      </c>
    </row>
    <row r="344" spans="2:35" x14ac:dyDescent="0.25">
      <c r="B344" s="2" t="s">
        <v>561</v>
      </c>
      <c r="C344" t="s">
        <v>5</v>
      </c>
      <c r="D344">
        <v>36</v>
      </c>
      <c r="E344" t="s">
        <v>6</v>
      </c>
      <c r="F344" t="s">
        <v>656</v>
      </c>
      <c r="G344" t="s">
        <v>562</v>
      </c>
      <c r="H344" t="s">
        <v>23</v>
      </c>
      <c r="I344" t="s">
        <v>10</v>
      </c>
      <c r="J344">
        <f>- -68027</f>
        <v>68027</v>
      </c>
      <c r="K344">
        <v>64352</v>
      </c>
      <c r="L344">
        <v>82</v>
      </c>
      <c r="M344" t="s">
        <v>12</v>
      </c>
      <c r="N344" t="s">
        <v>53</v>
      </c>
      <c r="O344">
        <v>452.1</v>
      </c>
      <c r="P344" t="s">
        <v>13</v>
      </c>
      <c r="Q344">
        <v>758.1</v>
      </c>
      <c r="R344" t="s">
        <v>13</v>
      </c>
      <c r="S344">
        <v>275</v>
      </c>
      <c r="T344" t="s">
        <v>13</v>
      </c>
      <c r="U344" t="s">
        <v>14</v>
      </c>
      <c r="V344">
        <v>42</v>
      </c>
      <c r="W344">
        <v>56</v>
      </c>
      <c r="X344">
        <v>42</v>
      </c>
      <c r="Y344" t="s">
        <v>15</v>
      </c>
      <c r="Z344">
        <v>76</v>
      </c>
      <c r="AA344">
        <v>1</v>
      </c>
      <c r="AB344">
        <v>27</v>
      </c>
      <c r="AC344">
        <v>1004101</v>
      </c>
      <c r="AD344">
        <v>396.74</v>
      </c>
      <c r="AE344" t="s">
        <v>16</v>
      </c>
      <c r="AF344">
        <v>246.52</v>
      </c>
      <c r="AG344" t="s">
        <v>17</v>
      </c>
      <c r="AH344" t="s">
        <v>563</v>
      </c>
      <c r="AI344" t="s">
        <v>789</v>
      </c>
    </row>
    <row r="345" spans="2:35" x14ac:dyDescent="0.25">
      <c r="B345" s="2" t="s">
        <v>487</v>
      </c>
      <c r="C345" t="s">
        <v>5</v>
      </c>
      <c r="D345">
        <v>36</v>
      </c>
      <c r="E345" t="s">
        <v>20</v>
      </c>
      <c r="F345" t="s">
        <v>21</v>
      </c>
      <c r="G345" t="s">
        <v>248</v>
      </c>
      <c r="H345" t="s">
        <v>249</v>
      </c>
      <c r="I345" t="s">
        <v>10</v>
      </c>
      <c r="J345" t="s">
        <v>564</v>
      </c>
      <c r="K345">
        <v>73374</v>
      </c>
      <c r="L345">
        <v>0.3</v>
      </c>
      <c r="M345" t="s">
        <v>12</v>
      </c>
      <c r="N345" t="s">
        <v>53</v>
      </c>
      <c r="O345">
        <v>0</v>
      </c>
      <c r="P345" t="s">
        <v>13</v>
      </c>
      <c r="Q345">
        <v>683</v>
      </c>
      <c r="R345" t="s">
        <v>13</v>
      </c>
      <c r="S345">
        <v>21.3</v>
      </c>
      <c r="T345" t="s">
        <v>13</v>
      </c>
      <c r="U345" t="s">
        <v>14</v>
      </c>
      <c r="V345">
        <v>41</v>
      </c>
      <c r="W345">
        <v>37</v>
      </c>
      <c r="X345">
        <v>55.3</v>
      </c>
      <c r="Y345" t="s">
        <v>15</v>
      </c>
      <c r="Z345">
        <v>75</v>
      </c>
      <c r="AA345">
        <v>25</v>
      </c>
      <c r="AB345">
        <v>31.6</v>
      </c>
      <c r="AC345" t="s">
        <v>11</v>
      </c>
      <c r="AD345">
        <v>355.81</v>
      </c>
      <c r="AE345" t="s">
        <v>16</v>
      </c>
      <c r="AF345">
        <v>221.09</v>
      </c>
      <c r="AG345" t="s">
        <v>17</v>
      </c>
      <c r="AH345" t="s">
        <v>250</v>
      </c>
      <c r="AI345" t="s">
        <v>775</v>
      </c>
    </row>
    <row r="346" spans="2:35" x14ac:dyDescent="0.25">
      <c r="B346" s="2" t="s">
        <v>565</v>
      </c>
      <c r="C346" t="s">
        <v>5</v>
      </c>
      <c r="D346">
        <v>36</v>
      </c>
      <c r="E346" t="s">
        <v>20</v>
      </c>
      <c r="F346" t="s">
        <v>7</v>
      </c>
      <c r="G346" t="s">
        <v>27</v>
      </c>
      <c r="H346" t="s">
        <v>28</v>
      </c>
      <c r="I346" t="s">
        <v>10</v>
      </c>
      <c r="J346">
        <f>- -53958</f>
        <v>53958</v>
      </c>
      <c r="K346">
        <v>64996</v>
      </c>
      <c r="L346">
        <v>15</v>
      </c>
      <c r="M346" t="s">
        <v>12</v>
      </c>
      <c r="N346" t="s">
        <v>53</v>
      </c>
      <c r="O346">
        <v>0</v>
      </c>
      <c r="P346" t="s">
        <v>13</v>
      </c>
      <c r="Q346">
        <v>87.4</v>
      </c>
      <c r="R346" t="s">
        <v>13</v>
      </c>
      <c r="S346">
        <v>56.9</v>
      </c>
      <c r="T346" t="s">
        <v>13</v>
      </c>
      <c r="U346" t="s">
        <v>14</v>
      </c>
      <c r="V346">
        <v>41</v>
      </c>
      <c r="W346">
        <v>59</v>
      </c>
      <c r="X346">
        <v>49</v>
      </c>
      <c r="Y346" t="s">
        <v>15</v>
      </c>
      <c r="Z346">
        <v>71</v>
      </c>
      <c r="AA346">
        <v>9</v>
      </c>
      <c r="AB346">
        <v>14</v>
      </c>
      <c r="AC346">
        <v>1049262</v>
      </c>
      <c r="AD346">
        <v>42.61</v>
      </c>
      <c r="AE346" t="s">
        <v>16</v>
      </c>
      <c r="AF346">
        <v>26.48</v>
      </c>
      <c r="AG346" t="s">
        <v>17</v>
      </c>
      <c r="AH346" t="s">
        <v>566</v>
      </c>
      <c r="AI346" t="s">
        <v>790</v>
      </c>
    </row>
    <row r="347" spans="2:35" x14ac:dyDescent="0.25">
      <c r="B347" s="2" t="s">
        <v>567</v>
      </c>
      <c r="C347" t="s">
        <v>5</v>
      </c>
      <c r="D347">
        <v>38</v>
      </c>
      <c r="E347" t="s">
        <v>20</v>
      </c>
      <c r="F347" t="s">
        <v>21</v>
      </c>
      <c r="G347" t="s">
        <v>791</v>
      </c>
      <c r="H347" t="s">
        <v>115</v>
      </c>
      <c r="I347" t="s">
        <v>10</v>
      </c>
      <c r="J347">
        <f>- -67556</f>
        <v>67556</v>
      </c>
      <c r="K347">
        <v>189254</v>
      </c>
      <c r="L347">
        <v>1.2</v>
      </c>
      <c r="M347" t="s">
        <v>12</v>
      </c>
      <c r="N347" t="s">
        <v>53</v>
      </c>
      <c r="O347">
        <v>0</v>
      </c>
      <c r="P347" t="s">
        <v>13</v>
      </c>
      <c r="Q347">
        <v>54</v>
      </c>
      <c r="R347" t="s">
        <v>13</v>
      </c>
      <c r="S347">
        <v>42</v>
      </c>
      <c r="T347" t="s">
        <v>13</v>
      </c>
      <c r="U347" t="s">
        <v>14</v>
      </c>
      <c r="V347">
        <v>41</v>
      </c>
      <c r="W347">
        <v>45</v>
      </c>
      <c r="X347">
        <v>35.299999999999997</v>
      </c>
      <c r="Y347" t="s">
        <v>15</v>
      </c>
      <c r="Z347">
        <v>72</v>
      </c>
      <c r="AA347">
        <v>41</v>
      </c>
      <c r="AB347">
        <v>50.2</v>
      </c>
      <c r="AC347" t="s">
        <v>11</v>
      </c>
      <c r="AD347">
        <v>138.04</v>
      </c>
      <c r="AE347" t="s">
        <v>16</v>
      </c>
      <c r="AF347">
        <v>85.77</v>
      </c>
      <c r="AG347" t="s">
        <v>17</v>
      </c>
      <c r="AH347" t="s">
        <v>568</v>
      </c>
      <c r="AI347" t="s">
        <v>684</v>
      </c>
    </row>
    <row r="348" spans="2:35" x14ac:dyDescent="0.25">
      <c r="B348" s="2" t="s">
        <v>569</v>
      </c>
      <c r="C348" t="s">
        <v>5</v>
      </c>
      <c r="D348">
        <v>38</v>
      </c>
      <c r="E348" t="s">
        <v>20</v>
      </c>
      <c r="F348" t="s">
        <v>656</v>
      </c>
      <c r="G348" t="s">
        <v>8</v>
      </c>
      <c r="H348" t="s">
        <v>9</v>
      </c>
      <c r="I348" t="s">
        <v>10</v>
      </c>
      <c r="J348">
        <f>- -7294</f>
        <v>7294</v>
      </c>
      <c r="K348">
        <v>187897</v>
      </c>
      <c r="L348">
        <v>1</v>
      </c>
      <c r="M348" t="s">
        <v>12</v>
      </c>
      <c r="N348" t="s">
        <v>53</v>
      </c>
      <c r="O348">
        <v>0</v>
      </c>
      <c r="P348" t="s">
        <v>13</v>
      </c>
      <c r="Q348">
        <v>104.3</v>
      </c>
      <c r="R348" t="s">
        <v>13</v>
      </c>
      <c r="S348">
        <v>18</v>
      </c>
      <c r="T348" t="s">
        <v>13</v>
      </c>
      <c r="U348" t="s">
        <v>14</v>
      </c>
      <c r="V348">
        <v>44</v>
      </c>
      <c r="W348">
        <v>52</v>
      </c>
      <c r="X348">
        <v>43.8</v>
      </c>
      <c r="Y348" t="s">
        <v>15</v>
      </c>
      <c r="Z348">
        <v>68</v>
      </c>
      <c r="AA348">
        <v>52</v>
      </c>
      <c r="AB348">
        <v>57.6</v>
      </c>
      <c r="AC348" t="s">
        <v>11</v>
      </c>
      <c r="AD348">
        <v>337.44</v>
      </c>
      <c r="AE348" t="s">
        <v>16</v>
      </c>
      <c r="AF348">
        <v>209.68</v>
      </c>
      <c r="AG348" t="s">
        <v>17</v>
      </c>
      <c r="AH348" t="s">
        <v>203</v>
      </c>
      <c r="AI348" t="s">
        <v>701</v>
      </c>
    </row>
    <row r="349" spans="2:35" x14ac:dyDescent="0.25">
      <c r="B349" s="2" t="s">
        <v>529</v>
      </c>
      <c r="C349" t="s">
        <v>5</v>
      </c>
      <c r="D349">
        <v>38</v>
      </c>
      <c r="E349" t="s">
        <v>20</v>
      </c>
      <c r="F349" t="s">
        <v>21</v>
      </c>
      <c r="G349" t="s">
        <v>530</v>
      </c>
      <c r="H349" t="s">
        <v>41</v>
      </c>
      <c r="I349" t="s">
        <v>10</v>
      </c>
      <c r="J349" t="s">
        <v>570</v>
      </c>
      <c r="K349">
        <v>73358</v>
      </c>
      <c r="L349">
        <v>3</v>
      </c>
      <c r="M349" t="s">
        <v>12</v>
      </c>
      <c r="N349" t="s">
        <v>53</v>
      </c>
      <c r="O349">
        <v>0</v>
      </c>
      <c r="P349" t="s">
        <v>13</v>
      </c>
      <c r="Q349">
        <v>1105</v>
      </c>
      <c r="R349" t="s">
        <v>13</v>
      </c>
      <c r="S349">
        <v>57</v>
      </c>
      <c r="T349" t="s">
        <v>13</v>
      </c>
      <c r="U349" t="s">
        <v>14</v>
      </c>
      <c r="V349">
        <v>42</v>
      </c>
      <c r="W349">
        <v>38</v>
      </c>
      <c r="X349">
        <v>14</v>
      </c>
      <c r="Y349" t="s">
        <v>15</v>
      </c>
      <c r="Z349">
        <v>73</v>
      </c>
      <c r="AA349">
        <v>10</v>
      </c>
      <c r="AB349">
        <v>6</v>
      </c>
      <c r="AC349">
        <v>1035419</v>
      </c>
      <c r="AD349">
        <v>160.56</v>
      </c>
      <c r="AE349" t="s">
        <v>16</v>
      </c>
      <c r="AF349">
        <v>99.76</v>
      </c>
      <c r="AG349" t="s">
        <v>17</v>
      </c>
      <c r="AH349" t="s">
        <v>531</v>
      </c>
      <c r="AI349" t="s">
        <v>672</v>
      </c>
    </row>
    <row r="350" spans="2:35" x14ac:dyDescent="0.25">
      <c r="B350" s="2" t="s">
        <v>362</v>
      </c>
      <c r="C350" t="s">
        <v>5</v>
      </c>
      <c r="D350">
        <v>38</v>
      </c>
      <c r="E350" t="s">
        <v>34</v>
      </c>
      <c r="F350" t="s">
        <v>7</v>
      </c>
      <c r="G350" t="s">
        <v>326</v>
      </c>
      <c r="H350" t="s">
        <v>45</v>
      </c>
      <c r="I350" t="s">
        <v>10</v>
      </c>
      <c r="J350">
        <f>- -43957</f>
        <v>43957</v>
      </c>
      <c r="K350">
        <v>73294</v>
      </c>
      <c r="L350">
        <v>5.85</v>
      </c>
      <c r="M350" t="s">
        <v>12</v>
      </c>
      <c r="N350" t="s">
        <v>53</v>
      </c>
      <c r="O350">
        <v>0</v>
      </c>
      <c r="P350" t="s">
        <v>13</v>
      </c>
      <c r="Q350">
        <v>1269</v>
      </c>
      <c r="R350" t="s">
        <v>13</v>
      </c>
      <c r="S350">
        <v>24</v>
      </c>
      <c r="T350" t="s">
        <v>13</v>
      </c>
      <c r="U350" t="s">
        <v>14</v>
      </c>
      <c r="V350">
        <v>44</v>
      </c>
      <c r="W350">
        <v>9</v>
      </c>
      <c r="X350">
        <v>24.2</v>
      </c>
      <c r="Y350" t="s">
        <v>15</v>
      </c>
      <c r="Z350">
        <v>71</v>
      </c>
      <c r="AA350">
        <v>41</v>
      </c>
      <c r="AB350">
        <v>55.3</v>
      </c>
      <c r="AC350" t="s">
        <v>11</v>
      </c>
      <c r="AD350">
        <v>201.39</v>
      </c>
      <c r="AE350" t="s">
        <v>16</v>
      </c>
      <c r="AF350">
        <v>125.14</v>
      </c>
      <c r="AG350" t="s">
        <v>17</v>
      </c>
      <c r="AH350" t="s">
        <v>447</v>
      </c>
      <c r="AI350" t="s">
        <v>682</v>
      </c>
    </row>
    <row r="351" spans="2:35" x14ac:dyDescent="0.25">
      <c r="B351" s="2" t="s">
        <v>362</v>
      </c>
      <c r="C351" t="s">
        <v>5</v>
      </c>
      <c r="D351">
        <v>38</v>
      </c>
      <c r="E351" t="s">
        <v>34</v>
      </c>
      <c r="F351" t="s">
        <v>7</v>
      </c>
      <c r="G351" t="s">
        <v>326</v>
      </c>
      <c r="H351" t="s">
        <v>45</v>
      </c>
      <c r="I351" t="s">
        <v>10</v>
      </c>
      <c r="J351">
        <f>- -59075</f>
        <v>59075</v>
      </c>
      <c r="K351">
        <v>73294</v>
      </c>
      <c r="L351">
        <v>5.85</v>
      </c>
      <c r="M351" t="s">
        <v>12</v>
      </c>
      <c r="N351" t="s">
        <v>53</v>
      </c>
      <c r="O351">
        <v>0</v>
      </c>
      <c r="P351" t="s">
        <v>13</v>
      </c>
      <c r="Q351">
        <v>1269</v>
      </c>
      <c r="R351" t="s">
        <v>13</v>
      </c>
      <c r="S351">
        <v>24</v>
      </c>
      <c r="T351" t="s">
        <v>13</v>
      </c>
      <c r="U351" t="s">
        <v>14</v>
      </c>
      <c r="V351">
        <v>44</v>
      </c>
      <c r="W351">
        <v>9</v>
      </c>
      <c r="X351">
        <v>24.2</v>
      </c>
      <c r="Y351" t="s">
        <v>15</v>
      </c>
      <c r="Z351">
        <v>71</v>
      </c>
      <c r="AA351">
        <v>41</v>
      </c>
      <c r="AB351">
        <v>55.3</v>
      </c>
      <c r="AC351" t="s">
        <v>11</v>
      </c>
      <c r="AD351">
        <v>201.39</v>
      </c>
      <c r="AE351" t="s">
        <v>16</v>
      </c>
      <c r="AF351">
        <v>125.14</v>
      </c>
      <c r="AG351" t="s">
        <v>17</v>
      </c>
      <c r="AH351" t="s">
        <v>447</v>
      </c>
      <c r="AI351" t="s">
        <v>682</v>
      </c>
    </row>
    <row r="352" spans="2:35" x14ac:dyDescent="0.25">
      <c r="B352" s="2" t="s">
        <v>343</v>
      </c>
      <c r="C352" t="s">
        <v>5</v>
      </c>
      <c r="D352">
        <v>38</v>
      </c>
      <c r="E352" t="s">
        <v>34</v>
      </c>
      <c r="F352" t="s">
        <v>21</v>
      </c>
      <c r="G352" t="s">
        <v>344</v>
      </c>
      <c r="H352" t="s">
        <v>23</v>
      </c>
      <c r="I352" t="s">
        <v>10</v>
      </c>
      <c r="J352" t="s">
        <v>571</v>
      </c>
      <c r="K352">
        <v>6762</v>
      </c>
      <c r="L352">
        <v>8.5</v>
      </c>
      <c r="M352" t="s">
        <v>12</v>
      </c>
      <c r="N352" t="s">
        <v>53</v>
      </c>
      <c r="O352">
        <v>0</v>
      </c>
      <c r="P352" t="s">
        <v>13</v>
      </c>
      <c r="Q352">
        <v>366</v>
      </c>
      <c r="R352" t="s">
        <v>13</v>
      </c>
      <c r="S352">
        <v>76</v>
      </c>
      <c r="T352" t="s">
        <v>13</v>
      </c>
      <c r="U352" t="s">
        <v>14</v>
      </c>
      <c r="V352">
        <v>42</v>
      </c>
      <c r="W352">
        <v>47</v>
      </c>
      <c r="X352">
        <v>9</v>
      </c>
      <c r="Y352" t="s">
        <v>15</v>
      </c>
      <c r="Z352">
        <v>73</v>
      </c>
      <c r="AA352">
        <v>37</v>
      </c>
      <c r="AB352">
        <v>41</v>
      </c>
      <c r="AC352">
        <v>1004249</v>
      </c>
      <c r="AD352">
        <v>200.71</v>
      </c>
      <c r="AE352" t="s">
        <v>16</v>
      </c>
      <c r="AF352">
        <v>124.71</v>
      </c>
      <c r="AG352" t="s">
        <v>17</v>
      </c>
      <c r="AH352" t="s">
        <v>370</v>
      </c>
      <c r="AI352" t="s">
        <v>734</v>
      </c>
    </row>
    <row r="353" spans="2:35" x14ac:dyDescent="0.25">
      <c r="B353" s="2" t="s">
        <v>558</v>
      </c>
      <c r="C353" t="s">
        <v>5</v>
      </c>
      <c r="D353">
        <v>38</v>
      </c>
      <c r="E353" t="s">
        <v>96</v>
      </c>
      <c r="F353" t="s">
        <v>21</v>
      </c>
      <c r="G353" t="s">
        <v>195</v>
      </c>
      <c r="H353" t="s">
        <v>23</v>
      </c>
      <c r="I353" t="s">
        <v>10</v>
      </c>
      <c r="J353" t="s">
        <v>572</v>
      </c>
      <c r="K353">
        <v>46755</v>
      </c>
      <c r="L353">
        <v>28.24</v>
      </c>
      <c r="M353" t="s">
        <v>12</v>
      </c>
      <c r="N353" t="s">
        <v>53</v>
      </c>
      <c r="O353">
        <v>725.7</v>
      </c>
      <c r="P353" t="s">
        <v>13</v>
      </c>
      <c r="Q353">
        <v>1226.7</v>
      </c>
      <c r="R353" t="s">
        <v>13</v>
      </c>
      <c r="S353">
        <v>113.7</v>
      </c>
      <c r="T353" t="s">
        <v>13</v>
      </c>
      <c r="U353" t="s">
        <v>14</v>
      </c>
      <c r="V353">
        <v>44</v>
      </c>
      <c r="W353">
        <v>41</v>
      </c>
      <c r="X353">
        <v>43</v>
      </c>
      <c r="Y353" t="s">
        <v>15</v>
      </c>
      <c r="Z353">
        <v>73</v>
      </c>
      <c r="AA353">
        <v>52</v>
      </c>
      <c r="AB353">
        <v>59</v>
      </c>
      <c r="AC353">
        <v>1003308</v>
      </c>
      <c r="AD353">
        <v>334.49</v>
      </c>
      <c r="AE353" t="s">
        <v>16</v>
      </c>
      <c r="AF353">
        <v>207.84</v>
      </c>
      <c r="AG353" t="s">
        <v>17</v>
      </c>
      <c r="AH353" t="s">
        <v>559</v>
      </c>
      <c r="AI353" t="s">
        <v>788</v>
      </c>
    </row>
    <row r="354" spans="2:35" x14ac:dyDescent="0.25">
      <c r="B354" s="2" t="s">
        <v>558</v>
      </c>
      <c r="C354" t="s">
        <v>5</v>
      </c>
      <c r="D354">
        <v>38</v>
      </c>
      <c r="E354" t="s">
        <v>6</v>
      </c>
      <c r="F354" t="s">
        <v>7</v>
      </c>
      <c r="G354" t="s">
        <v>195</v>
      </c>
      <c r="H354" t="s">
        <v>23</v>
      </c>
      <c r="I354" t="s">
        <v>10</v>
      </c>
      <c r="J354">
        <f>- -4799</f>
        <v>4799</v>
      </c>
      <c r="K354">
        <v>46755</v>
      </c>
      <c r="L354">
        <v>55</v>
      </c>
      <c r="M354" t="s">
        <v>12</v>
      </c>
      <c r="N354" t="s">
        <v>53</v>
      </c>
      <c r="O354">
        <v>737</v>
      </c>
      <c r="P354" t="s">
        <v>13</v>
      </c>
      <c r="Q354">
        <v>1237.5</v>
      </c>
      <c r="R354" t="s">
        <v>13</v>
      </c>
      <c r="S354">
        <v>125</v>
      </c>
      <c r="T354" t="s">
        <v>13</v>
      </c>
      <c r="U354" t="s">
        <v>14</v>
      </c>
      <c r="V354">
        <v>44</v>
      </c>
      <c r="W354">
        <v>41</v>
      </c>
      <c r="X354">
        <v>43</v>
      </c>
      <c r="Y354" t="s">
        <v>15</v>
      </c>
      <c r="Z354">
        <v>73</v>
      </c>
      <c r="AA354">
        <v>52</v>
      </c>
      <c r="AB354">
        <v>59</v>
      </c>
      <c r="AC354">
        <v>1003308</v>
      </c>
      <c r="AD354">
        <v>334.49</v>
      </c>
      <c r="AE354" t="s">
        <v>16</v>
      </c>
      <c r="AF354">
        <v>207.84</v>
      </c>
      <c r="AG354" t="s">
        <v>17</v>
      </c>
      <c r="AH354" t="s">
        <v>559</v>
      </c>
      <c r="AI354" t="s">
        <v>788</v>
      </c>
    </row>
    <row r="355" spans="2:35" x14ac:dyDescent="0.25">
      <c r="B355" s="2" t="s">
        <v>11</v>
      </c>
      <c r="C355" t="s">
        <v>5</v>
      </c>
      <c r="D355">
        <v>39</v>
      </c>
      <c r="E355" t="s">
        <v>20</v>
      </c>
      <c r="F355" t="s">
        <v>7</v>
      </c>
      <c r="G355" t="s">
        <v>573</v>
      </c>
      <c r="H355" t="s">
        <v>45</v>
      </c>
      <c r="I355" t="s">
        <v>10</v>
      </c>
      <c r="J355">
        <f>- -13926</f>
        <v>13926</v>
      </c>
      <c r="K355">
        <v>703521</v>
      </c>
      <c r="L355">
        <v>0.1</v>
      </c>
      <c r="M355" t="s">
        <v>12</v>
      </c>
      <c r="O355">
        <v>0</v>
      </c>
      <c r="P355" t="s">
        <v>13</v>
      </c>
      <c r="Q355">
        <v>166</v>
      </c>
      <c r="R355" t="s">
        <v>13</v>
      </c>
      <c r="S355">
        <v>20</v>
      </c>
      <c r="T355" t="s">
        <v>13</v>
      </c>
      <c r="U355" t="s">
        <v>14</v>
      </c>
      <c r="V355">
        <v>43</v>
      </c>
      <c r="W355">
        <v>21</v>
      </c>
      <c r="X355">
        <v>46</v>
      </c>
      <c r="Y355" t="s">
        <v>15</v>
      </c>
      <c r="Z355">
        <v>71</v>
      </c>
      <c r="AA355">
        <v>27</v>
      </c>
      <c r="AB355">
        <v>42</v>
      </c>
      <c r="AC355" t="s">
        <v>11</v>
      </c>
      <c r="AD355">
        <v>111.2</v>
      </c>
      <c r="AE355" t="s">
        <v>16</v>
      </c>
      <c r="AF355">
        <v>69.099999999999994</v>
      </c>
      <c r="AG355" t="s">
        <v>17</v>
      </c>
      <c r="AH355" t="s">
        <v>574</v>
      </c>
      <c r="AI355" t="s">
        <v>11</v>
      </c>
    </row>
    <row r="356" spans="2:35" x14ac:dyDescent="0.25">
      <c r="B356" s="2" t="s">
        <v>399</v>
      </c>
      <c r="C356" t="s">
        <v>5</v>
      </c>
      <c r="D356">
        <v>39</v>
      </c>
      <c r="E356" t="s">
        <v>20</v>
      </c>
      <c r="F356" t="s">
        <v>7</v>
      </c>
      <c r="G356" t="s">
        <v>752</v>
      </c>
      <c r="H356" t="s">
        <v>23</v>
      </c>
      <c r="I356" t="s">
        <v>10</v>
      </c>
      <c r="J356" t="s">
        <v>575</v>
      </c>
      <c r="K356">
        <v>31642</v>
      </c>
      <c r="L356">
        <v>3.28</v>
      </c>
      <c r="M356" t="s">
        <v>12</v>
      </c>
      <c r="O356">
        <v>0</v>
      </c>
      <c r="P356" t="s">
        <v>13</v>
      </c>
      <c r="Q356">
        <v>431.9</v>
      </c>
      <c r="R356" t="s">
        <v>13</v>
      </c>
      <c r="S356">
        <v>29.6</v>
      </c>
      <c r="T356" t="s">
        <v>13</v>
      </c>
      <c r="U356" t="s">
        <v>14</v>
      </c>
      <c r="V356">
        <v>41</v>
      </c>
      <c r="W356">
        <v>41</v>
      </c>
      <c r="X356">
        <v>17.3</v>
      </c>
      <c r="Y356" t="s">
        <v>15</v>
      </c>
      <c r="Z356">
        <v>74</v>
      </c>
      <c r="AA356">
        <v>50</v>
      </c>
      <c r="AB356">
        <v>2.5</v>
      </c>
      <c r="AC356" t="s">
        <v>11</v>
      </c>
      <c r="AD356">
        <v>306.62</v>
      </c>
      <c r="AE356" t="s">
        <v>16</v>
      </c>
      <c r="AF356">
        <v>190.53</v>
      </c>
      <c r="AG356" t="s">
        <v>17</v>
      </c>
      <c r="AH356" t="s">
        <v>576</v>
      </c>
      <c r="AI356" t="s">
        <v>723</v>
      </c>
    </row>
    <row r="357" spans="2:35" x14ac:dyDescent="0.25">
      <c r="B357" s="2" t="s">
        <v>456</v>
      </c>
      <c r="C357" t="s">
        <v>5</v>
      </c>
      <c r="D357">
        <v>39</v>
      </c>
      <c r="E357" t="s">
        <v>20</v>
      </c>
      <c r="F357" t="s">
        <v>7</v>
      </c>
      <c r="G357" t="s">
        <v>654</v>
      </c>
      <c r="H357" t="s">
        <v>23</v>
      </c>
      <c r="I357" t="s">
        <v>10</v>
      </c>
      <c r="J357" t="s">
        <v>577</v>
      </c>
      <c r="K357">
        <v>74305</v>
      </c>
      <c r="L357">
        <v>15</v>
      </c>
      <c r="M357" t="s">
        <v>12</v>
      </c>
      <c r="N357" t="s">
        <v>53</v>
      </c>
      <c r="O357">
        <v>0</v>
      </c>
      <c r="P357" t="s">
        <v>13</v>
      </c>
      <c r="Q357">
        <v>241</v>
      </c>
      <c r="R357" t="s">
        <v>13</v>
      </c>
      <c r="S357">
        <v>216</v>
      </c>
      <c r="T357" t="s">
        <v>13</v>
      </c>
      <c r="U357" t="s">
        <v>14</v>
      </c>
      <c r="V357">
        <v>40</v>
      </c>
      <c r="W357">
        <v>46</v>
      </c>
      <c r="X357">
        <v>2.2999999999999998</v>
      </c>
      <c r="Y357" t="s">
        <v>15</v>
      </c>
      <c r="Z357">
        <v>73</v>
      </c>
      <c r="AA357">
        <v>57</v>
      </c>
      <c r="AB357">
        <v>40.4</v>
      </c>
      <c r="AC357" t="s">
        <v>11</v>
      </c>
      <c r="AD357">
        <v>288.24</v>
      </c>
      <c r="AE357" t="s">
        <v>16</v>
      </c>
      <c r="AF357">
        <v>179.1</v>
      </c>
      <c r="AG357" t="s">
        <v>17</v>
      </c>
      <c r="AH357" t="s">
        <v>457</v>
      </c>
      <c r="AI357" t="s">
        <v>765</v>
      </c>
    </row>
    <row r="358" spans="2:35" x14ac:dyDescent="0.25">
      <c r="B358" s="2" t="s">
        <v>70</v>
      </c>
      <c r="C358" t="s">
        <v>5</v>
      </c>
      <c r="D358">
        <v>39</v>
      </c>
      <c r="E358" t="s">
        <v>20</v>
      </c>
      <c r="F358" t="s">
        <v>21</v>
      </c>
      <c r="G358" t="s">
        <v>71</v>
      </c>
      <c r="H358" t="s">
        <v>23</v>
      </c>
      <c r="I358" t="s">
        <v>10</v>
      </c>
      <c r="J358">
        <f>- -1536</f>
        <v>1536</v>
      </c>
      <c r="K358">
        <v>73942</v>
      </c>
      <c r="L358">
        <v>15</v>
      </c>
      <c r="M358" t="s">
        <v>12</v>
      </c>
      <c r="O358">
        <v>0</v>
      </c>
      <c r="P358" t="s">
        <v>13</v>
      </c>
      <c r="Q358">
        <v>462.3</v>
      </c>
      <c r="R358" t="s">
        <v>13</v>
      </c>
      <c r="S358">
        <v>60</v>
      </c>
      <c r="T358" t="s">
        <v>13</v>
      </c>
      <c r="U358" t="s">
        <v>14</v>
      </c>
      <c r="V358">
        <v>43</v>
      </c>
      <c r="W358">
        <v>18</v>
      </c>
      <c r="X358">
        <v>17</v>
      </c>
      <c r="Y358" t="s">
        <v>15</v>
      </c>
      <c r="Z358">
        <v>73</v>
      </c>
      <c r="AA358">
        <v>45</v>
      </c>
      <c r="AB358">
        <v>5</v>
      </c>
      <c r="AC358">
        <v>1200269</v>
      </c>
      <c r="AD358">
        <v>229.32</v>
      </c>
      <c r="AE358" t="s">
        <v>16</v>
      </c>
      <c r="AF358">
        <v>142.49</v>
      </c>
      <c r="AG358" t="s">
        <v>17</v>
      </c>
      <c r="AH358" t="s">
        <v>208</v>
      </c>
      <c r="AI358" t="s">
        <v>670</v>
      </c>
    </row>
    <row r="359" spans="2:35" x14ac:dyDescent="0.25">
      <c r="B359" s="2" t="s">
        <v>456</v>
      </c>
      <c r="C359" t="s">
        <v>5</v>
      </c>
      <c r="D359">
        <v>39</v>
      </c>
      <c r="E359" t="s">
        <v>20</v>
      </c>
      <c r="F359" t="s">
        <v>21</v>
      </c>
      <c r="G359" t="s">
        <v>654</v>
      </c>
      <c r="H359" t="s">
        <v>23</v>
      </c>
      <c r="I359" t="s">
        <v>10</v>
      </c>
      <c r="J359">
        <f>- -10660</f>
        <v>10660</v>
      </c>
      <c r="K359">
        <v>74305</v>
      </c>
      <c r="L359">
        <v>15</v>
      </c>
      <c r="M359" t="s">
        <v>12</v>
      </c>
      <c r="N359" t="s">
        <v>53</v>
      </c>
      <c r="O359">
        <v>0</v>
      </c>
      <c r="P359" t="s">
        <v>13</v>
      </c>
      <c r="Q359">
        <v>241</v>
      </c>
      <c r="R359" t="s">
        <v>13</v>
      </c>
      <c r="S359">
        <v>216</v>
      </c>
      <c r="T359" t="s">
        <v>13</v>
      </c>
      <c r="U359" t="s">
        <v>14</v>
      </c>
      <c r="V359">
        <v>40</v>
      </c>
      <c r="W359">
        <v>46</v>
      </c>
      <c r="X359">
        <v>2.2999999999999998</v>
      </c>
      <c r="Y359" t="s">
        <v>15</v>
      </c>
      <c r="Z359">
        <v>73</v>
      </c>
      <c r="AA359">
        <v>57</v>
      </c>
      <c r="AB359">
        <v>40.4</v>
      </c>
      <c r="AC359" t="s">
        <v>11</v>
      </c>
      <c r="AD359">
        <v>288.24</v>
      </c>
      <c r="AE359" t="s">
        <v>16</v>
      </c>
      <c r="AF359">
        <v>179.1</v>
      </c>
      <c r="AG359" t="s">
        <v>17</v>
      </c>
      <c r="AH359" t="s">
        <v>457</v>
      </c>
      <c r="AI359" t="s">
        <v>765</v>
      </c>
    </row>
    <row r="360" spans="2:35" x14ac:dyDescent="0.25">
      <c r="B360" s="2" t="s">
        <v>399</v>
      </c>
      <c r="C360" t="s">
        <v>5</v>
      </c>
      <c r="D360">
        <v>39</v>
      </c>
      <c r="E360" t="s">
        <v>20</v>
      </c>
      <c r="F360" t="s">
        <v>21</v>
      </c>
      <c r="G360" t="s">
        <v>752</v>
      </c>
      <c r="H360" t="s">
        <v>23</v>
      </c>
      <c r="I360" t="s">
        <v>10</v>
      </c>
      <c r="J360">
        <f>- -10675</f>
        <v>10675</v>
      </c>
      <c r="K360">
        <v>31642</v>
      </c>
      <c r="L360">
        <v>0.5</v>
      </c>
      <c r="M360" t="s">
        <v>12</v>
      </c>
      <c r="N360" t="s">
        <v>53</v>
      </c>
      <c r="O360">
        <v>0</v>
      </c>
      <c r="P360" t="s">
        <v>13</v>
      </c>
      <c r="Q360">
        <v>417.3</v>
      </c>
      <c r="R360" t="s">
        <v>13</v>
      </c>
      <c r="S360">
        <v>15</v>
      </c>
      <c r="T360" t="s">
        <v>13</v>
      </c>
      <c r="U360" t="s">
        <v>14</v>
      </c>
      <c r="V360">
        <v>41</v>
      </c>
      <c r="W360">
        <v>41</v>
      </c>
      <c r="X360">
        <v>17</v>
      </c>
      <c r="Y360" t="s">
        <v>15</v>
      </c>
      <c r="Z360">
        <v>74</v>
      </c>
      <c r="AA360">
        <v>50</v>
      </c>
      <c r="AB360">
        <v>4</v>
      </c>
      <c r="AC360" t="s">
        <v>11</v>
      </c>
      <c r="AD360">
        <v>306.66000000000003</v>
      </c>
      <c r="AE360" t="s">
        <v>16</v>
      </c>
      <c r="AF360">
        <v>190.55</v>
      </c>
      <c r="AG360" t="s">
        <v>17</v>
      </c>
      <c r="AH360" t="s">
        <v>576</v>
      </c>
      <c r="AI360" t="s">
        <v>723</v>
      </c>
    </row>
    <row r="361" spans="2:35" x14ac:dyDescent="0.25">
      <c r="B361" s="2" t="s">
        <v>22</v>
      </c>
      <c r="C361" t="s">
        <v>5</v>
      </c>
      <c r="D361">
        <v>40</v>
      </c>
      <c r="E361" t="s">
        <v>20</v>
      </c>
      <c r="F361" t="s">
        <v>74</v>
      </c>
      <c r="G361" t="s">
        <v>8</v>
      </c>
      <c r="H361" t="s">
        <v>9</v>
      </c>
      <c r="I361" t="s">
        <v>10</v>
      </c>
      <c r="J361" t="s">
        <v>578</v>
      </c>
      <c r="K361">
        <v>187898</v>
      </c>
      <c r="L361">
        <v>10</v>
      </c>
      <c r="M361" t="s">
        <v>12</v>
      </c>
      <c r="N361" t="s">
        <v>53</v>
      </c>
      <c r="O361">
        <v>0</v>
      </c>
      <c r="P361" t="s">
        <v>13</v>
      </c>
      <c r="Q361">
        <v>172</v>
      </c>
      <c r="R361" t="s">
        <v>13</v>
      </c>
      <c r="S361">
        <v>80</v>
      </c>
      <c r="T361" t="s">
        <v>13</v>
      </c>
      <c r="U361" t="s">
        <v>14</v>
      </c>
      <c r="V361">
        <v>44</v>
      </c>
      <c r="W361">
        <v>51</v>
      </c>
      <c r="X361">
        <v>9</v>
      </c>
      <c r="Y361" t="s">
        <v>15</v>
      </c>
      <c r="Z361">
        <v>68</v>
      </c>
      <c r="AA361">
        <v>47</v>
      </c>
      <c r="AB361">
        <v>4</v>
      </c>
      <c r="AC361">
        <v>1019886</v>
      </c>
      <c r="AD361">
        <v>339.64</v>
      </c>
      <c r="AE361" t="s">
        <v>16</v>
      </c>
      <c r="AF361">
        <v>211.04</v>
      </c>
      <c r="AG361" t="s">
        <v>17</v>
      </c>
      <c r="AH361" t="s">
        <v>201</v>
      </c>
      <c r="AI361" t="s">
        <v>726</v>
      </c>
    </row>
    <row r="362" spans="2:35" x14ac:dyDescent="0.25">
      <c r="B362" s="2" t="s">
        <v>493</v>
      </c>
      <c r="C362" t="s">
        <v>5</v>
      </c>
      <c r="D362">
        <v>40</v>
      </c>
      <c r="E362" t="s">
        <v>6</v>
      </c>
      <c r="F362" t="s">
        <v>21</v>
      </c>
      <c r="G362" t="s">
        <v>792</v>
      </c>
      <c r="H362" t="s">
        <v>41</v>
      </c>
      <c r="I362" t="s">
        <v>10</v>
      </c>
      <c r="J362" t="s">
        <v>579</v>
      </c>
      <c r="K362">
        <v>6476</v>
      </c>
      <c r="L362">
        <v>500</v>
      </c>
      <c r="M362" t="s">
        <v>12</v>
      </c>
      <c r="N362" t="s">
        <v>53</v>
      </c>
      <c r="O362">
        <v>153</v>
      </c>
      <c r="P362" t="s">
        <v>13</v>
      </c>
      <c r="Q362">
        <v>161.5</v>
      </c>
      <c r="R362" t="s">
        <v>13</v>
      </c>
      <c r="S362">
        <v>123.1</v>
      </c>
      <c r="T362" t="s">
        <v>13</v>
      </c>
      <c r="U362" t="s">
        <v>14</v>
      </c>
      <c r="V362">
        <v>41</v>
      </c>
      <c r="W362">
        <v>41</v>
      </c>
      <c r="X362">
        <v>20.100000000000001</v>
      </c>
      <c r="Y362" t="s">
        <v>15</v>
      </c>
      <c r="Z362">
        <v>70</v>
      </c>
      <c r="AA362">
        <v>20</v>
      </c>
      <c r="AB362">
        <v>47.1</v>
      </c>
      <c r="AC362">
        <v>1231034</v>
      </c>
      <c r="AD362">
        <v>106.6</v>
      </c>
      <c r="AE362" t="s">
        <v>16</v>
      </c>
      <c r="AF362">
        <v>66.239999999999995</v>
      </c>
      <c r="AG362" t="s">
        <v>17</v>
      </c>
      <c r="AH362" t="s">
        <v>580</v>
      </c>
      <c r="AI362" t="s">
        <v>725</v>
      </c>
    </row>
    <row r="363" spans="2:35" x14ac:dyDescent="0.25">
      <c r="B363" s="2" t="s">
        <v>383</v>
      </c>
      <c r="C363" t="s">
        <v>5</v>
      </c>
      <c r="D363">
        <v>40</v>
      </c>
      <c r="E363" t="s">
        <v>20</v>
      </c>
      <c r="F363" t="s">
        <v>21</v>
      </c>
      <c r="G363" t="s">
        <v>40</v>
      </c>
      <c r="H363" t="s">
        <v>41</v>
      </c>
      <c r="I363" t="s">
        <v>10</v>
      </c>
      <c r="J363">
        <f>- -52878</f>
        <v>52878</v>
      </c>
      <c r="K363">
        <v>55114</v>
      </c>
      <c r="L363">
        <v>3.5</v>
      </c>
      <c r="M363" t="s">
        <v>12</v>
      </c>
      <c r="N363" t="s">
        <v>53</v>
      </c>
      <c r="O363">
        <v>0</v>
      </c>
      <c r="P363" t="s">
        <v>13</v>
      </c>
      <c r="Q363">
        <v>290.7</v>
      </c>
      <c r="R363" t="s">
        <v>13</v>
      </c>
      <c r="S363">
        <v>262.10000000000002</v>
      </c>
      <c r="T363" t="s">
        <v>13</v>
      </c>
      <c r="U363" t="s">
        <v>14</v>
      </c>
      <c r="V363">
        <v>42</v>
      </c>
      <c r="W363">
        <v>18</v>
      </c>
      <c r="X363">
        <v>27.8</v>
      </c>
      <c r="Y363" t="s">
        <v>15</v>
      </c>
      <c r="Z363">
        <v>71</v>
      </c>
      <c r="AA363">
        <v>13</v>
      </c>
      <c r="AB363">
        <v>24.9</v>
      </c>
      <c r="AC363">
        <v>1004623</v>
      </c>
      <c r="AD363">
        <v>7.64</v>
      </c>
      <c r="AE363" t="s">
        <v>16</v>
      </c>
      <c r="AF363">
        <v>4.75</v>
      </c>
      <c r="AG363" t="s">
        <v>17</v>
      </c>
      <c r="AH363" t="s">
        <v>238</v>
      </c>
      <c r="AI363" t="s">
        <v>667</v>
      </c>
    </row>
    <row r="364" spans="2:35" x14ac:dyDescent="0.25">
      <c r="B364" s="2" t="s">
        <v>473</v>
      </c>
      <c r="C364" t="s">
        <v>5</v>
      </c>
      <c r="D364">
        <v>40</v>
      </c>
      <c r="E364" t="s">
        <v>6</v>
      </c>
      <c r="F364" t="s">
        <v>21</v>
      </c>
      <c r="G364" t="s">
        <v>309</v>
      </c>
      <c r="H364" t="s">
        <v>31</v>
      </c>
      <c r="I364" t="s">
        <v>10</v>
      </c>
      <c r="J364" t="s">
        <v>581</v>
      </c>
      <c r="K364">
        <v>74215</v>
      </c>
      <c r="L364">
        <v>300</v>
      </c>
      <c r="M364" t="s">
        <v>12</v>
      </c>
      <c r="N364" t="s">
        <v>53</v>
      </c>
      <c r="O364">
        <v>421</v>
      </c>
      <c r="P364" t="s">
        <v>13</v>
      </c>
      <c r="Q364">
        <v>437</v>
      </c>
      <c r="R364" t="s">
        <v>13</v>
      </c>
      <c r="S364">
        <v>422</v>
      </c>
      <c r="T364" t="s">
        <v>13</v>
      </c>
      <c r="U364" t="s">
        <v>14</v>
      </c>
      <c r="V364">
        <v>40</v>
      </c>
      <c r="W364">
        <v>44</v>
      </c>
      <c r="X364">
        <v>54</v>
      </c>
      <c r="Y364" t="s">
        <v>15</v>
      </c>
      <c r="Z364">
        <v>73</v>
      </c>
      <c r="AA364">
        <v>59</v>
      </c>
      <c r="AB364">
        <v>9</v>
      </c>
      <c r="AC364">
        <v>1007048</v>
      </c>
      <c r="AD364">
        <v>291.18</v>
      </c>
      <c r="AE364" t="s">
        <v>16</v>
      </c>
      <c r="AF364">
        <v>180.93</v>
      </c>
      <c r="AG364" t="s">
        <v>17</v>
      </c>
      <c r="AH364" t="s">
        <v>50</v>
      </c>
      <c r="AI364" t="s">
        <v>770</v>
      </c>
    </row>
    <row r="365" spans="2:35" x14ac:dyDescent="0.25">
      <c r="B365" s="2" t="s">
        <v>473</v>
      </c>
      <c r="C365" t="s">
        <v>5</v>
      </c>
      <c r="D365">
        <v>40</v>
      </c>
      <c r="E365" t="s">
        <v>96</v>
      </c>
      <c r="F365" t="s">
        <v>21</v>
      </c>
      <c r="G365" t="s">
        <v>309</v>
      </c>
      <c r="H365" t="s">
        <v>31</v>
      </c>
      <c r="I365" t="s">
        <v>10</v>
      </c>
      <c r="J365" t="s">
        <v>582</v>
      </c>
      <c r="K365">
        <v>74215</v>
      </c>
      <c r="L365">
        <v>200</v>
      </c>
      <c r="M365" t="s">
        <v>12</v>
      </c>
      <c r="N365" t="s">
        <v>53</v>
      </c>
      <c r="O365">
        <v>321</v>
      </c>
      <c r="P365" t="s">
        <v>13</v>
      </c>
      <c r="Q365">
        <v>336.2</v>
      </c>
      <c r="R365" t="s">
        <v>13</v>
      </c>
      <c r="S365">
        <v>321</v>
      </c>
      <c r="T365" t="s">
        <v>13</v>
      </c>
      <c r="U365" t="s">
        <v>14</v>
      </c>
      <c r="V365">
        <v>40</v>
      </c>
      <c r="W365">
        <v>45</v>
      </c>
      <c r="X365">
        <v>22.4</v>
      </c>
      <c r="Y365" t="s">
        <v>15</v>
      </c>
      <c r="Z365">
        <v>73</v>
      </c>
      <c r="AA365">
        <v>59</v>
      </c>
      <c r="AB365">
        <v>10.5</v>
      </c>
      <c r="AC365">
        <v>1238745</v>
      </c>
      <c r="AD365">
        <v>290.64999999999998</v>
      </c>
      <c r="AE365" t="s">
        <v>16</v>
      </c>
      <c r="AF365">
        <v>180.6</v>
      </c>
      <c r="AG365" t="s">
        <v>17</v>
      </c>
      <c r="AH365" t="s">
        <v>32</v>
      </c>
      <c r="AI365" t="s">
        <v>770</v>
      </c>
    </row>
    <row r="366" spans="2:35" x14ac:dyDescent="0.25">
      <c r="B366" s="2" t="s">
        <v>583</v>
      </c>
      <c r="C366" t="s">
        <v>5</v>
      </c>
      <c r="D366">
        <v>41</v>
      </c>
      <c r="E366" t="s">
        <v>6</v>
      </c>
      <c r="F366" t="s">
        <v>21</v>
      </c>
      <c r="G366" t="s">
        <v>687</v>
      </c>
      <c r="H366" t="s">
        <v>115</v>
      </c>
      <c r="I366" t="s">
        <v>10</v>
      </c>
      <c r="J366">
        <f>- -1041</f>
        <v>1041</v>
      </c>
      <c r="K366">
        <v>13595</v>
      </c>
      <c r="L366">
        <v>60</v>
      </c>
      <c r="M366" t="s">
        <v>12</v>
      </c>
      <c r="O366">
        <v>94</v>
      </c>
      <c r="P366" t="s">
        <v>13</v>
      </c>
      <c r="Q366">
        <v>133.69999999999999</v>
      </c>
      <c r="R366" t="s">
        <v>13</v>
      </c>
      <c r="S366">
        <v>30</v>
      </c>
      <c r="T366" t="s">
        <v>13</v>
      </c>
      <c r="U366" t="s">
        <v>14</v>
      </c>
      <c r="V366">
        <v>41</v>
      </c>
      <c r="W366">
        <v>19</v>
      </c>
      <c r="X366">
        <v>42.35</v>
      </c>
      <c r="Y366" t="s">
        <v>15</v>
      </c>
      <c r="Z366">
        <v>72</v>
      </c>
      <c r="AA366">
        <v>54</v>
      </c>
      <c r="AB366">
        <v>23.37</v>
      </c>
      <c r="AC366" t="s">
        <v>11</v>
      </c>
      <c r="AD366">
        <v>180.2</v>
      </c>
      <c r="AE366" t="s">
        <v>16</v>
      </c>
      <c r="AF366">
        <v>111.97</v>
      </c>
      <c r="AG366" t="s">
        <v>17</v>
      </c>
      <c r="AH366" t="s">
        <v>584</v>
      </c>
      <c r="AI366" t="s">
        <v>681</v>
      </c>
    </row>
    <row r="367" spans="2:35" x14ac:dyDescent="0.25">
      <c r="B367" s="2" t="s">
        <v>585</v>
      </c>
      <c r="C367" t="s">
        <v>5</v>
      </c>
      <c r="D367">
        <v>41</v>
      </c>
      <c r="E367" t="s">
        <v>20</v>
      </c>
      <c r="F367" t="s">
        <v>7</v>
      </c>
      <c r="G367" t="s">
        <v>322</v>
      </c>
      <c r="H367" t="s">
        <v>9</v>
      </c>
      <c r="I367" t="s">
        <v>10</v>
      </c>
      <c r="J367" t="s">
        <v>586</v>
      </c>
      <c r="K367">
        <v>186271</v>
      </c>
      <c r="L367">
        <v>1.5</v>
      </c>
      <c r="M367" t="s">
        <v>12</v>
      </c>
      <c r="N367" t="s">
        <v>53</v>
      </c>
      <c r="O367">
        <v>0</v>
      </c>
      <c r="P367" t="s">
        <v>13</v>
      </c>
      <c r="Q367">
        <v>223.1</v>
      </c>
      <c r="R367" t="s">
        <v>13</v>
      </c>
      <c r="S367">
        <v>25</v>
      </c>
      <c r="T367" t="s">
        <v>13</v>
      </c>
      <c r="U367" t="s">
        <v>14</v>
      </c>
      <c r="V367">
        <v>45</v>
      </c>
      <c r="W367">
        <v>20</v>
      </c>
      <c r="X367">
        <v>45.2</v>
      </c>
      <c r="Y367" t="s">
        <v>15</v>
      </c>
      <c r="Z367">
        <v>68</v>
      </c>
      <c r="AA367">
        <v>30</v>
      </c>
      <c r="AB367">
        <v>30.1</v>
      </c>
      <c r="AC367">
        <v>1022136</v>
      </c>
      <c r="AD367">
        <v>396.88</v>
      </c>
      <c r="AE367" t="s">
        <v>16</v>
      </c>
      <c r="AF367">
        <v>246.61</v>
      </c>
      <c r="AG367" t="s">
        <v>17</v>
      </c>
      <c r="AH367" t="s">
        <v>324</v>
      </c>
      <c r="AI367" t="s">
        <v>702</v>
      </c>
    </row>
    <row r="368" spans="2:35" x14ac:dyDescent="0.25">
      <c r="B368" s="2" t="s">
        <v>587</v>
      </c>
      <c r="C368" t="s">
        <v>5</v>
      </c>
      <c r="D368">
        <v>41</v>
      </c>
      <c r="E368" t="s">
        <v>6</v>
      </c>
      <c r="F368" t="s">
        <v>21</v>
      </c>
      <c r="G368" t="s">
        <v>588</v>
      </c>
      <c r="H368" t="s">
        <v>41</v>
      </c>
      <c r="I368" t="s">
        <v>10</v>
      </c>
      <c r="J368" t="s">
        <v>589</v>
      </c>
      <c r="K368">
        <v>73238</v>
      </c>
      <c r="L368">
        <v>690</v>
      </c>
      <c r="M368" t="s">
        <v>12</v>
      </c>
      <c r="N368" t="s">
        <v>53</v>
      </c>
      <c r="O368">
        <v>346</v>
      </c>
      <c r="P368" t="s">
        <v>13</v>
      </c>
      <c r="Q368">
        <v>390</v>
      </c>
      <c r="R368" t="s">
        <v>13</v>
      </c>
      <c r="S368">
        <v>344</v>
      </c>
      <c r="T368" t="s">
        <v>13</v>
      </c>
      <c r="U368" t="s">
        <v>14</v>
      </c>
      <c r="V368">
        <v>42</v>
      </c>
      <c r="W368">
        <v>18</v>
      </c>
      <c r="X368">
        <v>10.7</v>
      </c>
      <c r="Y368" t="s">
        <v>15</v>
      </c>
      <c r="Z368">
        <v>71</v>
      </c>
      <c r="AA368">
        <v>13</v>
      </c>
      <c r="AB368">
        <v>4.9000000000000004</v>
      </c>
      <c r="AC368">
        <v>1004233</v>
      </c>
      <c r="AD368">
        <v>8.2799999999999994</v>
      </c>
      <c r="AE368" t="s">
        <v>16</v>
      </c>
      <c r="AF368">
        <v>5.14</v>
      </c>
      <c r="AG368" t="s">
        <v>17</v>
      </c>
      <c r="AH368" t="s">
        <v>407</v>
      </c>
      <c r="AI368" t="s">
        <v>534</v>
      </c>
    </row>
    <row r="369" spans="2:35" x14ac:dyDescent="0.25">
      <c r="B369" s="2" t="s">
        <v>308</v>
      </c>
      <c r="C369" t="s">
        <v>5</v>
      </c>
      <c r="D369">
        <v>41</v>
      </c>
      <c r="E369" t="s">
        <v>20</v>
      </c>
      <c r="F369" t="s">
        <v>21</v>
      </c>
      <c r="G369" t="s">
        <v>309</v>
      </c>
      <c r="H369" t="s">
        <v>31</v>
      </c>
      <c r="I369" t="s">
        <v>10</v>
      </c>
      <c r="J369" t="s">
        <v>590</v>
      </c>
      <c r="K369">
        <v>167314</v>
      </c>
      <c r="L369">
        <v>7.37</v>
      </c>
      <c r="M369" t="s">
        <v>12</v>
      </c>
      <c r="N369" t="s">
        <v>53</v>
      </c>
      <c r="O369">
        <v>0</v>
      </c>
      <c r="P369" t="s">
        <v>13</v>
      </c>
      <c r="Q369">
        <v>471.5</v>
      </c>
      <c r="R369" t="s">
        <v>13</v>
      </c>
      <c r="S369">
        <v>65.2</v>
      </c>
      <c r="T369" t="s">
        <v>13</v>
      </c>
      <c r="U369" t="s">
        <v>14</v>
      </c>
      <c r="V369">
        <v>41</v>
      </c>
      <c r="W369">
        <v>0</v>
      </c>
      <c r="X369">
        <v>35.6</v>
      </c>
      <c r="Y369" t="s">
        <v>15</v>
      </c>
      <c r="Z369">
        <v>74</v>
      </c>
      <c r="AA369">
        <v>35</v>
      </c>
      <c r="AB369">
        <v>37.4</v>
      </c>
      <c r="AC369">
        <v>1032928</v>
      </c>
      <c r="AD369">
        <v>317.12</v>
      </c>
      <c r="AE369" t="s">
        <v>16</v>
      </c>
      <c r="AF369">
        <v>197.05</v>
      </c>
      <c r="AG369" t="s">
        <v>17</v>
      </c>
      <c r="AH369" t="s">
        <v>310</v>
      </c>
      <c r="AI369" t="s">
        <v>684</v>
      </c>
    </row>
    <row r="370" spans="2:35" x14ac:dyDescent="0.25">
      <c r="B370" s="2" t="s">
        <v>227</v>
      </c>
      <c r="C370" t="s">
        <v>5</v>
      </c>
      <c r="D370">
        <v>41</v>
      </c>
      <c r="E370" t="s">
        <v>34</v>
      </c>
      <c r="F370" t="s">
        <v>21</v>
      </c>
      <c r="G370" t="s">
        <v>228</v>
      </c>
      <c r="H370" t="s">
        <v>23</v>
      </c>
      <c r="I370" t="s">
        <v>10</v>
      </c>
      <c r="J370" t="s">
        <v>591</v>
      </c>
      <c r="K370">
        <v>74018</v>
      </c>
      <c r="L370">
        <v>0.1</v>
      </c>
      <c r="M370" t="s">
        <v>12</v>
      </c>
      <c r="N370" t="s">
        <v>53</v>
      </c>
      <c r="O370">
        <v>0</v>
      </c>
      <c r="P370" t="s">
        <v>13</v>
      </c>
      <c r="Q370">
        <v>397</v>
      </c>
      <c r="R370" t="s">
        <v>13</v>
      </c>
      <c r="S370">
        <v>10</v>
      </c>
      <c r="T370" t="s">
        <v>13</v>
      </c>
      <c r="U370" t="s">
        <v>14</v>
      </c>
      <c r="V370">
        <v>42</v>
      </c>
      <c r="W370">
        <v>32</v>
      </c>
      <c r="X370">
        <v>42.2</v>
      </c>
      <c r="Y370" t="s">
        <v>15</v>
      </c>
      <c r="Z370">
        <v>73</v>
      </c>
      <c r="AA370">
        <v>58</v>
      </c>
      <c r="AB370">
        <v>47.4</v>
      </c>
      <c r="AC370" t="s">
        <v>11</v>
      </c>
      <c r="AD370">
        <v>225.54</v>
      </c>
      <c r="AE370" t="s">
        <v>16</v>
      </c>
      <c r="AF370">
        <v>140.13999999999999</v>
      </c>
      <c r="AG370" t="s">
        <v>17</v>
      </c>
      <c r="AH370" t="s">
        <v>229</v>
      </c>
      <c r="AI370" t="s">
        <v>708</v>
      </c>
    </row>
    <row r="371" spans="2:35" x14ac:dyDescent="0.25">
      <c r="B371" s="2" t="s">
        <v>513</v>
      </c>
      <c r="C371" t="s">
        <v>5</v>
      </c>
      <c r="D371">
        <v>41</v>
      </c>
      <c r="E371" t="s">
        <v>20</v>
      </c>
      <c r="F371" t="s">
        <v>21</v>
      </c>
      <c r="G371" t="s">
        <v>654</v>
      </c>
      <c r="H371" t="s">
        <v>23</v>
      </c>
      <c r="I371" t="s">
        <v>10</v>
      </c>
      <c r="J371" t="s">
        <v>592</v>
      </c>
      <c r="K371">
        <v>60554</v>
      </c>
      <c r="L371">
        <v>3.25</v>
      </c>
      <c r="M371" t="s">
        <v>12</v>
      </c>
      <c r="N371" t="s">
        <v>53</v>
      </c>
      <c r="O371">
        <v>0</v>
      </c>
      <c r="P371" t="s">
        <v>13</v>
      </c>
      <c r="Q371">
        <v>270.7</v>
      </c>
      <c r="R371" t="s">
        <v>13</v>
      </c>
      <c r="S371">
        <v>257</v>
      </c>
      <c r="T371" t="s">
        <v>13</v>
      </c>
      <c r="U371" t="s">
        <v>14</v>
      </c>
      <c r="V371">
        <v>40</v>
      </c>
      <c r="W371">
        <v>45</v>
      </c>
      <c r="X371">
        <v>42.2</v>
      </c>
      <c r="Y371" t="s">
        <v>15</v>
      </c>
      <c r="Z371">
        <v>73</v>
      </c>
      <c r="AA371">
        <v>58</v>
      </c>
      <c r="AB371">
        <v>5</v>
      </c>
      <c r="AC371">
        <v>1245781</v>
      </c>
      <c r="AD371">
        <v>289.08</v>
      </c>
      <c r="AE371" t="s">
        <v>16</v>
      </c>
      <c r="AF371">
        <v>179.62</v>
      </c>
      <c r="AG371" t="s">
        <v>17</v>
      </c>
      <c r="AH371" t="s">
        <v>459</v>
      </c>
      <c r="AI371" t="s">
        <v>781</v>
      </c>
    </row>
    <row r="372" spans="2:35" x14ac:dyDescent="0.25">
      <c r="B372" s="2" t="s">
        <v>587</v>
      </c>
      <c r="C372" t="s">
        <v>5</v>
      </c>
      <c r="D372">
        <v>42</v>
      </c>
      <c r="E372" t="s">
        <v>6</v>
      </c>
      <c r="F372" t="s">
        <v>7</v>
      </c>
      <c r="G372" t="s">
        <v>588</v>
      </c>
      <c r="H372" t="s">
        <v>41</v>
      </c>
      <c r="I372" t="s">
        <v>10</v>
      </c>
      <c r="J372">
        <f>- -40389</f>
        <v>40389</v>
      </c>
      <c r="K372">
        <v>73238</v>
      </c>
      <c r="L372">
        <v>1000</v>
      </c>
      <c r="M372" t="s">
        <v>12</v>
      </c>
      <c r="O372">
        <v>288</v>
      </c>
      <c r="P372" t="s">
        <v>13</v>
      </c>
      <c r="Q372">
        <v>331.1</v>
      </c>
      <c r="R372" t="s">
        <v>13</v>
      </c>
      <c r="S372">
        <v>298</v>
      </c>
      <c r="T372" t="s">
        <v>13</v>
      </c>
      <c r="U372" t="s">
        <v>14</v>
      </c>
      <c r="V372">
        <v>42</v>
      </c>
      <c r="W372">
        <v>18</v>
      </c>
      <c r="X372">
        <v>41</v>
      </c>
      <c r="Y372" t="s">
        <v>15</v>
      </c>
      <c r="Z372">
        <v>71</v>
      </c>
      <c r="AA372">
        <v>12</v>
      </c>
      <c r="AB372">
        <v>58</v>
      </c>
      <c r="AC372">
        <v>1005862</v>
      </c>
      <c r="AD372">
        <v>7.44</v>
      </c>
      <c r="AE372" t="s">
        <v>16</v>
      </c>
      <c r="AF372">
        <v>4.62</v>
      </c>
      <c r="AG372" t="s">
        <v>17</v>
      </c>
      <c r="AH372" t="s">
        <v>533</v>
      </c>
      <c r="AI372" t="s">
        <v>534</v>
      </c>
    </row>
    <row r="373" spans="2:35" x14ac:dyDescent="0.25">
      <c r="B373" s="2" t="s">
        <v>532</v>
      </c>
      <c r="C373" t="s">
        <v>5</v>
      </c>
      <c r="D373">
        <v>42</v>
      </c>
      <c r="E373" t="s">
        <v>6</v>
      </c>
      <c r="F373" t="s">
        <v>7</v>
      </c>
      <c r="G373" t="s">
        <v>40</v>
      </c>
      <c r="H373" t="s">
        <v>41</v>
      </c>
      <c r="I373" t="s">
        <v>10</v>
      </c>
      <c r="J373">
        <f>- -40394</f>
        <v>40394</v>
      </c>
      <c r="K373">
        <v>72145</v>
      </c>
      <c r="L373">
        <v>1000</v>
      </c>
      <c r="M373" t="s">
        <v>12</v>
      </c>
      <c r="O373">
        <v>288</v>
      </c>
      <c r="P373" t="s">
        <v>13</v>
      </c>
      <c r="Q373">
        <v>331.1</v>
      </c>
      <c r="R373" t="s">
        <v>13</v>
      </c>
      <c r="S373">
        <v>298</v>
      </c>
      <c r="T373" t="s">
        <v>13</v>
      </c>
      <c r="U373" t="s">
        <v>14</v>
      </c>
      <c r="V373">
        <v>42</v>
      </c>
      <c r="W373">
        <v>18</v>
      </c>
      <c r="X373">
        <v>41</v>
      </c>
      <c r="Y373" t="s">
        <v>15</v>
      </c>
      <c r="Z373">
        <v>71</v>
      </c>
      <c r="AA373">
        <v>12</v>
      </c>
      <c r="AB373">
        <v>58</v>
      </c>
      <c r="AC373">
        <v>1005862</v>
      </c>
      <c r="AD373">
        <v>7.44</v>
      </c>
      <c r="AE373" t="s">
        <v>16</v>
      </c>
      <c r="AF373">
        <v>4.62</v>
      </c>
      <c r="AG373" t="s">
        <v>17</v>
      </c>
      <c r="AH373" t="s">
        <v>533</v>
      </c>
      <c r="AI373" t="s">
        <v>534</v>
      </c>
    </row>
    <row r="374" spans="2:35" x14ac:dyDescent="0.25">
      <c r="B374" s="2" t="s">
        <v>532</v>
      </c>
      <c r="C374" t="s">
        <v>5</v>
      </c>
      <c r="D374">
        <v>42</v>
      </c>
      <c r="E374" t="s">
        <v>96</v>
      </c>
      <c r="F374" t="s">
        <v>7</v>
      </c>
      <c r="G374" t="s">
        <v>40</v>
      </c>
      <c r="H374" t="s">
        <v>41</v>
      </c>
      <c r="I374" t="s">
        <v>10</v>
      </c>
      <c r="J374">
        <f>- -53795</f>
        <v>53795</v>
      </c>
      <c r="K374">
        <v>72145</v>
      </c>
      <c r="L374">
        <v>900</v>
      </c>
      <c r="M374" t="s">
        <v>12</v>
      </c>
      <c r="N374" t="s">
        <v>53</v>
      </c>
      <c r="O374">
        <v>233.7</v>
      </c>
      <c r="P374" t="s">
        <v>13</v>
      </c>
      <c r="Q374">
        <v>278.10000000000002</v>
      </c>
      <c r="R374" t="s">
        <v>13</v>
      </c>
      <c r="S374">
        <v>245</v>
      </c>
      <c r="T374" t="s">
        <v>13</v>
      </c>
      <c r="U374" t="s">
        <v>14</v>
      </c>
      <c r="V374">
        <v>42</v>
      </c>
      <c r="W374">
        <v>18</v>
      </c>
      <c r="X374">
        <v>41</v>
      </c>
      <c r="Y374" t="s">
        <v>15</v>
      </c>
      <c r="Z374">
        <v>71</v>
      </c>
      <c r="AA374">
        <v>12</v>
      </c>
      <c r="AB374">
        <v>58</v>
      </c>
      <c r="AC374">
        <v>1005862</v>
      </c>
      <c r="AD374">
        <v>7.44</v>
      </c>
      <c r="AE374" t="s">
        <v>16</v>
      </c>
      <c r="AF374">
        <v>4.62</v>
      </c>
      <c r="AG374" t="s">
        <v>17</v>
      </c>
      <c r="AH374" t="s">
        <v>533</v>
      </c>
      <c r="AI374" t="s">
        <v>534</v>
      </c>
    </row>
    <row r="375" spans="2:35" x14ac:dyDescent="0.25">
      <c r="B375" s="2" t="s">
        <v>481</v>
      </c>
      <c r="C375" t="s">
        <v>5</v>
      </c>
      <c r="D375">
        <v>42</v>
      </c>
      <c r="E375" t="s">
        <v>6</v>
      </c>
      <c r="F375" t="s">
        <v>21</v>
      </c>
      <c r="G375" t="s">
        <v>65</v>
      </c>
      <c r="H375" t="s">
        <v>23</v>
      </c>
      <c r="I375" t="s">
        <v>10</v>
      </c>
      <c r="J375" t="s">
        <v>593</v>
      </c>
      <c r="K375">
        <v>74034</v>
      </c>
      <c r="L375">
        <v>50</v>
      </c>
      <c r="M375" t="s">
        <v>12</v>
      </c>
      <c r="O375">
        <v>408</v>
      </c>
      <c r="P375" t="s">
        <v>13</v>
      </c>
      <c r="Q375">
        <v>803.2</v>
      </c>
      <c r="R375" t="s">
        <v>13</v>
      </c>
      <c r="S375">
        <v>282</v>
      </c>
      <c r="T375" t="s">
        <v>13</v>
      </c>
      <c r="U375" t="s">
        <v>14</v>
      </c>
      <c r="V375">
        <v>42</v>
      </c>
      <c r="W375">
        <v>3</v>
      </c>
      <c r="X375">
        <v>40.200000000000003</v>
      </c>
      <c r="Y375" t="s">
        <v>15</v>
      </c>
      <c r="Z375">
        <v>75</v>
      </c>
      <c r="AA375">
        <v>56</v>
      </c>
      <c r="AB375">
        <v>44.2</v>
      </c>
      <c r="AC375">
        <v>1236974</v>
      </c>
      <c r="AD375">
        <v>389.47</v>
      </c>
      <c r="AE375" t="s">
        <v>16</v>
      </c>
      <c r="AF375">
        <v>242.01</v>
      </c>
      <c r="AG375" t="s">
        <v>17</v>
      </c>
      <c r="AH375" t="s">
        <v>482</v>
      </c>
      <c r="AI375" t="s">
        <v>773</v>
      </c>
    </row>
    <row r="376" spans="2:35" x14ac:dyDescent="0.25">
      <c r="B376" s="2" t="s">
        <v>368</v>
      </c>
      <c r="C376" t="s">
        <v>5</v>
      </c>
      <c r="D376">
        <v>42</v>
      </c>
      <c r="E376" t="s">
        <v>20</v>
      </c>
      <c r="F376" t="s">
        <v>21</v>
      </c>
      <c r="G376" t="s">
        <v>71</v>
      </c>
      <c r="H376" t="s">
        <v>23</v>
      </c>
      <c r="I376" t="s">
        <v>10</v>
      </c>
      <c r="J376" t="s">
        <v>594</v>
      </c>
      <c r="K376">
        <v>6763</v>
      </c>
      <c r="L376">
        <v>0.14000000000000001</v>
      </c>
      <c r="M376" t="s">
        <v>12</v>
      </c>
      <c r="O376">
        <v>0</v>
      </c>
      <c r="P376" t="s">
        <v>13</v>
      </c>
      <c r="Q376">
        <v>398</v>
      </c>
      <c r="R376" t="s">
        <v>13</v>
      </c>
      <c r="S376">
        <v>11</v>
      </c>
      <c r="T376" t="s">
        <v>13</v>
      </c>
      <c r="U376" t="s">
        <v>14</v>
      </c>
      <c r="V376">
        <v>42</v>
      </c>
      <c r="W376">
        <v>51</v>
      </c>
      <c r="X376">
        <v>0.6</v>
      </c>
      <c r="Y376" t="s">
        <v>15</v>
      </c>
      <c r="Z376">
        <v>74</v>
      </c>
      <c r="AA376">
        <v>3</v>
      </c>
      <c r="AB376">
        <v>51.8</v>
      </c>
      <c r="AC376">
        <v>1065497</v>
      </c>
      <c r="AD376">
        <v>237.1</v>
      </c>
      <c r="AE376" t="s">
        <v>16</v>
      </c>
      <c r="AF376">
        <v>147.33000000000001</v>
      </c>
      <c r="AG376" t="s">
        <v>17</v>
      </c>
      <c r="AH376" t="s">
        <v>595</v>
      </c>
      <c r="AI376" t="s">
        <v>734</v>
      </c>
    </row>
    <row r="377" spans="2:35" x14ac:dyDescent="0.25">
      <c r="B377" s="2" t="s">
        <v>19</v>
      </c>
      <c r="C377" t="s">
        <v>5</v>
      </c>
      <c r="D377">
        <v>42</v>
      </c>
      <c r="E377" t="s">
        <v>20</v>
      </c>
      <c r="F377" t="s">
        <v>656</v>
      </c>
      <c r="G377" t="s">
        <v>654</v>
      </c>
      <c r="H377" t="s">
        <v>23</v>
      </c>
      <c r="I377" t="s">
        <v>10</v>
      </c>
      <c r="J377" t="s">
        <v>596</v>
      </c>
      <c r="K377">
        <v>51441</v>
      </c>
      <c r="L377">
        <v>2.5</v>
      </c>
      <c r="M377" t="s">
        <v>12</v>
      </c>
      <c r="N377" t="s">
        <v>53</v>
      </c>
      <c r="O377">
        <v>0</v>
      </c>
      <c r="P377" t="s">
        <v>13</v>
      </c>
      <c r="Q377">
        <v>274.89999999999998</v>
      </c>
      <c r="R377" t="s">
        <v>13</v>
      </c>
      <c r="S377">
        <v>265.5</v>
      </c>
      <c r="T377" t="s">
        <v>13</v>
      </c>
      <c r="U377" t="s">
        <v>14</v>
      </c>
      <c r="V377">
        <v>40</v>
      </c>
      <c r="W377">
        <v>45</v>
      </c>
      <c r="X377">
        <v>8.1</v>
      </c>
      <c r="Y377" t="s">
        <v>15</v>
      </c>
      <c r="Z377">
        <v>73</v>
      </c>
      <c r="AA377">
        <v>58</v>
      </c>
      <c r="AB377">
        <v>2.1</v>
      </c>
      <c r="AC377">
        <v>1268297</v>
      </c>
      <c r="AD377">
        <v>289.69</v>
      </c>
      <c r="AE377" t="s">
        <v>16</v>
      </c>
      <c r="AF377">
        <v>180</v>
      </c>
      <c r="AG377" t="s">
        <v>17</v>
      </c>
      <c r="AH377" t="s">
        <v>25</v>
      </c>
      <c r="AI377" t="s">
        <v>655</v>
      </c>
    </row>
    <row r="378" spans="2:35" x14ac:dyDescent="0.25">
      <c r="B378" s="2" t="s">
        <v>597</v>
      </c>
      <c r="C378" t="s">
        <v>5</v>
      </c>
      <c r="D378">
        <v>43</v>
      </c>
      <c r="E378" t="s">
        <v>20</v>
      </c>
      <c r="F378" t="s">
        <v>7</v>
      </c>
      <c r="G378" t="s">
        <v>598</v>
      </c>
      <c r="H378" t="s">
        <v>9</v>
      </c>
      <c r="I378" t="s">
        <v>10</v>
      </c>
      <c r="J378" t="s">
        <v>599</v>
      </c>
      <c r="K378">
        <v>186112</v>
      </c>
      <c r="L378">
        <v>1</v>
      </c>
      <c r="M378" t="s">
        <v>12</v>
      </c>
      <c r="O378">
        <v>0</v>
      </c>
      <c r="P378" t="s">
        <v>13</v>
      </c>
      <c r="Q378">
        <v>154.30000000000001</v>
      </c>
      <c r="R378" t="s">
        <v>13</v>
      </c>
      <c r="S378">
        <v>30</v>
      </c>
      <c r="T378" t="s">
        <v>13</v>
      </c>
      <c r="U378" t="s">
        <v>14</v>
      </c>
      <c r="V378">
        <v>44</v>
      </c>
      <c r="W378">
        <v>48</v>
      </c>
      <c r="X378">
        <v>43.9</v>
      </c>
      <c r="Y378" t="s">
        <v>15</v>
      </c>
      <c r="Z378">
        <v>69</v>
      </c>
      <c r="AA378">
        <v>6</v>
      </c>
      <c r="AB378">
        <v>13.6</v>
      </c>
      <c r="AC378" t="s">
        <v>11</v>
      </c>
      <c r="AD378">
        <v>321.47000000000003</v>
      </c>
      <c r="AE378" t="s">
        <v>16</v>
      </c>
      <c r="AF378">
        <v>199.75</v>
      </c>
      <c r="AG378" t="s">
        <v>17</v>
      </c>
      <c r="AH378" t="s">
        <v>600</v>
      </c>
      <c r="AI378" t="s">
        <v>702</v>
      </c>
    </row>
    <row r="379" spans="2:35" x14ac:dyDescent="0.25">
      <c r="B379" s="2" t="s">
        <v>142</v>
      </c>
      <c r="C379" t="s">
        <v>5</v>
      </c>
      <c r="D379">
        <v>43</v>
      </c>
      <c r="E379" t="s">
        <v>20</v>
      </c>
      <c r="F379" t="s">
        <v>7</v>
      </c>
      <c r="G379" t="s">
        <v>51</v>
      </c>
      <c r="H379" t="s">
        <v>41</v>
      </c>
      <c r="I379" t="s">
        <v>10</v>
      </c>
      <c r="J379" t="s">
        <v>601</v>
      </c>
      <c r="K379">
        <v>26337</v>
      </c>
      <c r="L379">
        <v>15</v>
      </c>
      <c r="M379" t="s">
        <v>12</v>
      </c>
      <c r="N379" t="s">
        <v>53</v>
      </c>
      <c r="O379">
        <v>0</v>
      </c>
      <c r="P379" t="s">
        <v>13</v>
      </c>
      <c r="Q379">
        <v>202</v>
      </c>
      <c r="R379" t="s">
        <v>13</v>
      </c>
      <c r="S379">
        <v>19</v>
      </c>
      <c r="T379" t="s">
        <v>13</v>
      </c>
      <c r="U379" t="s">
        <v>14</v>
      </c>
      <c r="V379">
        <v>42</v>
      </c>
      <c r="W379">
        <v>5</v>
      </c>
      <c r="X379">
        <v>1.3</v>
      </c>
      <c r="Y379" t="s">
        <v>15</v>
      </c>
      <c r="Z379">
        <v>72</v>
      </c>
      <c r="AA379">
        <v>42</v>
      </c>
      <c r="AB379">
        <v>14.3</v>
      </c>
      <c r="AC379" t="s">
        <v>11</v>
      </c>
      <c r="AD379">
        <v>124.49</v>
      </c>
      <c r="AE379" t="s">
        <v>16</v>
      </c>
      <c r="AF379">
        <v>77.349999999999994</v>
      </c>
      <c r="AG379" t="s">
        <v>17</v>
      </c>
      <c r="AH379" t="s">
        <v>350</v>
      </c>
      <c r="AI379" t="s">
        <v>689</v>
      </c>
    </row>
    <row r="380" spans="2:35" x14ac:dyDescent="0.25">
      <c r="B380" s="2" t="s">
        <v>142</v>
      </c>
      <c r="C380" t="s">
        <v>5</v>
      </c>
      <c r="D380">
        <v>43</v>
      </c>
      <c r="E380" t="s">
        <v>20</v>
      </c>
      <c r="F380" t="s">
        <v>21</v>
      </c>
      <c r="G380" t="s">
        <v>51</v>
      </c>
      <c r="H380" t="s">
        <v>41</v>
      </c>
      <c r="I380" t="s">
        <v>10</v>
      </c>
      <c r="J380">
        <f>- -4590</f>
        <v>4590</v>
      </c>
      <c r="K380">
        <v>26337</v>
      </c>
      <c r="L380">
        <v>15</v>
      </c>
      <c r="M380" t="s">
        <v>12</v>
      </c>
      <c r="N380" t="s">
        <v>53</v>
      </c>
      <c r="O380">
        <v>0</v>
      </c>
      <c r="P380" t="s">
        <v>13</v>
      </c>
      <c r="Q380">
        <v>202</v>
      </c>
      <c r="R380" t="s">
        <v>13</v>
      </c>
      <c r="S380">
        <v>19</v>
      </c>
      <c r="T380" t="s">
        <v>13</v>
      </c>
      <c r="U380" t="s">
        <v>14</v>
      </c>
      <c r="V380">
        <v>42</v>
      </c>
      <c r="W380">
        <v>5</v>
      </c>
      <c r="X380">
        <v>1.3</v>
      </c>
      <c r="Y380" t="s">
        <v>15</v>
      </c>
      <c r="Z380">
        <v>72</v>
      </c>
      <c r="AA380">
        <v>42</v>
      </c>
      <c r="AB380">
        <v>14.3</v>
      </c>
      <c r="AC380" t="s">
        <v>11</v>
      </c>
      <c r="AD380">
        <v>124.49</v>
      </c>
      <c r="AE380" t="s">
        <v>16</v>
      </c>
      <c r="AF380">
        <v>77.349999999999994</v>
      </c>
      <c r="AG380" t="s">
        <v>17</v>
      </c>
      <c r="AH380" t="s">
        <v>350</v>
      </c>
      <c r="AI380" t="s">
        <v>689</v>
      </c>
    </row>
    <row r="381" spans="2:35" x14ac:dyDescent="0.25">
      <c r="B381" s="2" t="s">
        <v>602</v>
      </c>
      <c r="C381" t="s">
        <v>5</v>
      </c>
      <c r="D381">
        <v>43</v>
      </c>
      <c r="E381" t="s">
        <v>6</v>
      </c>
      <c r="F381" t="s">
        <v>7</v>
      </c>
      <c r="G381" t="s">
        <v>40</v>
      </c>
      <c r="H381" t="s">
        <v>41</v>
      </c>
      <c r="I381" t="s">
        <v>10</v>
      </c>
      <c r="J381">
        <f>- -40354</f>
        <v>40354</v>
      </c>
      <c r="K381">
        <v>72098</v>
      </c>
      <c r="L381">
        <v>500</v>
      </c>
      <c r="M381" t="s">
        <v>12</v>
      </c>
      <c r="O381">
        <v>391</v>
      </c>
      <c r="P381" t="s">
        <v>13</v>
      </c>
      <c r="Q381">
        <v>433.6</v>
      </c>
      <c r="R381" t="s">
        <v>13</v>
      </c>
      <c r="S381">
        <v>387</v>
      </c>
      <c r="T381" t="s">
        <v>13</v>
      </c>
      <c r="U381" t="s">
        <v>14</v>
      </c>
      <c r="V381">
        <v>42</v>
      </c>
      <c r="W381">
        <v>18</v>
      </c>
      <c r="X381">
        <v>37</v>
      </c>
      <c r="Y381" t="s">
        <v>15</v>
      </c>
      <c r="Z381">
        <v>71</v>
      </c>
      <c r="AA381">
        <v>14</v>
      </c>
      <c r="AB381">
        <v>12</v>
      </c>
      <c r="AC381">
        <v>1003433</v>
      </c>
      <c r="AD381">
        <v>7.16</v>
      </c>
      <c r="AE381" t="s">
        <v>16</v>
      </c>
      <c r="AF381">
        <v>4.45</v>
      </c>
      <c r="AG381" t="s">
        <v>17</v>
      </c>
      <c r="AH381" t="s">
        <v>253</v>
      </c>
      <c r="AI381" t="s">
        <v>696</v>
      </c>
    </row>
    <row r="382" spans="2:35" x14ac:dyDescent="0.25">
      <c r="B382" s="2" t="s">
        <v>550</v>
      </c>
      <c r="C382" t="s">
        <v>5</v>
      </c>
      <c r="D382">
        <v>43</v>
      </c>
      <c r="E382" t="s">
        <v>181</v>
      </c>
      <c r="F382" t="s">
        <v>7</v>
      </c>
      <c r="G382" t="s">
        <v>508</v>
      </c>
      <c r="H382" t="s">
        <v>45</v>
      </c>
      <c r="I382" t="s">
        <v>10</v>
      </c>
      <c r="J382">
        <f>- -40355</f>
        <v>40355</v>
      </c>
      <c r="K382">
        <v>9766</v>
      </c>
      <c r="L382">
        <v>500</v>
      </c>
      <c r="M382" t="s">
        <v>12</v>
      </c>
      <c r="O382">
        <v>391</v>
      </c>
      <c r="P382" t="s">
        <v>13</v>
      </c>
      <c r="Q382">
        <v>433.6</v>
      </c>
      <c r="R382" t="s">
        <v>13</v>
      </c>
      <c r="S382">
        <v>387</v>
      </c>
      <c r="T382" t="s">
        <v>13</v>
      </c>
      <c r="U382" t="s">
        <v>14</v>
      </c>
      <c r="V382">
        <v>42</v>
      </c>
      <c r="W382">
        <v>18</v>
      </c>
      <c r="X382">
        <v>37</v>
      </c>
      <c r="Y382" t="s">
        <v>15</v>
      </c>
      <c r="Z382">
        <v>71</v>
      </c>
      <c r="AA382">
        <v>14</v>
      </c>
      <c r="AB382">
        <v>12</v>
      </c>
      <c r="AC382">
        <v>1003433</v>
      </c>
      <c r="AD382">
        <v>7.16</v>
      </c>
      <c r="AE382" t="s">
        <v>16</v>
      </c>
      <c r="AF382">
        <v>4.45</v>
      </c>
      <c r="AG382" t="s">
        <v>17</v>
      </c>
      <c r="AH382" t="s">
        <v>253</v>
      </c>
      <c r="AI382" t="s">
        <v>711</v>
      </c>
    </row>
    <row r="383" spans="2:35" x14ac:dyDescent="0.25">
      <c r="B383" s="2" t="s">
        <v>603</v>
      </c>
      <c r="C383" t="s">
        <v>5</v>
      </c>
      <c r="D383">
        <v>43</v>
      </c>
      <c r="E383" t="s">
        <v>6</v>
      </c>
      <c r="F383" t="s">
        <v>21</v>
      </c>
      <c r="G383" t="s">
        <v>604</v>
      </c>
      <c r="H383" t="s">
        <v>31</v>
      </c>
      <c r="I383" t="s">
        <v>10</v>
      </c>
      <c r="J383" t="s">
        <v>605</v>
      </c>
      <c r="K383">
        <v>48465</v>
      </c>
      <c r="L383">
        <v>59.4</v>
      </c>
      <c r="M383" t="s">
        <v>12</v>
      </c>
      <c r="O383">
        <v>266</v>
      </c>
      <c r="P383" t="s">
        <v>13</v>
      </c>
      <c r="Q383">
        <v>300.3</v>
      </c>
      <c r="R383" t="s">
        <v>13</v>
      </c>
      <c r="S383">
        <v>282</v>
      </c>
      <c r="T383" t="s">
        <v>13</v>
      </c>
      <c r="U383" t="s">
        <v>14</v>
      </c>
      <c r="V383">
        <v>40</v>
      </c>
      <c r="W383">
        <v>16</v>
      </c>
      <c r="X383">
        <v>58</v>
      </c>
      <c r="Y383" t="s">
        <v>15</v>
      </c>
      <c r="Z383">
        <v>74</v>
      </c>
      <c r="AA383">
        <v>41</v>
      </c>
      <c r="AB383">
        <v>10</v>
      </c>
      <c r="AC383">
        <v>1045124</v>
      </c>
      <c r="AD383">
        <v>369.89</v>
      </c>
      <c r="AE383" t="s">
        <v>16</v>
      </c>
      <c r="AF383">
        <v>229.84</v>
      </c>
      <c r="AG383" t="s">
        <v>17</v>
      </c>
      <c r="AH383" t="s">
        <v>606</v>
      </c>
      <c r="AI383" t="s">
        <v>680</v>
      </c>
    </row>
    <row r="384" spans="2:35" x14ac:dyDescent="0.25">
      <c r="B384" s="2" t="s">
        <v>320</v>
      </c>
      <c r="C384" t="s">
        <v>5</v>
      </c>
      <c r="D384">
        <v>43</v>
      </c>
      <c r="E384" t="s">
        <v>6</v>
      </c>
      <c r="F384" t="s">
        <v>21</v>
      </c>
      <c r="G384" t="s">
        <v>71</v>
      </c>
      <c r="H384" t="s">
        <v>23</v>
      </c>
      <c r="I384" t="s">
        <v>10</v>
      </c>
      <c r="J384" t="s">
        <v>607</v>
      </c>
      <c r="K384">
        <v>73264</v>
      </c>
      <c r="L384">
        <v>600</v>
      </c>
      <c r="M384" t="s">
        <v>12</v>
      </c>
      <c r="O384">
        <v>426</v>
      </c>
      <c r="P384" t="s">
        <v>13</v>
      </c>
      <c r="Q384">
        <v>681.8</v>
      </c>
      <c r="R384" t="s">
        <v>13</v>
      </c>
      <c r="S384">
        <v>139</v>
      </c>
      <c r="T384" t="s">
        <v>13</v>
      </c>
      <c r="U384" t="s">
        <v>14</v>
      </c>
      <c r="V384">
        <v>42</v>
      </c>
      <c r="W384">
        <v>37</v>
      </c>
      <c r="X384">
        <v>31.3</v>
      </c>
      <c r="Y384" t="s">
        <v>15</v>
      </c>
      <c r="Z384">
        <v>74</v>
      </c>
      <c r="AA384">
        <v>0</v>
      </c>
      <c r="AB384">
        <v>36.700000000000003</v>
      </c>
      <c r="AC384">
        <v>1231728</v>
      </c>
      <c r="AD384">
        <v>228.8</v>
      </c>
      <c r="AE384" t="s">
        <v>16</v>
      </c>
      <c r="AF384">
        <v>142.16999999999999</v>
      </c>
      <c r="AG384" t="s">
        <v>17</v>
      </c>
      <c r="AH384" t="s">
        <v>73</v>
      </c>
      <c r="AI384" t="s">
        <v>729</v>
      </c>
    </row>
    <row r="385" spans="2:35" x14ac:dyDescent="0.25">
      <c r="B385" s="2" t="s">
        <v>320</v>
      </c>
      <c r="C385" t="s">
        <v>5</v>
      </c>
      <c r="D385">
        <v>43</v>
      </c>
      <c r="E385" t="s">
        <v>96</v>
      </c>
      <c r="F385" t="s">
        <v>7</v>
      </c>
      <c r="G385" t="s">
        <v>71</v>
      </c>
      <c r="H385" t="s">
        <v>23</v>
      </c>
      <c r="I385" t="s">
        <v>10</v>
      </c>
      <c r="J385" t="s">
        <v>608</v>
      </c>
      <c r="K385">
        <v>73264</v>
      </c>
      <c r="L385">
        <v>326</v>
      </c>
      <c r="M385" t="s">
        <v>12</v>
      </c>
      <c r="N385" t="s">
        <v>53</v>
      </c>
      <c r="O385">
        <v>342</v>
      </c>
      <c r="P385" t="s">
        <v>13</v>
      </c>
      <c r="Q385">
        <v>596.4</v>
      </c>
      <c r="R385" t="s">
        <v>13</v>
      </c>
      <c r="S385">
        <v>53.6</v>
      </c>
      <c r="T385" t="s">
        <v>13</v>
      </c>
      <c r="U385" t="s">
        <v>14</v>
      </c>
      <c r="V385">
        <v>42</v>
      </c>
      <c r="W385">
        <v>37</v>
      </c>
      <c r="X385">
        <v>31.3</v>
      </c>
      <c r="Y385" t="s">
        <v>15</v>
      </c>
      <c r="Z385">
        <v>74</v>
      </c>
      <c r="AA385">
        <v>0</v>
      </c>
      <c r="AB385">
        <v>36.700000000000003</v>
      </c>
      <c r="AC385">
        <v>1231728</v>
      </c>
      <c r="AD385">
        <v>228.8</v>
      </c>
      <c r="AE385" t="s">
        <v>16</v>
      </c>
      <c r="AF385">
        <v>142.16999999999999</v>
      </c>
      <c r="AG385" t="s">
        <v>17</v>
      </c>
      <c r="AH385" t="s">
        <v>73</v>
      </c>
      <c r="AI385" t="s">
        <v>729</v>
      </c>
    </row>
    <row r="386" spans="2:35" x14ac:dyDescent="0.25">
      <c r="B386" s="2" t="s">
        <v>320</v>
      </c>
      <c r="C386" t="s">
        <v>5</v>
      </c>
      <c r="D386">
        <v>43</v>
      </c>
      <c r="E386" t="s">
        <v>96</v>
      </c>
      <c r="F386" t="s">
        <v>21</v>
      </c>
      <c r="G386" t="s">
        <v>71</v>
      </c>
      <c r="H386" t="s">
        <v>23</v>
      </c>
      <c r="I386" t="s">
        <v>10</v>
      </c>
      <c r="J386">
        <f>- -2109</f>
        <v>2109</v>
      </c>
      <c r="K386">
        <v>73264</v>
      </c>
      <c r="L386">
        <v>326</v>
      </c>
      <c r="M386" t="s">
        <v>12</v>
      </c>
      <c r="N386" t="s">
        <v>53</v>
      </c>
      <c r="O386">
        <v>342</v>
      </c>
      <c r="P386" t="s">
        <v>13</v>
      </c>
      <c r="Q386">
        <v>596.4</v>
      </c>
      <c r="R386" t="s">
        <v>13</v>
      </c>
      <c r="S386">
        <v>53.6</v>
      </c>
      <c r="T386" t="s">
        <v>13</v>
      </c>
      <c r="U386" t="s">
        <v>14</v>
      </c>
      <c r="V386">
        <v>42</v>
      </c>
      <c r="W386">
        <v>37</v>
      </c>
      <c r="X386">
        <v>31.3</v>
      </c>
      <c r="Y386" t="s">
        <v>15</v>
      </c>
      <c r="Z386">
        <v>74</v>
      </c>
      <c r="AA386">
        <v>0</v>
      </c>
      <c r="AB386">
        <v>36.700000000000003</v>
      </c>
      <c r="AC386">
        <v>1231728</v>
      </c>
      <c r="AD386">
        <v>228.8</v>
      </c>
      <c r="AE386" t="s">
        <v>16</v>
      </c>
      <c r="AF386">
        <v>142.16999999999999</v>
      </c>
      <c r="AG386" t="s">
        <v>17</v>
      </c>
      <c r="AH386" t="s">
        <v>73</v>
      </c>
      <c r="AI386" t="s">
        <v>729</v>
      </c>
    </row>
    <row r="387" spans="2:35" x14ac:dyDescent="0.25">
      <c r="B387" s="2" t="s">
        <v>478</v>
      </c>
      <c r="C387" t="s">
        <v>5</v>
      </c>
      <c r="D387">
        <v>44</v>
      </c>
      <c r="E387" t="s">
        <v>6</v>
      </c>
      <c r="F387" t="s">
        <v>21</v>
      </c>
      <c r="G387" t="s">
        <v>62</v>
      </c>
      <c r="H387" t="s">
        <v>9</v>
      </c>
      <c r="I387" t="s">
        <v>10</v>
      </c>
      <c r="J387" t="s">
        <v>609</v>
      </c>
      <c r="K387">
        <v>39664</v>
      </c>
      <c r="L387">
        <v>1000</v>
      </c>
      <c r="M387" t="s">
        <v>12</v>
      </c>
      <c r="N387" t="s">
        <v>53</v>
      </c>
      <c r="O387">
        <v>587.9</v>
      </c>
      <c r="P387" t="s">
        <v>13</v>
      </c>
      <c r="Q387">
        <v>741.4</v>
      </c>
      <c r="R387" t="s">
        <v>13</v>
      </c>
      <c r="S387">
        <v>367</v>
      </c>
      <c r="T387" t="s">
        <v>13</v>
      </c>
      <c r="U387" t="s">
        <v>14</v>
      </c>
      <c r="V387">
        <v>43</v>
      </c>
      <c r="W387">
        <v>51</v>
      </c>
      <c r="X387">
        <v>30</v>
      </c>
      <c r="Y387" t="s">
        <v>15</v>
      </c>
      <c r="Z387">
        <v>70</v>
      </c>
      <c r="AA387">
        <v>42</v>
      </c>
      <c r="AB387">
        <v>39</v>
      </c>
      <c r="AC387">
        <v>1055705</v>
      </c>
      <c r="AD387">
        <v>170.57</v>
      </c>
      <c r="AE387" t="s">
        <v>16</v>
      </c>
      <c r="AF387">
        <v>105.99</v>
      </c>
      <c r="AG387" t="s">
        <v>17</v>
      </c>
      <c r="AH387" t="s">
        <v>479</v>
      </c>
      <c r="AI387" t="s">
        <v>653</v>
      </c>
    </row>
    <row r="388" spans="2:35" x14ac:dyDescent="0.25">
      <c r="B388" s="2" t="s">
        <v>478</v>
      </c>
      <c r="C388" t="s">
        <v>5</v>
      </c>
      <c r="D388">
        <v>44</v>
      </c>
      <c r="E388" t="s">
        <v>6</v>
      </c>
      <c r="F388" t="s">
        <v>7</v>
      </c>
      <c r="G388" t="s">
        <v>62</v>
      </c>
      <c r="H388" t="s">
        <v>9</v>
      </c>
      <c r="I388" t="s">
        <v>10</v>
      </c>
      <c r="J388">
        <f>- -2604</f>
        <v>2604</v>
      </c>
      <c r="K388">
        <v>39664</v>
      </c>
      <c r="L388">
        <v>1000</v>
      </c>
      <c r="M388" t="s">
        <v>12</v>
      </c>
      <c r="N388" t="s">
        <v>53</v>
      </c>
      <c r="O388">
        <v>587.9</v>
      </c>
      <c r="P388" t="s">
        <v>13</v>
      </c>
      <c r="Q388">
        <v>741.4</v>
      </c>
      <c r="R388" t="s">
        <v>13</v>
      </c>
      <c r="S388">
        <v>367</v>
      </c>
      <c r="T388" t="s">
        <v>13</v>
      </c>
      <c r="U388" t="s">
        <v>14</v>
      </c>
      <c r="V388">
        <v>43</v>
      </c>
      <c r="W388">
        <v>51</v>
      </c>
      <c r="X388">
        <v>30</v>
      </c>
      <c r="Y388" t="s">
        <v>15</v>
      </c>
      <c r="Z388">
        <v>70</v>
      </c>
      <c r="AA388">
        <v>42</v>
      </c>
      <c r="AB388">
        <v>39</v>
      </c>
      <c r="AC388">
        <v>1055705</v>
      </c>
      <c r="AD388">
        <v>170.57</v>
      </c>
      <c r="AE388" t="s">
        <v>16</v>
      </c>
      <c r="AF388">
        <v>105.99</v>
      </c>
      <c r="AG388" t="s">
        <v>17</v>
      </c>
      <c r="AH388" t="s">
        <v>479</v>
      </c>
      <c r="AI388" t="s">
        <v>653</v>
      </c>
    </row>
    <row r="389" spans="2:35" x14ac:dyDescent="0.25">
      <c r="B389" s="2" t="s">
        <v>478</v>
      </c>
      <c r="C389" t="s">
        <v>5</v>
      </c>
      <c r="D389">
        <v>44</v>
      </c>
      <c r="E389" t="s">
        <v>6</v>
      </c>
      <c r="F389" t="s">
        <v>7</v>
      </c>
      <c r="G389" t="s">
        <v>62</v>
      </c>
      <c r="H389" t="s">
        <v>9</v>
      </c>
      <c r="I389" t="s">
        <v>10</v>
      </c>
      <c r="J389">
        <f>- -3109</f>
        <v>3109</v>
      </c>
      <c r="K389">
        <v>39664</v>
      </c>
      <c r="L389">
        <v>1000</v>
      </c>
      <c r="M389" t="s">
        <v>12</v>
      </c>
      <c r="N389" t="s">
        <v>53</v>
      </c>
      <c r="O389">
        <v>587.9</v>
      </c>
      <c r="P389" t="s">
        <v>13</v>
      </c>
      <c r="Q389">
        <v>741.4</v>
      </c>
      <c r="R389" t="s">
        <v>13</v>
      </c>
      <c r="S389">
        <v>367</v>
      </c>
      <c r="T389" t="s">
        <v>13</v>
      </c>
      <c r="U389" t="s">
        <v>14</v>
      </c>
      <c r="V389">
        <v>43</v>
      </c>
      <c r="W389">
        <v>51</v>
      </c>
      <c r="X389">
        <v>30</v>
      </c>
      <c r="Y389" t="s">
        <v>15</v>
      </c>
      <c r="Z389">
        <v>70</v>
      </c>
      <c r="AA389">
        <v>42</v>
      </c>
      <c r="AB389">
        <v>39</v>
      </c>
      <c r="AC389">
        <v>1055705</v>
      </c>
      <c r="AD389">
        <v>170.57</v>
      </c>
      <c r="AE389" t="s">
        <v>16</v>
      </c>
      <c r="AF389">
        <v>105.99</v>
      </c>
      <c r="AG389" t="s">
        <v>17</v>
      </c>
      <c r="AH389" t="s">
        <v>479</v>
      </c>
      <c r="AI389" t="s">
        <v>653</v>
      </c>
    </row>
    <row r="390" spans="2:35" x14ac:dyDescent="0.25">
      <c r="B390" s="2" t="s">
        <v>610</v>
      </c>
      <c r="C390" t="s">
        <v>5</v>
      </c>
      <c r="D390">
        <v>44</v>
      </c>
      <c r="E390" t="s">
        <v>96</v>
      </c>
      <c r="F390" t="s">
        <v>21</v>
      </c>
      <c r="G390" t="s">
        <v>654</v>
      </c>
      <c r="H390" t="s">
        <v>23</v>
      </c>
      <c r="I390" t="s">
        <v>10</v>
      </c>
      <c r="J390" t="s">
        <v>611</v>
      </c>
      <c r="K390">
        <v>22206</v>
      </c>
      <c r="L390">
        <v>363</v>
      </c>
      <c r="M390" t="s">
        <v>12</v>
      </c>
      <c r="N390" t="s">
        <v>53</v>
      </c>
      <c r="O390">
        <v>223.4</v>
      </c>
      <c r="P390" t="s">
        <v>13</v>
      </c>
      <c r="Q390">
        <v>288.10000000000002</v>
      </c>
      <c r="R390" t="s">
        <v>13</v>
      </c>
      <c r="S390">
        <v>98.5</v>
      </c>
      <c r="T390" t="s">
        <v>13</v>
      </c>
      <c r="U390" t="s">
        <v>14</v>
      </c>
      <c r="V390">
        <v>40</v>
      </c>
      <c r="W390">
        <v>48</v>
      </c>
      <c r="X390">
        <v>8</v>
      </c>
      <c r="Y390" t="s">
        <v>15</v>
      </c>
      <c r="Z390">
        <v>74</v>
      </c>
      <c r="AA390">
        <v>14</v>
      </c>
      <c r="AB390">
        <v>47</v>
      </c>
      <c r="AC390">
        <v>1060205</v>
      </c>
      <c r="AD390">
        <v>304.98</v>
      </c>
      <c r="AE390" t="s">
        <v>16</v>
      </c>
      <c r="AF390">
        <v>189.5</v>
      </c>
      <c r="AG390" t="s">
        <v>17</v>
      </c>
      <c r="AH390" t="s">
        <v>167</v>
      </c>
      <c r="AI390" t="s">
        <v>742</v>
      </c>
    </row>
    <row r="391" spans="2:35" x14ac:dyDescent="0.25">
      <c r="B391" s="2" t="s">
        <v>610</v>
      </c>
      <c r="C391" t="s">
        <v>5</v>
      </c>
      <c r="D391">
        <v>44</v>
      </c>
      <c r="E391" t="s">
        <v>6</v>
      </c>
      <c r="F391" t="s">
        <v>7</v>
      </c>
      <c r="G391" t="s">
        <v>654</v>
      </c>
      <c r="H391" t="s">
        <v>23</v>
      </c>
      <c r="I391" t="s">
        <v>10</v>
      </c>
      <c r="J391">
        <f>- -41037</f>
        <v>41037</v>
      </c>
      <c r="K391">
        <v>22206</v>
      </c>
      <c r="L391">
        <v>151</v>
      </c>
      <c r="M391" t="s">
        <v>12</v>
      </c>
      <c r="N391" t="s">
        <v>53</v>
      </c>
      <c r="O391">
        <v>520</v>
      </c>
      <c r="P391" t="s">
        <v>13</v>
      </c>
      <c r="Q391">
        <v>530.4</v>
      </c>
      <c r="R391" t="s">
        <v>13</v>
      </c>
      <c r="S391">
        <v>526.1</v>
      </c>
      <c r="T391" t="s">
        <v>13</v>
      </c>
      <c r="U391" t="s">
        <v>14</v>
      </c>
      <c r="V391">
        <v>40</v>
      </c>
      <c r="W391">
        <v>42</v>
      </c>
      <c r="X391">
        <v>46.8</v>
      </c>
      <c r="Y391" t="s">
        <v>15</v>
      </c>
      <c r="Z391">
        <v>74</v>
      </c>
      <c r="AA391">
        <v>0</v>
      </c>
      <c r="AB391">
        <v>47.3</v>
      </c>
      <c r="AC391">
        <v>1263701</v>
      </c>
      <c r="AD391">
        <v>295.45</v>
      </c>
      <c r="AE391" t="s">
        <v>16</v>
      </c>
      <c r="AF391">
        <v>183.59</v>
      </c>
      <c r="AG391" t="s">
        <v>17</v>
      </c>
      <c r="AH391" t="s">
        <v>33</v>
      </c>
      <c r="AI391" t="s">
        <v>742</v>
      </c>
    </row>
    <row r="392" spans="2:35" x14ac:dyDescent="0.25">
      <c r="B392" s="2" t="s">
        <v>610</v>
      </c>
      <c r="C392" t="s">
        <v>5</v>
      </c>
      <c r="D392">
        <v>44</v>
      </c>
      <c r="E392" t="s">
        <v>6</v>
      </c>
      <c r="F392" t="s">
        <v>7</v>
      </c>
      <c r="G392" t="s">
        <v>654</v>
      </c>
      <c r="H392" t="s">
        <v>23</v>
      </c>
      <c r="I392" t="s">
        <v>10</v>
      </c>
      <c r="J392">
        <f>- -53594</f>
        <v>53594</v>
      </c>
      <c r="K392">
        <v>22206</v>
      </c>
      <c r="L392">
        <v>426</v>
      </c>
      <c r="M392" t="s">
        <v>12</v>
      </c>
      <c r="N392" t="s">
        <v>53</v>
      </c>
      <c r="O392">
        <v>496</v>
      </c>
      <c r="P392" t="s">
        <v>13</v>
      </c>
      <c r="Q392">
        <v>506</v>
      </c>
      <c r="R392" t="s">
        <v>13</v>
      </c>
      <c r="S392">
        <v>501.7</v>
      </c>
      <c r="T392" t="s">
        <v>13</v>
      </c>
      <c r="U392" t="s">
        <v>14</v>
      </c>
      <c r="V392">
        <v>40</v>
      </c>
      <c r="W392">
        <v>42</v>
      </c>
      <c r="X392">
        <v>46.8</v>
      </c>
      <c r="Y392" t="s">
        <v>15</v>
      </c>
      <c r="Z392">
        <v>74</v>
      </c>
      <c r="AA392">
        <v>0</v>
      </c>
      <c r="AB392">
        <v>47.3</v>
      </c>
      <c r="AC392">
        <v>1263701</v>
      </c>
      <c r="AD392">
        <v>295.45</v>
      </c>
      <c r="AE392" t="s">
        <v>16</v>
      </c>
      <c r="AF392">
        <v>183.59</v>
      </c>
      <c r="AG392" t="s">
        <v>17</v>
      </c>
      <c r="AH392" t="s">
        <v>33</v>
      </c>
      <c r="AI392" t="s">
        <v>742</v>
      </c>
    </row>
    <row r="393" spans="2:35" x14ac:dyDescent="0.25">
      <c r="B393" s="2" t="s">
        <v>610</v>
      </c>
      <c r="C393" t="s">
        <v>5</v>
      </c>
      <c r="D393">
        <v>44</v>
      </c>
      <c r="E393" t="s">
        <v>6</v>
      </c>
      <c r="F393" t="s">
        <v>7</v>
      </c>
      <c r="G393" t="s">
        <v>654</v>
      </c>
      <c r="H393" t="s">
        <v>23</v>
      </c>
      <c r="I393" t="s">
        <v>10</v>
      </c>
      <c r="J393">
        <f>- -57821</f>
        <v>57821</v>
      </c>
      <c r="K393">
        <v>22206</v>
      </c>
      <c r="L393">
        <v>151</v>
      </c>
      <c r="M393" t="s">
        <v>12</v>
      </c>
      <c r="N393" t="s">
        <v>53</v>
      </c>
      <c r="O393">
        <v>520</v>
      </c>
      <c r="P393" t="s">
        <v>13</v>
      </c>
      <c r="Q393">
        <v>530.4</v>
      </c>
      <c r="R393" t="s">
        <v>13</v>
      </c>
      <c r="S393">
        <v>526.1</v>
      </c>
      <c r="T393" t="s">
        <v>13</v>
      </c>
      <c r="U393" t="s">
        <v>14</v>
      </c>
      <c r="V393">
        <v>40</v>
      </c>
      <c r="W393">
        <v>42</v>
      </c>
      <c r="X393">
        <v>46.8</v>
      </c>
      <c r="Y393" t="s">
        <v>15</v>
      </c>
      <c r="Z393">
        <v>74</v>
      </c>
      <c r="AA393">
        <v>0</v>
      </c>
      <c r="AB393">
        <v>47.3</v>
      </c>
      <c r="AC393">
        <v>1263701</v>
      </c>
      <c r="AD393">
        <v>295.45</v>
      </c>
      <c r="AE393" t="s">
        <v>16</v>
      </c>
      <c r="AF393">
        <v>183.59</v>
      </c>
      <c r="AG393" t="s">
        <v>17</v>
      </c>
      <c r="AH393" t="s">
        <v>33</v>
      </c>
      <c r="AI393" t="s">
        <v>742</v>
      </c>
    </row>
    <row r="394" spans="2:35" x14ac:dyDescent="0.25">
      <c r="B394" s="2" t="s">
        <v>610</v>
      </c>
      <c r="C394" t="s">
        <v>5</v>
      </c>
      <c r="D394">
        <v>44</v>
      </c>
      <c r="E394" t="s">
        <v>6</v>
      </c>
      <c r="F394" t="s">
        <v>7</v>
      </c>
      <c r="G394" t="s">
        <v>654</v>
      </c>
      <c r="H394" t="s">
        <v>23</v>
      </c>
      <c r="I394" t="s">
        <v>10</v>
      </c>
      <c r="J394">
        <f>- -63124</f>
        <v>63124</v>
      </c>
      <c r="K394">
        <v>22206</v>
      </c>
      <c r="L394">
        <v>426</v>
      </c>
      <c r="M394" t="s">
        <v>12</v>
      </c>
      <c r="N394" t="s">
        <v>53</v>
      </c>
      <c r="O394">
        <v>496</v>
      </c>
      <c r="P394" t="s">
        <v>13</v>
      </c>
      <c r="Q394">
        <v>506</v>
      </c>
      <c r="R394" t="s">
        <v>13</v>
      </c>
      <c r="S394">
        <v>501.7</v>
      </c>
      <c r="T394" t="s">
        <v>13</v>
      </c>
      <c r="U394" t="s">
        <v>14</v>
      </c>
      <c r="V394">
        <v>40</v>
      </c>
      <c r="W394">
        <v>42</v>
      </c>
      <c r="X394">
        <v>46.8</v>
      </c>
      <c r="Y394" t="s">
        <v>15</v>
      </c>
      <c r="Z394">
        <v>74</v>
      </c>
      <c r="AA394">
        <v>0</v>
      </c>
      <c r="AB394">
        <v>47.3</v>
      </c>
      <c r="AC394">
        <v>1263701</v>
      </c>
      <c r="AD394">
        <v>295.45</v>
      </c>
      <c r="AE394" t="s">
        <v>16</v>
      </c>
      <c r="AF394">
        <v>183.59</v>
      </c>
      <c r="AG394" t="s">
        <v>17</v>
      </c>
      <c r="AH394" t="s">
        <v>33</v>
      </c>
      <c r="AI394" t="s">
        <v>742</v>
      </c>
    </row>
    <row r="395" spans="2:35" x14ac:dyDescent="0.25">
      <c r="B395" s="2" t="s">
        <v>610</v>
      </c>
      <c r="C395" t="s">
        <v>5</v>
      </c>
      <c r="D395">
        <v>44</v>
      </c>
      <c r="E395" t="s">
        <v>6</v>
      </c>
      <c r="F395" t="s">
        <v>7</v>
      </c>
      <c r="G395" t="s">
        <v>654</v>
      </c>
      <c r="H395" t="s">
        <v>23</v>
      </c>
      <c r="I395" t="s">
        <v>10</v>
      </c>
      <c r="J395">
        <f>- -67524</f>
        <v>67524</v>
      </c>
      <c r="K395">
        <v>22206</v>
      </c>
      <c r="L395">
        <v>151</v>
      </c>
      <c r="M395" t="s">
        <v>12</v>
      </c>
      <c r="N395" t="s">
        <v>53</v>
      </c>
      <c r="O395">
        <v>520</v>
      </c>
      <c r="P395" t="s">
        <v>13</v>
      </c>
      <c r="Q395">
        <v>530.4</v>
      </c>
      <c r="R395" t="s">
        <v>13</v>
      </c>
      <c r="S395">
        <v>526.1</v>
      </c>
      <c r="T395" t="s">
        <v>13</v>
      </c>
      <c r="U395" t="s">
        <v>14</v>
      </c>
      <c r="V395">
        <v>40</v>
      </c>
      <c r="W395">
        <v>42</v>
      </c>
      <c r="X395">
        <v>46.8</v>
      </c>
      <c r="Y395" t="s">
        <v>15</v>
      </c>
      <c r="Z395">
        <v>74</v>
      </c>
      <c r="AA395">
        <v>0</v>
      </c>
      <c r="AB395">
        <v>47.3</v>
      </c>
      <c r="AC395">
        <v>1263701</v>
      </c>
      <c r="AD395">
        <v>295.45</v>
      </c>
      <c r="AE395" t="s">
        <v>16</v>
      </c>
      <c r="AF395">
        <v>183.59</v>
      </c>
      <c r="AG395" t="s">
        <v>17</v>
      </c>
      <c r="AH395" t="s">
        <v>33</v>
      </c>
      <c r="AI395" t="s">
        <v>742</v>
      </c>
    </row>
    <row r="396" spans="2:35" x14ac:dyDescent="0.25">
      <c r="B396" s="2" t="s">
        <v>247</v>
      </c>
      <c r="C396" t="s">
        <v>5</v>
      </c>
      <c r="D396">
        <v>44</v>
      </c>
      <c r="E396" t="s">
        <v>20</v>
      </c>
      <c r="F396" t="s">
        <v>21</v>
      </c>
      <c r="G396" t="s">
        <v>373</v>
      </c>
      <c r="H396" t="s">
        <v>249</v>
      </c>
      <c r="I396" t="s">
        <v>10</v>
      </c>
      <c r="J396" t="s">
        <v>612</v>
      </c>
      <c r="K396">
        <v>47929</v>
      </c>
      <c r="L396">
        <v>0.32300000000000001</v>
      </c>
      <c r="M396" t="s">
        <v>12</v>
      </c>
      <c r="N396" t="s">
        <v>53</v>
      </c>
      <c r="O396">
        <v>0</v>
      </c>
      <c r="P396" t="s">
        <v>13</v>
      </c>
      <c r="Q396">
        <v>683</v>
      </c>
      <c r="R396" t="s">
        <v>13</v>
      </c>
      <c r="S396">
        <v>21.3</v>
      </c>
      <c r="T396" t="s">
        <v>13</v>
      </c>
      <c r="U396" t="s">
        <v>14</v>
      </c>
      <c r="V396">
        <v>41</v>
      </c>
      <c r="W396">
        <v>37</v>
      </c>
      <c r="X396">
        <v>55.3</v>
      </c>
      <c r="Y396" t="s">
        <v>15</v>
      </c>
      <c r="Z396">
        <v>75</v>
      </c>
      <c r="AA396">
        <v>25</v>
      </c>
      <c r="AB396">
        <v>31.6</v>
      </c>
      <c r="AC396" t="s">
        <v>11</v>
      </c>
      <c r="AD396">
        <v>355.81</v>
      </c>
      <c r="AE396" t="s">
        <v>16</v>
      </c>
      <c r="AF396">
        <v>221.09</v>
      </c>
      <c r="AG396" t="s">
        <v>17</v>
      </c>
      <c r="AH396" t="s">
        <v>250</v>
      </c>
      <c r="AI396" t="s">
        <v>715</v>
      </c>
    </row>
    <row r="397" spans="2:35" x14ac:dyDescent="0.25">
      <c r="B397" s="2" t="s">
        <v>583</v>
      </c>
      <c r="C397" t="s">
        <v>5</v>
      </c>
      <c r="D397">
        <v>45</v>
      </c>
      <c r="E397" t="s">
        <v>6</v>
      </c>
      <c r="F397" t="s">
        <v>7</v>
      </c>
      <c r="G397" t="s">
        <v>687</v>
      </c>
      <c r="H397" t="s">
        <v>115</v>
      </c>
      <c r="I397" t="s">
        <v>10</v>
      </c>
      <c r="J397">
        <f>- -58630</f>
        <v>58630</v>
      </c>
      <c r="K397">
        <v>13595</v>
      </c>
      <c r="L397">
        <v>490</v>
      </c>
      <c r="M397" t="s">
        <v>12</v>
      </c>
      <c r="N397" t="s">
        <v>53</v>
      </c>
      <c r="O397">
        <v>505</v>
      </c>
      <c r="P397" t="s">
        <v>13</v>
      </c>
      <c r="Q397">
        <v>604.4</v>
      </c>
      <c r="R397" t="s">
        <v>13</v>
      </c>
      <c r="S397">
        <v>388</v>
      </c>
      <c r="T397" t="s">
        <v>13</v>
      </c>
      <c r="U397" t="s">
        <v>14</v>
      </c>
      <c r="V397">
        <v>41</v>
      </c>
      <c r="W397">
        <v>42</v>
      </c>
      <c r="X397">
        <v>13</v>
      </c>
      <c r="Y397" t="s">
        <v>15</v>
      </c>
      <c r="Z397">
        <v>72</v>
      </c>
      <c r="AA397">
        <v>49</v>
      </c>
      <c r="AB397">
        <v>55</v>
      </c>
      <c r="AC397">
        <v>1041624</v>
      </c>
      <c r="AD397">
        <v>150.86000000000001</v>
      </c>
      <c r="AE397" t="s">
        <v>16</v>
      </c>
      <c r="AF397">
        <v>93.74</v>
      </c>
      <c r="AG397" t="s">
        <v>17</v>
      </c>
      <c r="AH397" t="s">
        <v>263</v>
      </c>
      <c r="AI397" t="s">
        <v>681</v>
      </c>
    </row>
    <row r="398" spans="2:35" x14ac:dyDescent="0.25">
      <c r="B398" s="2" t="s">
        <v>583</v>
      </c>
      <c r="C398" t="s">
        <v>5</v>
      </c>
      <c r="D398">
        <v>45</v>
      </c>
      <c r="E398" t="s">
        <v>6</v>
      </c>
      <c r="F398" t="s">
        <v>11</v>
      </c>
      <c r="G398" t="s">
        <v>687</v>
      </c>
      <c r="H398" t="s">
        <v>115</v>
      </c>
      <c r="I398" t="s">
        <v>10</v>
      </c>
      <c r="J398">
        <f>- -59632</f>
        <v>59632</v>
      </c>
      <c r="K398">
        <v>13595</v>
      </c>
      <c r="L398">
        <v>490</v>
      </c>
      <c r="M398" t="s">
        <v>12</v>
      </c>
      <c r="N398" t="s">
        <v>53</v>
      </c>
      <c r="O398">
        <v>505</v>
      </c>
      <c r="P398" t="s">
        <v>13</v>
      </c>
      <c r="Q398">
        <v>604.4</v>
      </c>
      <c r="R398" t="s">
        <v>13</v>
      </c>
      <c r="S398">
        <v>388</v>
      </c>
      <c r="T398" t="s">
        <v>13</v>
      </c>
      <c r="U398" t="s">
        <v>14</v>
      </c>
      <c r="V398">
        <v>41</v>
      </c>
      <c r="W398">
        <v>42</v>
      </c>
      <c r="X398">
        <v>13</v>
      </c>
      <c r="Y398" t="s">
        <v>15</v>
      </c>
      <c r="Z398">
        <v>72</v>
      </c>
      <c r="AA398">
        <v>49</v>
      </c>
      <c r="AB398">
        <v>55</v>
      </c>
      <c r="AC398">
        <v>1041624</v>
      </c>
      <c r="AD398">
        <v>150.86000000000001</v>
      </c>
      <c r="AE398" t="s">
        <v>16</v>
      </c>
      <c r="AF398">
        <v>93.74</v>
      </c>
      <c r="AG398" t="s">
        <v>17</v>
      </c>
      <c r="AH398" t="s">
        <v>263</v>
      </c>
      <c r="AI398" t="s">
        <v>681</v>
      </c>
    </row>
    <row r="399" spans="2:35" x14ac:dyDescent="0.25">
      <c r="B399" s="2" t="s">
        <v>548</v>
      </c>
      <c r="C399" t="s">
        <v>5</v>
      </c>
      <c r="D399">
        <v>45</v>
      </c>
      <c r="E399" t="s">
        <v>20</v>
      </c>
      <c r="F399" t="s">
        <v>21</v>
      </c>
      <c r="G399" t="s">
        <v>40</v>
      </c>
      <c r="H399" t="s">
        <v>41</v>
      </c>
      <c r="I399" t="s">
        <v>10</v>
      </c>
      <c r="J399" t="s">
        <v>613</v>
      </c>
      <c r="K399">
        <v>168497</v>
      </c>
      <c r="L399">
        <v>15</v>
      </c>
      <c r="M399" t="s">
        <v>12</v>
      </c>
      <c r="N399" t="s">
        <v>53</v>
      </c>
      <c r="O399">
        <v>0</v>
      </c>
      <c r="P399" t="s">
        <v>13</v>
      </c>
      <c r="Q399">
        <v>255</v>
      </c>
      <c r="R399" t="s">
        <v>13</v>
      </c>
      <c r="S399">
        <v>249.5</v>
      </c>
      <c r="T399" t="s">
        <v>13</v>
      </c>
      <c r="U399" t="s">
        <v>14</v>
      </c>
      <c r="V399">
        <v>42</v>
      </c>
      <c r="W399">
        <v>20</v>
      </c>
      <c r="X399">
        <v>57</v>
      </c>
      <c r="Y399" t="s">
        <v>15</v>
      </c>
      <c r="Z399">
        <v>71</v>
      </c>
      <c r="AA399">
        <v>4</v>
      </c>
      <c r="AB399">
        <v>29</v>
      </c>
      <c r="AC399">
        <v>1005833</v>
      </c>
      <c r="AD399">
        <v>14.51</v>
      </c>
      <c r="AE399" t="s">
        <v>16</v>
      </c>
      <c r="AF399">
        <v>9.02</v>
      </c>
      <c r="AG399" t="s">
        <v>17</v>
      </c>
      <c r="AH399" t="s">
        <v>549</v>
      </c>
      <c r="AI399" t="s">
        <v>786</v>
      </c>
    </row>
    <row r="400" spans="2:35" x14ac:dyDescent="0.25">
      <c r="B400" s="2" t="s">
        <v>171</v>
      </c>
      <c r="C400" t="s">
        <v>5</v>
      </c>
      <c r="D400">
        <v>45</v>
      </c>
      <c r="E400" t="s">
        <v>20</v>
      </c>
      <c r="F400" t="s">
        <v>21</v>
      </c>
      <c r="G400" t="s">
        <v>776</v>
      </c>
      <c r="H400" t="s">
        <v>23</v>
      </c>
      <c r="I400" t="s">
        <v>10</v>
      </c>
      <c r="J400" t="s">
        <v>614</v>
      </c>
      <c r="K400">
        <v>73363</v>
      </c>
      <c r="L400">
        <v>15</v>
      </c>
      <c r="M400" t="s">
        <v>12</v>
      </c>
      <c r="N400" t="s">
        <v>53</v>
      </c>
      <c r="O400">
        <v>0</v>
      </c>
      <c r="P400" t="s">
        <v>13</v>
      </c>
      <c r="Q400">
        <v>442.3</v>
      </c>
      <c r="R400" t="s">
        <v>13</v>
      </c>
      <c r="S400">
        <v>40</v>
      </c>
      <c r="T400" t="s">
        <v>13</v>
      </c>
      <c r="U400" t="s">
        <v>14</v>
      </c>
      <c r="V400">
        <v>43</v>
      </c>
      <c r="W400">
        <v>18</v>
      </c>
      <c r="X400">
        <v>17</v>
      </c>
      <c r="Y400" t="s">
        <v>15</v>
      </c>
      <c r="Z400">
        <v>73</v>
      </c>
      <c r="AA400">
        <v>45</v>
      </c>
      <c r="AB400">
        <v>5</v>
      </c>
      <c r="AC400">
        <v>1200269</v>
      </c>
      <c r="AD400">
        <v>229.32</v>
      </c>
      <c r="AE400" t="s">
        <v>16</v>
      </c>
      <c r="AF400">
        <v>142.49</v>
      </c>
      <c r="AG400" t="s">
        <v>17</v>
      </c>
      <c r="AH400" t="s">
        <v>208</v>
      </c>
      <c r="AI400" t="s">
        <v>672</v>
      </c>
    </row>
    <row r="401" spans="2:35" x14ac:dyDescent="0.25">
      <c r="B401" s="2" t="s">
        <v>171</v>
      </c>
      <c r="C401" t="s">
        <v>5</v>
      </c>
      <c r="D401">
        <v>45</v>
      </c>
      <c r="E401" t="s">
        <v>20</v>
      </c>
      <c r="F401" t="s">
        <v>7</v>
      </c>
      <c r="G401" t="s">
        <v>91</v>
      </c>
      <c r="H401" t="s">
        <v>23</v>
      </c>
      <c r="I401" t="s">
        <v>10</v>
      </c>
      <c r="J401">
        <f>- -41750</f>
        <v>41750</v>
      </c>
      <c r="K401">
        <v>73363</v>
      </c>
      <c r="L401">
        <v>15</v>
      </c>
      <c r="M401" t="s">
        <v>12</v>
      </c>
      <c r="N401" t="s">
        <v>53</v>
      </c>
      <c r="O401">
        <v>0</v>
      </c>
      <c r="P401" t="s">
        <v>13</v>
      </c>
      <c r="Q401">
        <v>442.3</v>
      </c>
      <c r="R401" t="s">
        <v>13</v>
      </c>
      <c r="S401">
        <v>40</v>
      </c>
      <c r="T401" t="s">
        <v>13</v>
      </c>
      <c r="U401" t="s">
        <v>14</v>
      </c>
      <c r="V401">
        <v>43</v>
      </c>
      <c r="W401">
        <v>18</v>
      </c>
      <c r="X401">
        <v>17</v>
      </c>
      <c r="Y401" t="s">
        <v>15</v>
      </c>
      <c r="Z401">
        <v>73</v>
      </c>
      <c r="AA401">
        <v>45</v>
      </c>
      <c r="AB401">
        <v>5</v>
      </c>
      <c r="AC401">
        <v>1200269</v>
      </c>
      <c r="AD401">
        <v>229.32</v>
      </c>
      <c r="AE401" t="s">
        <v>16</v>
      </c>
      <c r="AF401">
        <v>142.49</v>
      </c>
      <c r="AG401" t="s">
        <v>17</v>
      </c>
      <c r="AH401" t="s">
        <v>208</v>
      </c>
      <c r="AI401" t="s">
        <v>672</v>
      </c>
    </row>
    <row r="402" spans="2:35" x14ac:dyDescent="0.25">
      <c r="B402" s="2" t="s">
        <v>171</v>
      </c>
      <c r="C402" t="s">
        <v>5</v>
      </c>
      <c r="D402">
        <v>45</v>
      </c>
      <c r="E402" t="s">
        <v>20</v>
      </c>
      <c r="F402" t="s">
        <v>7</v>
      </c>
      <c r="G402" t="s">
        <v>91</v>
      </c>
      <c r="H402" t="s">
        <v>23</v>
      </c>
      <c r="I402" t="s">
        <v>10</v>
      </c>
      <c r="J402">
        <f>- -54103</f>
        <v>54103</v>
      </c>
      <c r="K402">
        <v>73363</v>
      </c>
      <c r="L402">
        <v>15</v>
      </c>
      <c r="M402" t="s">
        <v>12</v>
      </c>
      <c r="N402" t="s">
        <v>53</v>
      </c>
      <c r="O402">
        <v>0</v>
      </c>
      <c r="P402" t="s">
        <v>13</v>
      </c>
      <c r="Q402">
        <v>442.3</v>
      </c>
      <c r="R402" t="s">
        <v>13</v>
      </c>
      <c r="S402">
        <v>40</v>
      </c>
      <c r="T402" t="s">
        <v>13</v>
      </c>
      <c r="U402" t="s">
        <v>14</v>
      </c>
      <c r="V402">
        <v>43</v>
      </c>
      <c r="W402">
        <v>18</v>
      </c>
      <c r="X402">
        <v>17</v>
      </c>
      <c r="Y402" t="s">
        <v>15</v>
      </c>
      <c r="Z402">
        <v>73</v>
      </c>
      <c r="AA402">
        <v>45</v>
      </c>
      <c r="AB402">
        <v>5</v>
      </c>
      <c r="AC402">
        <v>1200269</v>
      </c>
      <c r="AD402">
        <v>229.32</v>
      </c>
      <c r="AE402" t="s">
        <v>16</v>
      </c>
      <c r="AF402">
        <v>142.49</v>
      </c>
      <c r="AG402" t="s">
        <v>17</v>
      </c>
      <c r="AH402" t="s">
        <v>208</v>
      </c>
      <c r="AI402" t="s">
        <v>672</v>
      </c>
    </row>
    <row r="403" spans="2:35" x14ac:dyDescent="0.25">
      <c r="B403" s="2" t="s">
        <v>171</v>
      </c>
      <c r="C403" t="s">
        <v>5</v>
      </c>
      <c r="D403">
        <v>45</v>
      </c>
      <c r="E403" t="s">
        <v>20</v>
      </c>
      <c r="F403" t="s">
        <v>7</v>
      </c>
      <c r="G403" t="s">
        <v>91</v>
      </c>
      <c r="H403" t="s">
        <v>23</v>
      </c>
      <c r="I403" t="s">
        <v>10</v>
      </c>
      <c r="J403">
        <f>- -63295</f>
        <v>63295</v>
      </c>
      <c r="K403">
        <v>73363</v>
      </c>
      <c r="L403">
        <v>15</v>
      </c>
      <c r="M403" t="s">
        <v>12</v>
      </c>
      <c r="N403" t="s">
        <v>53</v>
      </c>
      <c r="O403">
        <v>0</v>
      </c>
      <c r="P403" t="s">
        <v>13</v>
      </c>
      <c r="Q403">
        <v>442.3</v>
      </c>
      <c r="R403" t="s">
        <v>13</v>
      </c>
      <c r="S403">
        <v>40</v>
      </c>
      <c r="T403" t="s">
        <v>13</v>
      </c>
      <c r="U403" t="s">
        <v>14</v>
      </c>
      <c r="V403">
        <v>43</v>
      </c>
      <c r="W403">
        <v>18</v>
      </c>
      <c r="X403">
        <v>17</v>
      </c>
      <c r="Y403" t="s">
        <v>15</v>
      </c>
      <c r="Z403">
        <v>73</v>
      </c>
      <c r="AA403">
        <v>45</v>
      </c>
      <c r="AB403">
        <v>5</v>
      </c>
      <c r="AC403">
        <v>1200269</v>
      </c>
      <c r="AD403">
        <v>229.32</v>
      </c>
      <c r="AE403" t="s">
        <v>16</v>
      </c>
      <c r="AF403">
        <v>142.49</v>
      </c>
      <c r="AG403" t="s">
        <v>17</v>
      </c>
      <c r="AH403" t="s">
        <v>208</v>
      </c>
      <c r="AI403" t="s">
        <v>672</v>
      </c>
    </row>
    <row r="404" spans="2:35" x14ac:dyDescent="0.25">
      <c r="B404" s="2" t="s">
        <v>171</v>
      </c>
      <c r="C404" t="s">
        <v>5</v>
      </c>
      <c r="D404">
        <v>45</v>
      </c>
      <c r="E404" t="s">
        <v>20</v>
      </c>
      <c r="F404" t="s">
        <v>7</v>
      </c>
      <c r="G404" t="s">
        <v>91</v>
      </c>
      <c r="H404" t="s">
        <v>23</v>
      </c>
      <c r="I404" t="s">
        <v>10</v>
      </c>
      <c r="J404">
        <f>- -69140</f>
        <v>69140</v>
      </c>
      <c r="K404">
        <v>73363</v>
      </c>
      <c r="L404">
        <v>15</v>
      </c>
      <c r="M404" t="s">
        <v>12</v>
      </c>
      <c r="N404" t="s">
        <v>53</v>
      </c>
      <c r="O404">
        <v>0</v>
      </c>
      <c r="P404" t="s">
        <v>13</v>
      </c>
      <c r="Q404">
        <v>442.3</v>
      </c>
      <c r="R404" t="s">
        <v>13</v>
      </c>
      <c r="S404">
        <v>40</v>
      </c>
      <c r="T404" t="s">
        <v>13</v>
      </c>
      <c r="U404" t="s">
        <v>14</v>
      </c>
      <c r="V404">
        <v>43</v>
      </c>
      <c r="W404">
        <v>18</v>
      </c>
      <c r="X404">
        <v>17</v>
      </c>
      <c r="Y404" t="s">
        <v>15</v>
      </c>
      <c r="Z404">
        <v>73</v>
      </c>
      <c r="AA404">
        <v>45</v>
      </c>
      <c r="AB404">
        <v>5</v>
      </c>
      <c r="AC404">
        <v>1200269</v>
      </c>
      <c r="AD404">
        <v>229.32</v>
      </c>
      <c r="AE404" t="s">
        <v>16</v>
      </c>
      <c r="AF404">
        <v>142.49</v>
      </c>
      <c r="AG404" t="s">
        <v>17</v>
      </c>
      <c r="AH404" t="s">
        <v>208</v>
      </c>
      <c r="AI404" t="s">
        <v>672</v>
      </c>
    </row>
    <row r="405" spans="2:35" x14ac:dyDescent="0.25">
      <c r="B405" s="2" t="s">
        <v>463</v>
      </c>
      <c r="C405" t="s">
        <v>5</v>
      </c>
      <c r="D405">
        <v>46</v>
      </c>
      <c r="E405" t="s">
        <v>34</v>
      </c>
      <c r="F405" t="s">
        <v>21</v>
      </c>
      <c r="G405" t="s">
        <v>683</v>
      </c>
      <c r="H405" t="s">
        <v>23</v>
      </c>
      <c r="I405" t="s">
        <v>10</v>
      </c>
      <c r="J405" t="s">
        <v>615</v>
      </c>
      <c r="K405">
        <v>128222</v>
      </c>
      <c r="L405">
        <v>0.2</v>
      </c>
      <c r="M405" t="s">
        <v>12</v>
      </c>
      <c r="N405" t="s">
        <v>53</v>
      </c>
      <c r="O405">
        <v>0</v>
      </c>
      <c r="P405" t="s">
        <v>13</v>
      </c>
      <c r="Q405">
        <v>171</v>
      </c>
      <c r="R405" t="s">
        <v>13</v>
      </c>
      <c r="S405">
        <v>38</v>
      </c>
      <c r="T405" t="s">
        <v>13</v>
      </c>
      <c r="U405" t="s">
        <v>14</v>
      </c>
      <c r="V405">
        <v>41</v>
      </c>
      <c r="W405">
        <v>21</v>
      </c>
      <c r="X405">
        <v>49.3</v>
      </c>
      <c r="Y405" t="s">
        <v>15</v>
      </c>
      <c r="Z405">
        <v>74</v>
      </c>
      <c r="AA405">
        <v>40</v>
      </c>
      <c r="AB405">
        <v>39.5</v>
      </c>
      <c r="AC405" t="s">
        <v>11</v>
      </c>
      <c r="AD405">
        <v>306.08999999999997</v>
      </c>
      <c r="AE405" t="s">
        <v>16</v>
      </c>
      <c r="AF405">
        <v>190.2</v>
      </c>
      <c r="AG405" t="s">
        <v>17</v>
      </c>
      <c r="AH405" t="s">
        <v>280</v>
      </c>
      <c r="AI405" t="s">
        <v>684</v>
      </c>
    </row>
    <row r="406" spans="2:35" x14ac:dyDescent="0.25">
      <c r="B406" s="2" t="s">
        <v>180</v>
      </c>
      <c r="C406" t="s">
        <v>5</v>
      </c>
      <c r="D406">
        <v>46</v>
      </c>
      <c r="E406" t="s">
        <v>181</v>
      </c>
      <c r="F406" t="s">
        <v>7</v>
      </c>
      <c r="G406" t="s">
        <v>654</v>
      </c>
      <c r="H406" t="s">
        <v>23</v>
      </c>
      <c r="I406" t="s">
        <v>10</v>
      </c>
      <c r="J406">
        <f>- -2068</f>
        <v>2068</v>
      </c>
      <c r="K406">
        <v>14322</v>
      </c>
      <c r="L406">
        <v>15</v>
      </c>
      <c r="M406" t="s">
        <v>12</v>
      </c>
      <c r="N406" t="s">
        <v>53</v>
      </c>
      <c r="O406">
        <v>0</v>
      </c>
      <c r="P406" t="s">
        <v>13</v>
      </c>
      <c r="Q406">
        <v>275.5</v>
      </c>
      <c r="R406" t="s">
        <v>13</v>
      </c>
      <c r="S406">
        <v>266.10000000000002</v>
      </c>
      <c r="T406" t="s">
        <v>13</v>
      </c>
      <c r="U406" t="s">
        <v>14</v>
      </c>
      <c r="V406">
        <v>40</v>
      </c>
      <c r="W406">
        <v>45</v>
      </c>
      <c r="X406">
        <v>8.1</v>
      </c>
      <c r="Y406" t="s">
        <v>15</v>
      </c>
      <c r="Z406">
        <v>73</v>
      </c>
      <c r="AA406">
        <v>58</v>
      </c>
      <c r="AB406">
        <v>2.1</v>
      </c>
      <c r="AC406">
        <v>1268297</v>
      </c>
      <c r="AD406">
        <v>289.69</v>
      </c>
      <c r="AE406" t="s">
        <v>16</v>
      </c>
      <c r="AF406">
        <v>180</v>
      </c>
      <c r="AG406" t="s">
        <v>17</v>
      </c>
      <c r="AH406" t="s">
        <v>25</v>
      </c>
      <c r="AI406" t="s">
        <v>169</v>
      </c>
    </row>
    <row r="407" spans="2:35" x14ac:dyDescent="0.25">
      <c r="B407" s="2" t="s">
        <v>565</v>
      </c>
      <c r="C407" t="s">
        <v>5</v>
      </c>
      <c r="D407">
        <v>46</v>
      </c>
      <c r="E407" t="s">
        <v>34</v>
      </c>
      <c r="F407" t="s">
        <v>7</v>
      </c>
      <c r="G407" t="s">
        <v>40</v>
      </c>
      <c r="H407" t="s">
        <v>41</v>
      </c>
      <c r="I407" t="s">
        <v>10</v>
      </c>
      <c r="J407">
        <f>- -13941</f>
        <v>13941</v>
      </c>
      <c r="K407">
        <v>64996</v>
      </c>
      <c r="L407">
        <v>2.35</v>
      </c>
      <c r="M407" t="s">
        <v>12</v>
      </c>
      <c r="N407" t="s">
        <v>53</v>
      </c>
      <c r="O407">
        <v>0</v>
      </c>
      <c r="P407" t="s">
        <v>13</v>
      </c>
      <c r="Q407">
        <v>87.8</v>
      </c>
      <c r="R407" t="s">
        <v>13</v>
      </c>
      <c r="S407">
        <v>30.5</v>
      </c>
      <c r="T407" t="s">
        <v>13</v>
      </c>
      <c r="U407" t="s">
        <v>14</v>
      </c>
      <c r="V407">
        <v>42</v>
      </c>
      <c r="W407">
        <v>25</v>
      </c>
      <c r="X407">
        <v>52</v>
      </c>
      <c r="Y407" t="s">
        <v>15</v>
      </c>
      <c r="Z407">
        <v>71</v>
      </c>
      <c r="AA407">
        <v>5</v>
      </c>
      <c r="AB407">
        <v>17</v>
      </c>
      <c r="AC407">
        <v>1003922</v>
      </c>
      <c r="AD407">
        <v>14.57</v>
      </c>
      <c r="AE407" t="s">
        <v>16</v>
      </c>
      <c r="AF407">
        <v>9.06</v>
      </c>
      <c r="AG407" t="s">
        <v>17</v>
      </c>
      <c r="AH407" t="s">
        <v>616</v>
      </c>
      <c r="AI407" t="s">
        <v>790</v>
      </c>
    </row>
    <row r="408" spans="2:35" x14ac:dyDescent="0.25">
      <c r="B408" s="2" t="s">
        <v>565</v>
      </c>
      <c r="C408" t="s">
        <v>5</v>
      </c>
      <c r="D408">
        <v>46</v>
      </c>
      <c r="E408" t="s">
        <v>20</v>
      </c>
      <c r="F408" t="s">
        <v>21</v>
      </c>
      <c r="G408" t="s">
        <v>40</v>
      </c>
      <c r="H408" t="s">
        <v>41</v>
      </c>
      <c r="I408" t="s">
        <v>10</v>
      </c>
      <c r="J408">
        <f>- -14006</f>
        <v>14006</v>
      </c>
      <c r="K408">
        <v>64996</v>
      </c>
      <c r="L408">
        <v>11.2</v>
      </c>
      <c r="M408" t="s">
        <v>12</v>
      </c>
      <c r="N408" t="s">
        <v>53</v>
      </c>
      <c r="O408">
        <v>0</v>
      </c>
      <c r="P408" t="s">
        <v>13</v>
      </c>
      <c r="Q408">
        <v>283.7</v>
      </c>
      <c r="R408" t="s">
        <v>13</v>
      </c>
      <c r="S408">
        <v>237.1</v>
      </c>
      <c r="T408" t="s">
        <v>13</v>
      </c>
      <c r="U408" t="s">
        <v>14</v>
      </c>
      <c r="V408">
        <v>42</v>
      </c>
      <c r="W408">
        <v>18</v>
      </c>
      <c r="X408">
        <v>37</v>
      </c>
      <c r="Y408" t="s">
        <v>15</v>
      </c>
      <c r="Z408">
        <v>71</v>
      </c>
      <c r="AA408">
        <v>14</v>
      </c>
      <c r="AB408">
        <v>12</v>
      </c>
      <c r="AC408">
        <v>1003433</v>
      </c>
      <c r="AD408">
        <v>7.16</v>
      </c>
      <c r="AE408" t="s">
        <v>16</v>
      </c>
      <c r="AF408">
        <v>4.45</v>
      </c>
      <c r="AG408" t="s">
        <v>17</v>
      </c>
      <c r="AH408" t="s">
        <v>253</v>
      </c>
      <c r="AI408" t="s">
        <v>790</v>
      </c>
    </row>
    <row r="409" spans="2:35" x14ac:dyDescent="0.25">
      <c r="B409" s="2" t="s">
        <v>287</v>
      </c>
      <c r="C409" t="s">
        <v>5</v>
      </c>
      <c r="D409">
        <v>46</v>
      </c>
      <c r="E409" t="s">
        <v>20</v>
      </c>
      <c r="F409" t="s">
        <v>21</v>
      </c>
      <c r="G409" t="s">
        <v>722</v>
      </c>
      <c r="H409" t="s">
        <v>101</v>
      </c>
      <c r="I409" t="s">
        <v>10</v>
      </c>
      <c r="J409" t="s">
        <v>617</v>
      </c>
      <c r="K409">
        <v>189111</v>
      </c>
      <c r="L409">
        <v>0.53800000000000003</v>
      </c>
      <c r="M409" t="s">
        <v>12</v>
      </c>
      <c r="O409">
        <v>0</v>
      </c>
      <c r="P409" t="s">
        <v>13</v>
      </c>
      <c r="Q409">
        <v>734.6</v>
      </c>
      <c r="R409" t="s">
        <v>13</v>
      </c>
      <c r="S409">
        <v>19.8</v>
      </c>
      <c r="T409" t="s">
        <v>13</v>
      </c>
      <c r="U409" t="s">
        <v>14</v>
      </c>
      <c r="V409">
        <v>42</v>
      </c>
      <c r="W409">
        <v>51</v>
      </c>
      <c r="X409">
        <v>49</v>
      </c>
      <c r="Y409" t="s">
        <v>15</v>
      </c>
      <c r="Z409">
        <v>73</v>
      </c>
      <c r="AA409">
        <v>13</v>
      </c>
      <c r="AB409">
        <v>56.9</v>
      </c>
      <c r="AC409">
        <v>1041563</v>
      </c>
      <c r="AD409">
        <v>171.69</v>
      </c>
      <c r="AE409" t="s">
        <v>16</v>
      </c>
      <c r="AF409">
        <v>106.68</v>
      </c>
      <c r="AG409" t="s">
        <v>17</v>
      </c>
      <c r="AH409" t="s">
        <v>618</v>
      </c>
      <c r="AI409" t="s">
        <v>686</v>
      </c>
    </row>
    <row r="410" spans="2:35" x14ac:dyDescent="0.25">
      <c r="B410" s="2" t="s">
        <v>298</v>
      </c>
      <c r="C410" t="s">
        <v>5</v>
      </c>
      <c r="D410">
        <v>47</v>
      </c>
      <c r="E410" t="s">
        <v>181</v>
      </c>
      <c r="F410" t="s">
        <v>21</v>
      </c>
      <c r="G410" t="s">
        <v>143</v>
      </c>
      <c r="H410" t="s">
        <v>115</v>
      </c>
      <c r="I410" t="s">
        <v>10</v>
      </c>
      <c r="J410" t="s">
        <v>619</v>
      </c>
      <c r="K410">
        <v>74214</v>
      </c>
      <c r="L410">
        <v>15</v>
      </c>
      <c r="M410" t="s">
        <v>12</v>
      </c>
      <c r="N410" t="s">
        <v>53</v>
      </c>
      <c r="O410">
        <v>0</v>
      </c>
      <c r="P410" t="s">
        <v>13</v>
      </c>
      <c r="Q410">
        <v>274.7</v>
      </c>
      <c r="R410" t="s">
        <v>13</v>
      </c>
      <c r="S410">
        <v>38</v>
      </c>
      <c r="T410" t="s">
        <v>13</v>
      </c>
      <c r="U410" t="s">
        <v>14</v>
      </c>
      <c r="V410">
        <v>41</v>
      </c>
      <c r="W410">
        <v>42</v>
      </c>
      <c r="X410">
        <v>30</v>
      </c>
      <c r="Y410" t="s">
        <v>15</v>
      </c>
      <c r="Z410">
        <v>72</v>
      </c>
      <c r="AA410">
        <v>28</v>
      </c>
      <c r="AB410">
        <v>32</v>
      </c>
      <c r="AC410">
        <v>1206978</v>
      </c>
      <c r="AD410">
        <v>125.73</v>
      </c>
      <c r="AE410" t="s">
        <v>16</v>
      </c>
      <c r="AF410">
        <v>78.13</v>
      </c>
      <c r="AG410" t="s">
        <v>17</v>
      </c>
      <c r="AH410" t="s">
        <v>299</v>
      </c>
      <c r="AI410" t="s">
        <v>689</v>
      </c>
    </row>
    <row r="411" spans="2:35" x14ac:dyDescent="0.25">
      <c r="B411" s="2" t="s">
        <v>298</v>
      </c>
      <c r="C411" t="s">
        <v>5</v>
      </c>
      <c r="D411">
        <v>47</v>
      </c>
      <c r="E411" t="s">
        <v>181</v>
      </c>
      <c r="F411" t="s">
        <v>7</v>
      </c>
      <c r="G411" t="s">
        <v>143</v>
      </c>
      <c r="H411" t="s">
        <v>115</v>
      </c>
      <c r="I411" t="s">
        <v>10</v>
      </c>
      <c r="J411">
        <f>- -37014</f>
        <v>37014</v>
      </c>
      <c r="K411">
        <v>74214</v>
      </c>
      <c r="L411">
        <v>15</v>
      </c>
      <c r="M411" t="s">
        <v>12</v>
      </c>
      <c r="N411" t="s">
        <v>53</v>
      </c>
      <c r="O411">
        <v>0</v>
      </c>
      <c r="P411" t="s">
        <v>13</v>
      </c>
      <c r="Q411">
        <v>274.7</v>
      </c>
      <c r="R411" t="s">
        <v>13</v>
      </c>
      <c r="S411">
        <v>38</v>
      </c>
      <c r="T411" t="s">
        <v>13</v>
      </c>
      <c r="U411" t="s">
        <v>14</v>
      </c>
      <c r="V411">
        <v>41</v>
      </c>
      <c r="W411">
        <v>42</v>
      </c>
      <c r="X411">
        <v>30</v>
      </c>
      <c r="Y411" t="s">
        <v>15</v>
      </c>
      <c r="Z411">
        <v>72</v>
      </c>
      <c r="AA411">
        <v>28</v>
      </c>
      <c r="AB411">
        <v>32</v>
      </c>
      <c r="AC411">
        <v>1206978</v>
      </c>
      <c r="AD411">
        <v>125.73</v>
      </c>
      <c r="AE411" t="s">
        <v>16</v>
      </c>
      <c r="AF411">
        <v>78.13</v>
      </c>
      <c r="AG411" t="s">
        <v>17</v>
      </c>
      <c r="AH411" t="s">
        <v>299</v>
      </c>
      <c r="AI411" t="s">
        <v>689</v>
      </c>
    </row>
    <row r="412" spans="2:35" x14ac:dyDescent="0.25">
      <c r="B412" s="2" t="s">
        <v>620</v>
      </c>
      <c r="C412" t="s">
        <v>5</v>
      </c>
      <c r="D412">
        <v>47</v>
      </c>
      <c r="E412" t="s">
        <v>6</v>
      </c>
      <c r="F412" t="s">
        <v>7</v>
      </c>
      <c r="G412" t="s">
        <v>143</v>
      </c>
      <c r="H412" t="s">
        <v>115</v>
      </c>
      <c r="I412" t="s">
        <v>10</v>
      </c>
      <c r="J412">
        <f>- -37015</f>
        <v>37015</v>
      </c>
      <c r="K412">
        <v>3072</v>
      </c>
      <c r="L412">
        <v>15</v>
      </c>
      <c r="M412" t="s">
        <v>12</v>
      </c>
      <c r="N412" t="s">
        <v>53</v>
      </c>
      <c r="O412">
        <v>152</v>
      </c>
      <c r="P412" t="s">
        <v>13</v>
      </c>
      <c r="Q412">
        <v>274.7</v>
      </c>
      <c r="R412" t="s">
        <v>13</v>
      </c>
      <c r="S412">
        <v>38</v>
      </c>
      <c r="T412" t="s">
        <v>13</v>
      </c>
      <c r="U412" t="s">
        <v>14</v>
      </c>
      <c r="V412">
        <v>41</v>
      </c>
      <c r="W412">
        <v>42</v>
      </c>
      <c r="X412">
        <v>30</v>
      </c>
      <c r="Y412" t="s">
        <v>15</v>
      </c>
      <c r="Z412">
        <v>72</v>
      </c>
      <c r="AA412">
        <v>28</v>
      </c>
      <c r="AB412">
        <v>32</v>
      </c>
      <c r="AC412">
        <v>1206978</v>
      </c>
      <c r="AD412">
        <v>125.73</v>
      </c>
      <c r="AE412" t="s">
        <v>16</v>
      </c>
      <c r="AF412">
        <v>78.13</v>
      </c>
      <c r="AG412" t="s">
        <v>17</v>
      </c>
      <c r="AH412" t="s">
        <v>299</v>
      </c>
      <c r="AI412" t="s">
        <v>689</v>
      </c>
    </row>
    <row r="413" spans="2:35" x14ac:dyDescent="0.25">
      <c r="B413" s="2" t="s">
        <v>300</v>
      </c>
      <c r="C413" t="s">
        <v>5</v>
      </c>
      <c r="D413">
        <v>47</v>
      </c>
      <c r="E413" t="s">
        <v>181</v>
      </c>
      <c r="F413" t="s">
        <v>21</v>
      </c>
      <c r="G413" t="s">
        <v>621</v>
      </c>
      <c r="H413" t="s">
        <v>45</v>
      </c>
      <c r="I413" t="s">
        <v>10</v>
      </c>
      <c r="J413" t="s">
        <v>622</v>
      </c>
      <c r="K413">
        <v>48413</v>
      </c>
      <c r="L413">
        <v>15</v>
      </c>
      <c r="M413" t="s">
        <v>12</v>
      </c>
      <c r="O413">
        <v>0</v>
      </c>
      <c r="P413" t="s">
        <v>13</v>
      </c>
      <c r="Q413">
        <v>587.4</v>
      </c>
      <c r="R413" t="s">
        <v>13</v>
      </c>
      <c r="S413">
        <v>125</v>
      </c>
      <c r="T413" t="s">
        <v>13</v>
      </c>
      <c r="U413" t="s">
        <v>14</v>
      </c>
      <c r="V413">
        <v>43</v>
      </c>
      <c r="W413">
        <v>2</v>
      </c>
      <c r="X413">
        <v>0</v>
      </c>
      <c r="Y413" t="s">
        <v>15</v>
      </c>
      <c r="Z413">
        <v>72</v>
      </c>
      <c r="AA413">
        <v>22</v>
      </c>
      <c r="AB413">
        <v>2</v>
      </c>
      <c r="AC413">
        <v>1034694</v>
      </c>
      <c r="AD413">
        <v>117.38</v>
      </c>
      <c r="AE413" t="s">
        <v>16</v>
      </c>
      <c r="AF413">
        <v>72.930000000000007</v>
      </c>
      <c r="AG413" t="s">
        <v>17</v>
      </c>
      <c r="AH413" t="s">
        <v>241</v>
      </c>
      <c r="AI413" t="s">
        <v>724</v>
      </c>
    </row>
    <row r="414" spans="2:35" x14ac:dyDescent="0.25">
      <c r="B414" s="2" t="s">
        <v>498</v>
      </c>
      <c r="C414" t="s">
        <v>5</v>
      </c>
      <c r="D414">
        <v>47</v>
      </c>
      <c r="E414" t="s">
        <v>34</v>
      </c>
      <c r="F414" t="s">
        <v>21</v>
      </c>
      <c r="G414" t="s">
        <v>776</v>
      </c>
      <c r="H414" t="s">
        <v>23</v>
      </c>
      <c r="I414" t="s">
        <v>10</v>
      </c>
      <c r="J414" t="s">
        <v>623</v>
      </c>
      <c r="K414">
        <v>68052</v>
      </c>
      <c r="L414">
        <v>20.2</v>
      </c>
      <c r="M414" t="s">
        <v>12</v>
      </c>
      <c r="O414">
        <v>0</v>
      </c>
      <c r="P414" t="s">
        <v>13</v>
      </c>
      <c r="Q414">
        <v>465</v>
      </c>
      <c r="R414" t="s">
        <v>13</v>
      </c>
      <c r="S414">
        <v>62</v>
      </c>
      <c r="T414" t="s">
        <v>13</v>
      </c>
      <c r="U414" t="s">
        <v>14</v>
      </c>
      <c r="V414">
        <v>43</v>
      </c>
      <c r="W414">
        <v>18</v>
      </c>
      <c r="X414">
        <v>17</v>
      </c>
      <c r="Y414" t="s">
        <v>15</v>
      </c>
      <c r="Z414">
        <v>73</v>
      </c>
      <c r="AA414">
        <v>45</v>
      </c>
      <c r="AB414">
        <v>5</v>
      </c>
      <c r="AC414">
        <v>1200269</v>
      </c>
      <c r="AD414">
        <v>229.32</v>
      </c>
      <c r="AE414" t="s">
        <v>16</v>
      </c>
      <c r="AF414">
        <v>142.49</v>
      </c>
      <c r="AG414" t="s">
        <v>17</v>
      </c>
      <c r="AH414" t="s">
        <v>208</v>
      </c>
      <c r="AI414" t="s">
        <v>757</v>
      </c>
    </row>
    <row r="415" spans="2:35" x14ac:dyDescent="0.25">
      <c r="B415" s="2" t="s">
        <v>498</v>
      </c>
      <c r="C415" t="s">
        <v>5</v>
      </c>
      <c r="D415">
        <v>47</v>
      </c>
      <c r="E415" t="s">
        <v>20</v>
      </c>
      <c r="F415" t="s">
        <v>656</v>
      </c>
      <c r="G415" t="s">
        <v>776</v>
      </c>
      <c r="H415" t="s">
        <v>23</v>
      </c>
      <c r="I415" t="s">
        <v>10</v>
      </c>
      <c r="J415" t="s">
        <v>624</v>
      </c>
      <c r="K415">
        <v>68052</v>
      </c>
      <c r="L415">
        <v>1.3</v>
      </c>
      <c r="M415" t="s">
        <v>12</v>
      </c>
      <c r="N415" t="s">
        <v>53</v>
      </c>
      <c r="O415">
        <v>0</v>
      </c>
      <c r="P415" t="s">
        <v>13</v>
      </c>
      <c r="Q415">
        <v>173</v>
      </c>
      <c r="R415" t="s">
        <v>13</v>
      </c>
      <c r="S415">
        <v>90</v>
      </c>
      <c r="T415" t="s">
        <v>13</v>
      </c>
      <c r="U415" t="s">
        <v>14</v>
      </c>
      <c r="V415">
        <v>42</v>
      </c>
      <c r="W415">
        <v>58</v>
      </c>
      <c r="X415">
        <v>17</v>
      </c>
      <c r="Y415" t="s">
        <v>15</v>
      </c>
      <c r="Z415">
        <v>73</v>
      </c>
      <c r="AA415">
        <v>50</v>
      </c>
      <c r="AB415">
        <v>42</v>
      </c>
      <c r="AC415">
        <v>1003991</v>
      </c>
      <c r="AD415">
        <v>223.02</v>
      </c>
      <c r="AE415" t="s">
        <v>16</v>
      </c>
      <c r="AF415">
        <v>138.58000000000001</v>
      </c>
      <c r="AG415" t="s">
        <v>17</v>
      </c>
      <c r="AH415" t="s">
        <v>625</v>
      </c>
      <c r="AI415" t="s">
        <v>757</v>
      </c>
    </row>
    <row r="416" spans="2:35" x14ac:dyDescent="0.25">
      <c r="B416" s="2" t="s">
        <v>489</v>
      </c>
      <c r="C416" t="s">
        <v>5</v>
      </c>
      <c r="D416">
        <v>48</v>
      </c>
      <c r="E416" t="s">
        <v>20</v>
      </c>
      <c r="F416" t="s">
        <v>21</v>
      </c>
      <c r="G416" t="s">
        <v>143</v>
      </c>
      <c r="H416" t="s">
        <v>115</v>
      </c>
      <c r="I416" t="s">
        <v>10</v>
      </c>
      <c r="J416">
        <f>- -5512</f>
        <v>5512</v>
      </c>
      <c r="K416">
        <v>26336</v>
      </c>
      <c r="L416">
        <v>8</v>
      </c>
      <c r="M416" t="s">
        <v>12</v>
      </c>
      <c r="N416" t="s">
        <v>53</v>
      </c>
      <c r="O416">
        <v>0</v>
      </c>
      <c r="P416" t="s">
        <v>13</v>
      </c>
      <c r="Q416">
        <v>293.39999999999998</v>
      </c>
      <c r="R416" t="s">
        <v>13</v>
      </c>
      <c r="S416">
        <v>77.7</v>
      </c>
      <c r="T416" t="s">
        <v>13</v>
      </c>
      <c r="U416" t="s">
        <v>14</v>
      </c>
      <c r="V416">
        <v>41</v>
      </c>
      <c r="W416">
        <v>47</v>
      </c>
      <c r="X416">
        <v>48.4</v>
      </c>
      <c r="Y416" t="s">
        <v>15</v>
      </c>
      <c r="Z416">
        <v>72</v>
      </c>
      <c r="AA416">
        <v>47</v>
      </c>
      <c r="AB416">
        <v>48.5</v>
      </c>
      <c r="AC416">
        <v>1226764</v>
      </c>
      <c r="AD416">
        <v>143.34</v>
      </c>
      <c r="AE416" t="s">
        <v>16</v>
      </c>
      <c r="AF416">
        <v>89.07</v>
      </c>
      <c r="AG416" t="s">
        <v>17</v>
      </c>
      <c r="AH416" t="s">
        <v>440</v>
      </c>
      <c r="AI416" t="s">
        <v>763</v>
      </c>
    </row>
    <row r="417" spans="2:35" x14ac:dyDescent="0.25">
      <c r="B417" s="2" t="s">
        <v>11</v>
      </c>
      <c r="C417" t="s">
        <v>5</v>
      </c>
      <c r="D417">
        <v>48</v>
      </c>
      <c r="E417" t="s">
        <v>20</v>
      </c>
      <c r="F417" t="s">
        <v>7</v>
      </c>
      <c r="G417" t="s">
        <v>793</v>
      </c>
      <c r="H417" t="s">
        <v>249</v>
      </c>
      <c r="I417" t="s">
        <v>10</v>
      </c>
      <c r="J417">
        <f>- -10644</f>
        <v>10644</v>
      </c>
      <c r="K417">
        <v>703410</v>
      </c>
      <c r="L417">
        <v>0.1</v>
      </c>
      <c r="M417" t="s">
        <v>12</v>
      </c>
      <c r="O417">
        <v>0</v>
      </c>
      <c r="P417" t="s">
        <v>13</v>
      </c>
      <c r="Q417">
        <v>592</v>
      </c>
      <c r="R417" t="s">
        <v>13</v>
      </c>
      <c r="S417">
        <v>19</v>
      </c>
      <c r="T417" t="s">
        <v>13</v>
      </c>
      <c r="U417" t="s">
        <v>14</v>
      </c>
      <c r="V417">
        <v>41</v>
      </c>
      <c r="W417">
        <v>3</v>
      </c>
      <c r="X417">
        <v>7</v>
      </c>
      <c r="Y417" t="s">
        <v>15</v>
      </c>
      <c r="Z417">
        <v>75</v>
      </c>
      <c r="AA417">
        <v>30</v>
      </c>
      <c r="AB417">
        <v>43</v>
      </c>
      <c r="AC417" t="s">
        <v>11</v>
      </c>
      <c r="AD417">
        <v>384.08</v>
      </c>
      <c r="AE417" t="s">
        <v>16</v>
      </c>
      <c r="AF417">
        <v>238.66</v>
      </c>
      <c r="AG417" t="s">
        <v>17</v>
      </c>
      <c r="AH417" t="s">
        <v>626</v>
      </c>
      <c r="AI417" t="s">
        <v>11</v>
      </c>
    </row>
    <row r="418" spans="2:35" x14ac:dyDescent="0.25">
      <c r="B418" s="2" t="s">
        <v>11</v>
      </c>
      <c r="C418" t="s">
        <v>5</v>
      </c>
      <c r="D418">
        <v>48</v>
      </c>
      <c r="E418" t="s">
        <v>20</v>
      </c>
      <c r="F418" t="s">
        <v>7</v>
      </c>
      <c r="G418" t="s">
        <v>793</v>
      </c>
      <c r="H418" t="s">
        <v>249</v>
      </c>
      <c r="I418" t="s">
        <v>10</v>
      </c>
      <c r="J418">
        <f>- -12984</f>
        <v>12984</v>
      </c>
      <c r="K418">
        <v>703480</v>
      </c>
      <c r="L418">
        <v>0.1</v>
      </c>
      <c r="M418" t="s">
        <v>12</v>
      </c>
      <c r="O418">
        <v>0</v>
      </c>
      <c r="P418" t="s">
        <v>13</v>
      </c>
      <c r="Q418">
        <v>593</v>
      </c>
      <c r="R418" t="s">
        <v>13</v>
      </c>
      <c r="S418">
        <v>20</v>
      </c>
      <c r="T418" t="s">
        <v>13</v>
      </c>
      <c r="U418" t="s">
        <v>14</v>
      </c>
      <c r="V418">
        <v>41</v>
      </c>
      <c r="W418">
        <v>3</v>
      </c>
      <c r="X418">
        <v>7</v>
      </c>
      <c r="Y418" t="s">
        <v>15</v>
      </c>
      <c r="Z418">
        <v>75</v>
      </c>
      <c r="AA418">
        <v>30</v>
      </c>
      <c r="AB418">
        <v>43</v>
      </c>
      <c r="AC418" t="s">
        <v>11</v>
      </c>
      <c r="AD418">
        <v>384.08</v>
      </c>
      <c r="AE418" t="s">
        <v>16</v>
      </c>
      <c r="AF418">
        <v>238.66</v>
      </c>
      <c r="AG418" t="s">
        <v>17</v>
      </c>
      <c r="AH418" t="s">
        <v>626</v>
      </c>
      <c r="AI418" t="s">
        <v>11</v>
      </c>
    </row>
    <row r="419" spans="2:35" x14ac:dyDescent="0.25">
      <c r="B419" s="2" t="s">
        <v>627</v>
      </c>
      <c r="C419" t="s">
        <v>5</v>
      </c>
      <c r="D419">
        <v>49</v>
      </c>
      <c r="E419" t="s">
        <v>6</v>
      </c>
      <c r="F419" t="s">
        <v>21</v>
      </c>
      <c r="G419" t="s">
        <v>628</v>
      </c>
      <c r="H419" t="s">
        <v>115</v>
      </c>
      <c r="I419" t="s">
        <v>10</v>
      </c>
      <c r="J419" t="s">
        <v>629</v>
      </c>
      <c r="K419">
        <v>13594</v>
      </c>
      <c r="L419">
        <v>170</v>
      </c>
      <c r="M419" t="s">
        <v>12</v>
      </c>
      <c r="N419" t="s">
        <v>53</v>
      </c>
      <c r="O419">
        <v>220</v>
      </c>
      <c r="P419" t="s">
        <v>13</v>
      </c>
      <c r="Q419">
        <v>304</v>
      </c>
      <c r="R419" t="s">
        <v>13</v>
      </c>
      <c r="S419">
        <v>145</v>
      </c>
      <c r="T419" t="s">
        <v>13</v>
      </c>
      <c r="U419" t="s">
        <v>14</v>
      </c>
      <c r="V419">
        <v>41</v>
      </c>
      <c r="W419">
        <v>16</v>
      </c>
      <c r="X419">
        <v>44.3</v>
      </c>
      <c r="Y419" t="s">
        <v>15</v>
      </c>
      <c r="Z419">
        <v>73</v>
      </c>
      <c r="AA419">
        <v>11</v>
      </c>
      <c r="AB419">
        <v>6.4</v>
      </c>
      <c r="AC419">
        <v>1205267</v>
      </c>
      <c r="AD419">
        <v>201.76</v>
      </c>
      <c r="AE419" t="s">
        <v>16</v>
      </c>
      <c r="AF419">
        <v>125.37</v>
      </c>
      <c r="AG419" t="s">
        <v>17</v>
      </c>
      <c r="AH419" t="s">
        <v>630</v>
      </c>
      <c r="AI419" t="s">
        <v>681</v>
      </c>
    </row>
    <row r="420" spans="2:35" x14ac:dyDescent="0.25">
      <c r="B420" s="2" t="s">
        <v>583</v>
      </c>
      <c r="C420" t="s">
        <v>5</v>
      </c>
      <c r="D420">
        <v>49</v>
      </c>
      <c r="E420" t="s">
        <v>6</v>
      </c>
      <c r="F420" t="s">
        <v>7</v>
      </c>
      <c r="G420" t="s">
        <v>687</v>
      </c>
      <c r="H420" t="s">
        <v>115</v>
      </c>
      <c r="I420" t="s">
        <v>10</v>
      </c>
      <c r="J420">
        <f>- -54170</f>
        <v>54170</v>
      </c>
      <c r="K420">
        <v>13595</v>
      </c>
      <c r="L420">
        <v>170</v>
      </c>
      <c r="M420" t="s">
        <v>12</v>
      </c>
      <c r="N420" t="s">
        <v>53</v>
      </c>
      <c r="O420">
        <v>220</v>
      </c>
      <c r="P420" t="s">
        <v>13</v>
      </c>
      <c r="Q420">
        <v>303.5</v>
      </c>
      <c r="R420" t="s">
        <v>13</v>
      </c>
      <c r="S420">
        <v>145</v>
      </c>
      <c r="T420" t="s">
        <v>13</v>
      </c>
      <c r="U420" t="s">
        <v>14</v>
      </c>
      <c r="V420">
        <v>41</v>
      </c>
      <c r="W420">
        <v>16</v>
      </c>
      <c r="X420">
        <v>44.3</v>
      </c>
      <c r="Y420" t="s">
        <v>15</v>
      </c>
      <c r="Z420">
        <v>73</v>
      </c>
      <c r="AA420">
        <v>11</v>
      </c>
      <c r="AB420">
        <v>6.4</v>
      </c>
      <c r="AC420">
        <v>1205267</v>
      </c>
      <c r="AD420">
        <v>201.76</v>
      </c>
      <c r="AE420" t="s">
        <v>16</v>
      </c>
      <c r="AF420">
        <v>125.37</v>
      </c>
      <c r="AG420" t="s">
        <v>17</v>
      </c>
      <c r="AH420" t="s">
        <v>630</v>
      </c>
      <c r="AI420" t="s">
        <v>681</v>
      </c>
    </row>
    <row r="421" spans="2:35" x14ac:dyDescent="0.25">
      <c r="B421" s="2" t="s">
        <v>439</v>
      </c>
      <c r="C421" t="s">
        <v>5</v>
      </c>
      <c r="D421">
        <v>49</v>
      </c>
      <c r="E421" t="s">
        <v>20</v>
      </c>
      <c r="F421" t="s">
        <v>7</v>
      </c>
      <c r="G421" t="s">
        <v>687</v>
      </c>
      <c r="H421" t="s">
        <v>115</v>
      </c>
      <c r="I421" t="s">
        <v>10</v>
      </c>
      <c r="J421">
        <f>- -59479</f>
        <v>59479</v>
      </c>
      <c r="K421">
        <v>31453</v>
      </c>
      <c r="L421">
        <v>15</v>
      </c>
      <c r="M421" t="s">
        <v>12</v>
      </c>
      <c r="N421" t="s">
        <v>53</v>
      </c>
      <c r="O421">
        <v>0</v>
      </c>
      <c r="P421" t="s">
        <v>13</v>
      </c>
      <c r="Q421">
        <v>256.3</v>
      </c>
      <c r="R421" t="s">
        <v>13</v>
      </c>
      <c r="S421">
        <v>97.8</v>
      </c>
      <c r="T421" t="s">
        <v>13</v>
      </c>
      <c r="U421" t="s">
        <v>14</v>
      </c>
      <c r="V421">
        <v>41</v>
      </c>
      <c r="W421">
        <v>16</v>
      </c>
      <c r="X421">
        <v>44.3</v>
      </c>
      <c r="Y421" t="s">
        <v>15</v>
      </c>
      <c r="Z421">
        <v>73</v>
      </c>
      <c r="AA421">
        <v>11</v>
      </c>
      <c r="AB421">
        <v>6.4</v>
      </c>
      <c r="AC421">
        <v>1205267</v>
      </c>
      <c r="AD421">
        <v>201.76</v>
      </c>
      <c r="AE421" t="s">
        <v>16</v>
      </c>
      <c r="AF421">
        <v>125.37</v>
      </c>
      <c r="AG421" t="s">
        <v>17</v>
      </c>
      <c r="AH421" t="s">
        <v>630</v>
      </c>
      <c r="AI421" t="s">
        <v>763</v>
      </c>
    </row>
    <row r="422" spans="2:35" x14ac:dyDescent="0.25">
      <c r="B422" s="2" t="s">
        <v>439</v>
      </c>
      <c r="C422" t="s">
        <v>5</v>
      </c>
      <c r="D422">
        <v>49</v>
      </c>
      <c r="E422" t="s">
        <v>20</v>
      </c>
      <c r="F422" t="s">
        <v>7</v>
      </c>
      <c r="G422" t="s">
        <v>687</v>
      </c>
      <c r="H422" t="s">
        <v>115</v>
      </c>
      <c r="I422" t="s">
        <v>10</v>
      </c>
      <c r="J422">
        <f>- -68598</f>
        <v>68598</v>
      </c>
      <c r="K422">
        <v>31453</v>
      </c>
      <c r="L422">
        <v>15</v>
      </c>
      <c r="M422" t="s">
        <v>12</v>
      </c>
      <c r="N422" t="s">
        <v>53</v>
      </c>
      <c r="O422">
        <v>0</v>
      </c>
      <c r="P422" t="s">
        <v>13</v>
      </c>
      <c r="Q422">
        <v>256.3</v>
      </c>
      <c r="R422" t="s">
        <v>13</v>
      </c>
      <c r="S422">
        <v>97.8</v>
      </c>
      <c r="T422" t="s">
        <v>13</v>
      </c>
      <c r="U422" t="s">
        <v>14</v>
      </c>
      <c r="V422">
        <v>41</v>
      </c>
      <c r="W422">
        <v>16</v>
      </c>
      <c r="X422">
        <v>44.3</v>
      </c>
      <c r="Y422" t="s">
        <v>15</v>
      </c>
      <c r="Z422">
        <v>73</v>
      </c>
      <c r="AA422">
        <v>11</v>
      </c>
      <c r="AB422">
        <v>6.4</v>
      </c>
      <c r="AC422">
        <v>1205267</v>
      </c>
      <c r="AD422">
        <v>201.76</v>
      </c>
      <c r="AE422" t="s">
        <v>16</v>
      </c>
      <c r="AF422">
        <v>125.37</v>
      </c>
      <c r="AG422" t="s">
        <v>17</v>
      </c>
      <c r="AH422" t="s">
        <v>630</v>
      </c>
      <c r="AI422" t="s">
        <v>763</v>
      </c>
    </row>
    <row r="423" spans="2:35" x14ac:dyDescent="0.25">
      <c r="B423" s="2" t="s">
        <v>349</v>
      </c>
      <c r="C423" t="s">
        <v>5</v>
      </c>
      <c r="D423">
        <v>49</v>
      </c>
      <c r="E423" t="s">
        <v>6</v>
      </c>
      <c r="F423" t="s">
        <v>21</v>
      </c>
      <c r="G423" t="s">
        <v>705</v>
      </c>
      <c r="H423" t="s">
        <v>41</v>
      </c>
      <c r="I423" t="s">
        <v>10</v>
      </c>
      <c r="J423" t="s">
        <v>631</v>
      </c>
      <c r="K423">
        <v>22591</v>
      </c>
      <c r="L423">
        <v>350</v>
      </c>
      <c r="M423" t="s">
        <v>12</v>
      </c>
      <c r="N423" t="s">
        <v>53</v>
      </c>
      <c r="O423">
        <v>284</v>
      </c>
      <c r="P423" t="s">
        <v>13</v>
      </c>
      <c r="Q423">
        <v>313</v>
      </c>
      <c r="R423" t="s">
        <v>13</v>
      </c>
      <c r="S423">
        <v>253</v>
      </c>
      <c r="T423" t="s">
        <v>13</v>
      </c>
      <c r="U423" t="s">
        <v>14</v>
      </c>
      <c r="V423">
        <v>41</v>
      </c>
      <c r="W423">
        <v>51</v>
      </c>
      <c r="X423">
        <v>55.4</v>
      </c>
      <c r="Y423" t="s">
        <v>15</v>
      </c>
      <c r="Z423">
        <v>71</v>
      </c>
      <c r="AA423">
        <v>17</v>
      </c>
      <c r="AB423">
        <v>12.7</v>
      </c>
      <c r="AC423">
        <v>1005123</v>
      </c>
      <c r="AD423">
        <v>56.61</v>
      </c>
      <c r="AE423" t="s">
        <v>16</v>
      </c>
      <c r="AF423">
        <v>35.18</v>
      </c>
      <c r="AG423" t="s">
        <v>17</v>
      </c>
      <c r="AH423" t="s">
        <v>29</v>
      </c>
      <c r="AI423" t="s">
        <v>736</v>
      </c>
    </row>
    <row r="424" spans="2:35" x14ac:dyDescent="0.25">
      <c r="B424" s="2" t="s">
        <v>239</v>
      </c>
      <c r="C424" t="s">
        <v>5</v>
      </c>
      <c r="D424">
        <v>49</v>
      </c>
      <c r="E424" t="s">
        <v>6</v>
      </c>
      <c r="F424" t="s">
        <v>21</v>
      </c>
      <c r="G424" t="s">
        <v>240</v>
      </c>
      <c r="H424" t="s">
        <v>45</v>
      </c>
      <c r="I424" t="s">
        <v>10</v>
      </c>
      <c r="J424" t="s">
        <v>632</v>
      </c>
      <c r="K424">
        <v>69271</v>
      </c>
      <c r="L424">
        <v>112</v>
      </c>
      <c r="M424" t="s">
        <v>12</v>
      </c>
      <c r="O424">
        <v>331.4</v>
      </c>
      <c r="P424" t="s">
        <v>13</v>
      </c>
      <c r="Q424">
        <v>607.6</v>
      </c>
      <c r="R424" t="s">
        <v>13</v>
      </c>
      <c r="S424">
        <v>145.19999999999999</v>
      </c>
      <c r="T424" t="s">
        <v>13</v>
      </c>
      <c r="U424" t="s">
        <v>14</v>
      </c>
      <c r="V424">
        <v>43</v>
      </c>
      <c r="W424">
        <v>2</v>
      </c>
      <c r="X424">
        <v>0</v>
      </c>
      <c r="Y424" t="s">
        <v>15</v>
      </c>
      <c r="Z424">
        <v>72</v>
      </c>
      <c r="AA424">
        <v>22</v>
      </c>
      <c r="AB424">
        <v>2</v>
      </c>
      <c r="AC424">
        <v>1034694</v>
      </c>
      <c r="AD424">
        <v>117.38</v>
      </c>
      <c r="AE424" t="s">
        <v>16</v>
      </c>
      <c r="AF424">
        <v>72.930000000000007</v>
      </c>
      <c r="AG424" t="s">
        <v>17</v>
      </c>
      <c r="AH424" t="s">
        <v>241</v>
      </c>
      <c r="AI424" t="s">
        <v>692</v>
      </c>
    </row>
    <row r="425" spans="2:35" x14ac:dyDescent="0.25">
      <c r="B425" s="2" t="s">
        <v>450</v>
      </c>
      <c r="C425" t="s">
        <v>5</v>
      </c>
      <c r="D425">
        <v>49</v>
      </c>
      <c r="E425" t="s">
        <v>34</v>
      </c>
      <c r="F425" t="s">
        <v>21</v>
      </c>
      <c r="G425" t="s">
        <v>451</v>
      </c>
      <c r="H425" t="s">
        <v>31</v>
      </c>
      <c r="I425" t="s">
        <v>10</v>
      </c>
      <c r="J425" t="s">
        <v>633</v>
      </c>
      <c r="K425">
        <v>48482</v>
      </c>
      <c r="L425">
        <v>10</v>
      </c>
      <c r="M425" t="s">
        <v>12</v>
      </c>
      <c r="N425" t="s">
        <v>53</v>
      </c>
      <c r="O425">
        <v>0</v>
      </c>
      <c r="P425" t="s">
        <v>13</v>
      </c>
      <c r="Q425">
        <v>377</v>
      </c>
      <c r="R425" t="s">
        <v>13</v>
      </c>
      <c r="S425">
        <v>42</v>
      </c>
      <c r="T425" t="s">
        <v>13</v>
      </c>
      <c r="U425" t="s">
        <v>14</v>
      </c>
      <c r="V425">
        <v>40</v>
      </c>
      <c r="W425">
        <v>51</v>
      </c>
      <c r="X425">
        <v>7.3</v>
      </c>
      <c r="Y425" t="s">
        <v>15</v>
      </c>
      <c r="Z425">
        <v>74</v>
      </c>
      <c r="AA425">
        <v>52</v>
      </c>
      <c r="AB425">
        <v>34.6</v>
      </c>
      <c r="AC425" t="s">
        <v>11</v>
      </c>
      <c r="AD425">
        <v>346.5</v>
      </c>
      <c r="AE425" t="s">
        <v>16</v>
      </c>
      <c r="AF425">
        <v>215.31</v>
      </c>
      <c r="AG425" t="s">
        <v>17</v>
      </c>
      <c r="AH425" t="s">
        <v>634</v>
      </c>
      <c r="AI425" t="s">
        <v>680</v>
      </c>
    </row>
    <row r="426" spans="2:35" x14ac:dyDescent="0.25">
      <c r="B426" s="2" t="s">
        <v>450</v>
      </c>
      <c r="C426" t="s">
        <v>5</v>
      </c>
      <c r="D426">
        <v>49</v>
      </c>
      <c r="E426" t="s">
        <v>20</v>
      </c>
      <c r="F426" t="s">
        <v>21</v>
      </c>
      <c r="G426" t="s">
        <v>451</v>
      </c>
      <c r="H426" t="s">
        <v>31</v>
      </c>
      <c r="I426" t="s">
        <v>10</v>
      </c>
      <c r="J426">
        <f>- -19174</f>
        <v>19174</v>
      </c>
      <c r="K426">
        <v>48482</v>
      </c>
      <c r="L426">
        <v>1</v>
      </c>
      <c r="M426" t="s">
        <v>12</v>
      </c>
      <c r="N426" t="s">
        <v>53</v>
      </c>
      <c r="O426">
        <v>0</v>
      </c>
      <c r="P426" t="s">
        <v>13</v>
      </c>
      <c r="Q426">
        <v>377.3</v>
      </c>
      <c r="R426" t="s">
        <v>13</v>
      </c>
      <c r="S426">
        <v>42</v>
      </c>
      <c r="T426" t="s">
        <v>13</v>
      </c>
      <c r="U426" t="s">
        <v>14</v>
      </c>
      <c r="V426">
        <v>40</v>
      </c>
      <c r="W426">
        <v>51</v>
      </c>
      <c r="X426">
        <v>7</v>
      </c>
      <c r="Y426" t="s">
        <v>15</v>
      </c>
      <c r="Z426">
        <v>74</v>
      </c>
      <c r="AA426">
        <v>52</v>
      </c>
      <c r="AB426">
        <v>34</v>
      </c>
      <c r="AC426">
        <v>1042509</v>
      </c>
      <c r="AD426">
        <v>346.5</v>
      </c>
      <c r="AE426" t="s">
        <v>16</v>
      </c>
      <c r="AF426">
        <v>215.3</v>
      </c>
      <c r="AG426" t="s">
        <v>17</v>
      </c>
      <c r="AH426" t="s">
        <v>634</v>
      </c>
      <c r="AI426" t="s">
        <v>680</v>
      </c>
    </row>
    <row r="427" spans="2:35" x14ac:dyDescent="0.25">
      <c r="B427" s="2" t="s">
        <v>11</v>
      </c>
      <c r="C427" t="s">
        <v>5</v>
      </c>
      <c r="D427">
        <v>49</v>
      </c>
      <c r="E427" t="s">
        <v>20</v>
      </c>
      <c r="F427" t="s">
        <v>7</v>
      </c>
      <c r="G427" t="s">
        <v>635</v>
      </c>
      <c r="H427" t="s">
        <v>23</v>
      </c>
      <c r="I427" t="s">
        <v>10</v>
      </c>
      <c r="J427">
        <f>- -13431</f>
        <v>13431</v>
      </c>
      <c r="K427">
        <v>703499</v>
      </c>
      <c r="L427">
        <v>0.1</v>
      </c>
      <c r="M427" t="s">
        <v>12</v>
      </c>
      <c r="N427" t="s">
        <v>53</v>
      </c>
      <c r="O427">
        <v>0</v>
      </c>
      <c r="P427" t="s">
        <v>13</v>
      </c>
      <c r="Q427">
        <v>24</v>
      </c>
      <c r="R427" t="s">
        <v>13</v>
      </c>
      <c r="S427">
        <v>19</v>
      </c>
      <c r="T427" t="s">
        <v>13</v>
      </c>
      <c r="U427" t="s">
        <v>14</v>
      </c>
      <c r="V427">
        <v>40</v>
      </c>
      <c r="W427">
        <v>44</v>
      </c>
      <c r="X427">
        <v>59.3</v>
      </c>
      <c r="Y427" t="s">
        <v>15</v>
      </c>
      <c r="Z427">
        <v>73</v>
      </c>
      <c r="AA427">
        <v>50</v>
      </c>
      <c r="AB427">
        <v>43.7</v>
      </c>
      <c r="AC427" t="s">
        <v>11</v>
      </c>
      <c r="AD427">
        <v>281.98</v>
      </c>
      <c r="AE427" t="s">
        <v>16</v>
      </c>
      <c r="AF427">
        <v>175.21</v>
      </c>
      <c r="AG427" t="s">
        <v>17</v>
      </c>
      <c r="AH427" t="s">
        <v>636</v>
      </c>
      <c r="AI427" t="s">
        <v>11</v>
      </c>
    </row>
    <row r="428" spans="2:35" x14ac:dyDescent="0.25">
      <c r="B428" s="2" t="s">
        <v>501</v>
      </c>
      <c r="C428" t="s">
        <v>5</v>
      </c>
      <c r="D428">
        <v>49</v>
      </c>
      <c r="E428" t="s">
        <v>20</v>
      </c>
      <c r="F428" t="s">
        <v>21</v>
      </c>
      <c r="G428" t="s">
        <v>248</v>
      </c>
      <c r="H428" t="s">
        <v>249</v>
      </c>
      <c r="I428" t="s">
        <v>10</v>
      </c>
      <c r="J428" t="s">
        <v>637</v>
      </c>
      <c r="K428">
        <v>64690</v>
      </c>
      <c r="L428">
        <v>0.3</v>
      </c>
      <c r="M428" t="s">
        <v>12</v>
      </c>
      <c r="N428" t="s">
        <v>53</v>
      </c>
      <c r="O428">
        <v>0</v>
      </c>
      <c r="P428" t="s">
        <v>13</v>
      </c>
      <c r="Q428">
        <v>683</v>
      </c>
      <c r="R428" t="s">
        <v>13</v>
      </c>
      <c r="S428">
        <v>21.3</v>
      </c>
      <c r="T428" t="s">
        <v>13</v>
      </c>
      <c r="U428" t="s">
        <v>14</v>
      </c>
      <c r="V428">
        <v>41</v>
      </c>
      <c r="W428">
        <v>37</v>
      </c>
      <c r="X428">
        <v>55.3</v>
      </c>
      <c r="Y428" t="s">
        <v>15</v>
      </c>
      <c r="Z428">
        <v>75</v>
      </c>
      <c r="AA428">
        <v>25</v>
      </c>
      <c r="AB428">
        <v>31.6</v>
      </c>
      <c r="AC428" t="s">
        <v>11</v>
      </c>
      <c r="AD428">
        <v>355.81</v>
      </c>
      <c r="AE428" t="s">
        <v>16</v>
      </c>
      <c r="AF428">
        <v>221.09</v>
      </c>
      <c r="AG428" t="s">
        <v>17</v>
      </c>
      <c r="AH428" t="s">
        <v>250</v>
      </c>
      <c r="AI428" t="s">
        <v>778</v>
      </c>
    </row>
    <row r="429" spans="2:35" x14ac:dyDescent="0.25">
      <c r="B429" s="2" t="s">
        <v>638</v>
      </c>
      <c r="C429" t="s">
        <v>5</v>
      </c>
      <c r="D429">
        <v>50</v>
      </c>
      <c r="E429" t="s">
        <v>20</v>
      </c>
      <c r="F429" t="s">
        <v>7</v>
      </c>
      <c r="G429" t="s">
        <v>683</v>
      </c>
      <c r="H429" t="s">
        <v>23</v>
      </c>
      <c r="I429" t="s">
        <v>10</v>
      </c>
      <c r="J429" t="s">
        <v>639</v>
      </c>
      <c r="K429">
        <v>189669</v>
      </c>
      <c r="L429">
        <v>6</v>
      </c>
      <c r="M429" t="s">
        <v>12</v>
      </c>
      <c r="N429" t="s">
        <v>53</v>
      </c>
      <c r="O429">
        <v>0</v>
      </c>
      <c r="P429" t="s">
        <v>13</v>
      </c>
      <c r="Q429">
        <v>530</v>
      </c>
      <c r="R429" t="s">
        <v>13</v>
      </c>
      <c r="S429">
        <v>79.5</v>
      </c>
      <c r="T429" t="s">
        <v>13</v>
      </c>
      <c r="U429" t="s">
        <v>14</v>
      </c>
      <c r="V429">
        <v>41</v>
      </c>
      <c r="W429">
        <v>12</v>
      </c>
      <c r="X429">
        <v>30.6</v>
      </c>
      <c r="Y429" t="s">
        <v>15</v>
      </c>
      <c r="Z429">
        <v>74</v>
      </c>
      <c r="AA429">
        <v>21</v>
      </c>
      <c r="AB429">
        <v>21.6</v>
      </c>
      <c r="AC429">
        <v>1006425</v>
      </c>
      <c r="AD429">
        <v>289.01</v>
      </c>
      <c r="AE429" t="s">
        <v>16</v>
      </c>
      <c r="AF429">
        <v>179.58</v>
      </c>
      <c r="AG429" t="s">
        <v>17</v>
      </c>
      <c r="AH429" t="s">
        <v>122</v>
      </c>
      <c r="AI429" t="s">
        <v>684</v>
      </c>
    </row>
    <row r="430" spans="2:35" x14ac:dyDescent="0.25">
      <c r="B430" s="2" t="s">
        <v>640</v>
      </c>
      <c r="C430" t="s">
        <v>5</v>
      </c>
      <c r="D430">
        <v>50</v>
      </c>
      <c r="E430" t="s">
        <v>20</v>
      </c>
      <c r="F430" t="s">
        <v>21</v>
      </c>
      <c r="G430" t="s">
        <v>654</v>
      </c>
      <c r="H430" t="s">
        <v>23</v>
      </c>
      <c r="I430" t="s">
        <v>10</v>
      </c>
      <c r="J430" t="s">
        <v>641</v>
      </c>
      <c r="K430">
        <v>22797</v>
      </c>
      <c r="L430">
        <v>1.7</v>
      </c>
      <c r="M430" t="s">
        <v>12</v>
      </c>
      <c r="N430" t="s">
        <v>53</v>
      </c>
      <c r="O430">
        <v>0</v>
      </c>
      <c r="P430" t="s">
        <v>13</v>
      </c>
      <c r="Q430">
        <v>276</v>
      </c>
      <c r="R430" t="s">
        <v>13</v>
      </c>
      <c r="S430">
        <v>266.60000000000002</v>
      </c>
      <c r="T430" t="s">
        <v>13</v>
      </c>
      <c r="U430" t="s">
        <v>14</v>
      </c>
      <c r="V430">
        <v>40</v>
      </c>
      <c r="W430">
        <v>45</v>
      </c>
      <c r="X430">
        <v>8.3000000000000007</v>
      </c>
      <c r="Y430" t="s">
        <v>15</v>
      </c>
      <c r="Z430">
        <v>73</v>
      </c>
      <c r="AA430">
        <v>58</v>
      </c>
      <c r="AB430">
        <v>1.4</v>
      </c>
      <c r="AC430" t="s">
        <v>11</v>
      </c>
      <c r="AD430">
        <v>289.67</v>
      </c>
      <c r="AE430" t="s">
        <v>16</v>
      </c>
      <c r="AF430">
        <v>179.99</v>
      </c>
      <c r="AG430" t="s">
        <v>17</v>
      </c>
      <c r="AH430" t="s">
        <v>25</v>
      </c>
      <c r="AI430" t="s">
        <v>794</v>
      </c>
    </row>
    <row r="431" spans="2:35" x14ac:dyDescent="0.25">
      <c r="B431" s="2" t="s">
        <v>640</v>
      </c>
      <c r="C431" t="s">
        <v>5</v>
      </c>
      <c r="D431">
        <v>50</v>
      </c>
      <c r="E431" t="s">
        <v>20</v>
      </c>
      <c r="F431" t="s">
        <v>7</v>
      </c>
      <c r="G431" t="s">
        <v>654</v>
      </c>
      <c r="H431" t="s">
        <v>23</v>
      </c>
      <c r="I431" t="s">
        <v>10</v>
      </c>
      <c r="J431" t="s">
        <v>642</v>
      </c>
      <c r="K431">
        <v>22797</v>
      </c>
      <c r="L431">
        <v>11.2</v>
      </c>
      <c r="M431" t="s">
        <v>12</v>
      </c>
      <c r="O431">
        <v>0</v>
      </c>
      <c r="P431" t="s">
        <v>13</v>
      </c>
      <c r="Q431">
        <v>276</v>
      </c>
      <c r="R431" t="s">
        <v>13</v>
      </c>
      <c r="S431">
        <v>266.60000000000002</v>
      </c>
      <c r="T431" t="s">
        <v>13</v>
      </c>
      <c r="U431" t="s">
        <v>14</v>
      </c>
      <c r="V431">
        <v>40</v>
      </c>
      <c r="W431">
        <v>45</v>
      </c>
      <c r="X431">
        <v>8.3000000000000007</v>
      </c>
      <c r="Y431" t="s">
        <v>15</v>
      </c>
      <c r="Z431">
        <v>73</v>
      </c>
      <c r="AA431">
        <v>58</v>
      </c>
      <c r="AB431">
        <v>1.4</v>
      </c>
      <c r="AC431" t="s">
        <v>11</v>
      </c>
      <c r="AD431">
        <v>289.67</v>
      </c>
      <c r="AE431" t="s">
        <v>16</v>
      </c>
      <c r="AF431">
        <v>179.99</v>
      </c>
      <c r="AG431" t="s">
        <v>17</v>
      </c>
      <c r="AH431" t="s">
        <v>25</v>
      </c>
      <c r="AI431" t="s">
        <v>794</v>
      </c>
    </row>
    <row r="432" spans="2:35" x14ac:dyDescent="0.25">
      <c r="B432" s="2" t="s">
        <v>377</v>
      </c>
      <c r="C432" t="s">
        <v>5</v>
      </c>
      <c r="D432">
        <v>50</v>
      </c>
      <c r="E432" t="s">
        <v>6</v>
      </c>
      <c r="F432" t="s">
        <v>21</v>
      </c>
      <c r="G432" t="s">
        <v>27</v>
      </c>
      <c r="H432" t="s">
        <v>28</v>
      </c>
      <c r="I432" t="s">
        <v>10</v>
      </c>
      <c r="J432">
        <f>- -4498</f>
        <v>4498</v>
      </c>
      <c r="K432">
        <v>50780</v>
      </c>
      <c r="L432">
        <v>1000</v>
      </c>
      <c r="M432" t="s">
        <v>12</v>
      </c>
      <c r="N432" t="s">
        <v>53</v>
      </c>
      <c r="O432">
        <v>306</v>
      </c>
      <c r="P432" t="s">
        <v>13</v>
      </c>
      <c r="Q432">
        <v>334.6</v>
      </c>
      <c r="R432" t="s">
        <v>13</v>
      </c>
      <c r="S432">
        <v>274.3</v>
      </c>
      <c r="T432" t="s">
        <v>13</v>
      </c>
      <c r="U432" t="s">
        <v>14</v>
      </c>
      <c r="V432">
        <v>41</v>
      </c>
      <c r="W432">
        <v>51</v>
      </c>
      <c r="X432">
        <v>55.4</v>
      </c>
      <c r="Y432" t="s">
        <v>15</v>
      </c>
      <c r="Z432">
        <v>71</v>
      </c>
      <c r="AA432">
        <v>17</v>
      </c>
      <c r="AB432">
        <v>12.7</v>
      </c>
      <c r="AC432">
        <v>1005123</v>
      </c>
      <c r="AD432">
        <v>56.61</v>
      </c>
      <c r="AE432" t="s">
        <v>16</v>
      </c>
      <c r="AF432">
        <v>35.18</v>
      </c>
      <c r="AG432" t="s">
        <v>17</v>
      </c>
      <c r="AH432" t="s">
        <v>29</v>
      </c>
      <c r="AI432" t="s">
        <v>747</v>
      </c>
    </row>
    <row r="433" spans="2:35" x14ac:dyDescent="0.25">
      <c r="B433" s="2" t="s">
        <v>643</v>
      </c>
      <c r="C433" t="s">
        <v>5</v>
      </c>
      <c r="D433">
        <v>51</v>
      </c>
      <c r="E433" t="s">
        <v>20</v>
      </c>
      <c r="F433" t="s">
        <v>21</v>
      </c>
      <c r="G433" t="s">
        <v>51</v>
      </c>
      <c r="H433" t="s">
        <v>41</v>
      </c>
      <c r="I433" t="s">
        <v>10</v>
      </c>
      <c r="J433" t="s">
        <v>644</v>
      </c>
      <c r="K433">
        <v>10154</v>
      </c>
      <c r="L433">
        <v>15</v>
      </c>
      <c r="M433" t="s">
        <v>12</v>
      </c>
      <c r="N433" t="s">
        <v>53</v>
      </c>
      <c r="O433">
        <v>0</v>
      </c>
      <c r="P433" t="s">
        <v>13</v>
      </c>
      <c r="Q433">
        <v>231.9</v>
      </c>
      <c r="R433" t="s">
        <v>13</v>
      </c>
      <c r="S433">
        <v>47.9</v>
      </c>
      <c r="T433" t="s">
        <v>13</v>
      </c>
      <c r="U433" t="s">
        <v>14</v>
      </c>
      <c r="V433">
        <v>42</v>
      </c>
      <c r="W433">
        <v>5</v>
      </c>
      <c r="X433">
        <v>7.3</v>
      </c>
      <c r="Y433" t="s">
        <v>15</v>
      </c>
      <c r="Z433">
        <v>72</v>
      </c>
      <c r="AA433">
        <v>42</v>
      </c>
      <c r="AB433">
        <v>10.3</v>
      </c>
      <c r="AC433" t="s">
        <v>11</v>
      </c>
      <c r="AD433">
        <v>124.35</v>
      </c>
      <c r="AE433" t="s">
        <v>16</v>
      </c>
      <c r="AF433">
        <v>77.27</v>
      </c>
      <c r="AG433" t="s">
        <v>17</v>
      </c>
      <c r="AH433" t="s">
        <v>645</v>
      </c>
      <c r="AI433" t="s">
        <v>711</v>
      </c>
    </row>
    <row r="434" spans="2:35" x14ac:dyDescent="0.25">
      <c r="B434" s="2" t="s">
        <v>106</v>
      </c>
      <c r="C434" t="s">
        <v>5</v>
      </c>
      <c r="D434">
        <v>51</v>
      </c>
      <c r="E434" t="s">
        <v>6</v>
      </c>
      <c r="F434" t="s">
        <v>21</v>
      </c>
      <c r="G434" t="s">
        <v>107</v>
      </c>
      <c r="H434" t="s">
        <v>31</v>
      </c>
      <c r="I434" t="s">
        <v>10</v>
      </c>
      <c r="J434" t="s">
        <v>646</v>
      </c>
      <c r="K434">
        <v>48477</v>
      </c>
      <c r="L434">
        <v>200</v>
      </c>
      <c r="M434" t="s">
        <v>12</v>
      </c>
      <c r="O434">
        <v>233</v>
      </c>
      <c r="P434" t="s">
        <v>13</v>
      </c>
      <c r="Q434">
        <v>300</v>
      </c>
      <c r="R434" t="s">
        <v>13</v>
      </c>
      <c r="S434">
        <v>180</v>
      </c>
      <c r="T434" t="s">
        <v>13</v>
      </c>
      <c r="U434" t="s">
        <v>14</v>
      </c>
      <c r="V434">
        <v>40</v>
      </c>
      <c r="W434">
        <v>51</v>
      </c>
      <c r="X434">
        <v>53</v>
      </c>
      <c r="Y434" t="s">
        <v>15</v>
      </c>
      <c r="Z434">
        <v>74</v>
      </c>
      <c r="AA434">
        <v>12</v>
      </c>
      <c r="AB434">
        <v>2</v>
      </c>
      <c r="AC434">
        <v>1045123</v>
      </c>
      <c r="AD434">
        <v>297.79000000000002</v>
      </c>
      <c r="AE434" t="s">
        <v>16</v>
      </c>
      <c r="AF434">
        <v>185.04</v>
      </c>
      <c r="AG434" t="s">
        <v>17</v>
      </c>
      <c r="AH434" t="s">
        <v>647</v>
      </c>
      <c r="AI434" t="s">
        <v>680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mikeB</dc:creator>
  <cp:lastModifiedBy>mikeB</cp:lastModifiedBy>
  <dcterms:created xsi:type="dcterms:W3CDTF">2019-07-21T02:40:47Z</dcterms:created>
  <dcterms:modified xsi:type="dcterms:W3CDTF">2019-07-21T02:56:02Z</dcterms:modified>
</cp:coreProperties>
</file>