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KRIPSI\skripsi\implementasi excel\"/>
    </mc:Choice>
  </mc:AlternateContent>
  <xr:revisionPtr revIDLastSave="0" documentId="13_ncr:1_{98EE3B68-45C6-4596-95A4-13C730EF85D5}" xr6:coauthVersionLast="36" xr6:coauthVersionMax="36" xr10:uidLastSave="{00000000-0000-0000-0000-000000000000}"/>
  <bookViews>
    <workbookView xWindow="0" yWindow="4320" windowWidth="20400" windowHeight="6885" activeTab="4" xr2:uid="{614B885E-9B6F-4DE7-A859-E959B12E04EB}"/>
  </bookViews>
  <sheets>
    <sheet name="bahan" sheetId="1" r:id="rId1"/>
    <sheet name="normalisasi data" sheetId="2" r:id="rId2"/>
    <sheet name="konversi" sheetId="7" r:id="rId3"/>
    <sheet name="konversi2" sheetId="9" r:id="rId4"/>
    <sheet name="Bobot" sheetId="8" r:id="rId5"/>
    <sheet name="perhitungan" sheetId="5" r:id="rId6"/>
  </sheets>
  <externalReferences>
    <externalReference r:id="rId7"/>
  </externalReferences>
  <definedNames>
    <definedName name="_xlnm._FilterDatabase" localSheetId="3" hidden="1">konversi2!$K$18:$K$34</definedName>
    <definedName name="_xlcn.WorksheetConnection_Book1.xlsxTable3_2OS1" hidden="1">Table3_2[OS]</definedName>
    <definedName name="_xlcn.WorksheetConnection_Book1.xlsxTable3_2Type1" hidden="1">Table3_2[Type]</definedName>
    <definedName name="ExternalData_1" localSheetId="5" hidden="1">perhitungan!$B$5:$AF$33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_2 Type" name="Table3_2 Type" connection="WorksheetConnection_Book1.xlsx!Table3_2[Type]"/>
          <x15:modelTable id="Table3_2 OS" name="Table3_2 OS" connection="WorksheetConnection_Book1.xlsx!Table3_2[OS]"/>
        </x15:modelTables>
      </x15:dataModel>
    </ext>
  </extLst>
</workbook>
</file>

<file path=xl/calcChain.xml><?xml version="1.0" encoding="utf-8"?>
<calcChain xmlns="http://schemas.openxmlformats.org/spreadsheetml/2006/main">
  <c r="L6" i="8" l="1"/>
  <c r="L7" i="8"/>
  <c r="L14" i="8" s="1"/>
  <c r="L8" i="8"/>
  <c r="L9" i="8"/>
  <c r="L10" i="8"/>
  <c r="L11" i="8"/>
  <c r="L12" i="8"/>
  <c r="L13" i="8"/>
  <c r="K14" i="8"/>
  <c r="M70" i="5" l="1"/>
  <c r="F38" i="5"/>
  <c r="V70" i="5" l="1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U70" i="5"/>
  <c r="U71" i="5"/>
  <c r="U134" i="5" s="1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135" i="5" s="1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F110" i="5"/>
  <c r="F112" i="5"/>
  <c r="F114" i="5"/>
  <c r="F116" i="5"/>
  <c r="F118" i="5"/>
  <c r="F120" i="5"/>
  <c r="F122" i="5"/>
  <c r="F124" i="5"/>
  <c r="F126" i="5"/>
  <c r="F128" i="5"/>
  <c r="F130" i="5"/>
  <c r="F132" i="5"/>
  <c r="F134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135" i="5" s="1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135" i="5" s="1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135" i="5" s="1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134" i="5" s="1"/>
  <c r="M97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G70" i="5"/>
  <c r="G71" i="5"/>
  <c r="G72" i="5"/>
  <c r="G73" i="5"/>
  <c r="G74" i="5"/>
  <c r="G75" i="5"/>
  <c r="G76" i="5"/>
  <c r="G77" i="5"/>
  <c r="G78" i="5"/>
  <c r="G79" i="5"/>
  <c r="G80" i="5"/>
  <c r="G81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F70" i="5"/>
  <c r="F108" i="5" s="1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F135" i="5" l="1"/>
  <c r="F133" i="5"/>
  <c r="F131" i="5"/>
  <c r="F129" i="5"/>
  <c r="F127" i="5"/>
  <c r="F125" i="5"/>
  <c r="F123" i="5"/>
  <c r="F121" i="5"/>
  <c r="F119" i="5"/>
  <c r="F117" i="5"/>
  <c r="F115" i="5"/>
  <c r="F113" i="5"/>
  <c r="F111" i="5"/>
  <c r="F109" i="5"/>
  <c r="M132" i="5"/>
  <c r="N133" i="5"/>
  <c r="N131" i="5"/>
  <c r="N129" i="5"/>
  <c r="N127" i="5"/>
  <c r="N125" i="5"/>
  <c r="N123" i="5"/>
  <c r="N121" i="5"/>
  <c r="N119" i="5"/>
  <c r="N117" i="5"/>
  <c r="N115" i="5"/>
  <c r="N113" i="5"/>
  <c r="N111" i="5"/>
  <c r="N109" i="5"/>
  <c r="E133" i="5"/>
  <c r="E131" i="5"/>
  <c r="E129" i="5"/>
  <c r="E127" i="5"/>
  <c r="E125" i="5"/>
  <c r="E123" i="5"/>
  <c r="E121" i="5"/>
  <c r="E119" i="5"/>
  <c r="E117" i="5"/>
  <c r="E115" i="5"/>
  <c r="E113" i="5"/>
  <c r="E111" i="5"/>
  <c r="E109" i="5"/>
  <c r="H133" i="5"/>
  <c r="H131" i="5"/>
  <c r="H129" i="5"/>
  <c r="H127" i="5"/>
  <c r="H125" i="5"/>
  <c r="H123" i="5"/>
  <c r="H121" i="5"/>
  <c r="H119" i="5"/>
  <c r="H117" i="5"/>
  <c r="H115" i="5"/>
  <c r="H113" i="5"/>
  <c r="H111" i="5"/>
  <c r="H109" i="5"/>
  <c r="U132" i="5"/>
  <c r="M135" i="5"/>
  <c r="M133" i="5"/>
  <c r="M131" i="5"/>
  <c r="M129" i="5"/>
  <c r="M127" i="5"/>
  <c r="M125" i="5"/>
  <c r="M121" i="5"/>
  <c r="M117" i="5"/>
  <c r="M113" i="5"/>
  <c r="M109" i="5"/>
  <c r="U133" i="5"/>
  <c r="U129" i="5"/>
  <c r="U125" i="5"/>
  <c r="U121" i="5"/>
  <c r="U117" i="5"/>
  <c r="U113" i="5"/>
  <c r="U109" i="5"/>
  <c r="I131" i="5"/>
  <c r="I127" i="5"/>
  <c r="I125" i="5"/>
  <c r="I123" i="5"/>
  <c r="I121" i="5"/>
  <c r="I119" i="5"/>
  <c r="I117" i="5"/>
  <c r="I115" i="5"/>
  <c r="I113" i="5"/>
  <c r="I111" i="5"/>
  <c r="I109" i="5"/>
  <c r="I133" i="5"/>
  <c r="I129" i="5"/>
  <c r="I134" i="5"/>
  <c r="I130" i="5"/>
  <c r="I126" i="5"/>
  <c r="I122" i="5"/>
  <c r="I118" i="5"/>
  <c r="I114" i="5"/>
  <c r="I108" i="5"/>
  <c r="M128" i="5"/>
  <c r="M124" i="5"/>
  <c r="M120" i="5"/>
  <c r="M116" i="5"/>
  <c r="M112" i="5"/>
  <c r="M108" i="5"/>
  <c r="U128" i="5"/>
  <c r="U124" i="5"/>
  <c r="U120" i="5"/>
  <c r="U116" i="5"/>
  <c r="U112" i="5"/>
  <c r="U108" i="5"/>
  <c r="V108" i="5"/>
  <c r="V110" i="5"/>
  <c r="V112" i="5"/>
  <c r="V114" i="5"/>
  <c r="V116" i="5"/>
  <c r="V118" i="5"/>
  <c r="V120" i="5"/>
  <c r="V122" i="5"/>
  <c r="V124" i="5"/>
  <c r="V126" i="5"/>
  <c r="V128" i="5"/>
  <c r="V130" i="5"/>
  <c r="V132" i="5"/>
  <c r="V134" i="5"/>
  <c r="E134" i="5"/>
  <c r="E132" i="5"/>
  <c r="E130" i="5"/>
  <c r="E128" i="5"/>
  <c r="E126" i="5"/>
  <c r="E124" i="5"/>
  <c r="E122" i="5"/>
  <c r="E120" i="5"/>
  <c r="E118" i="5"/>
  <c r="E116" i="5"/>
  <c r="E114" i="5"/>
  <c r="E112" i="5"/>
  <c r="E110" i="5"/>
  <c r="M123" i="5"/>
  <c r="M119" i="5"/>
  <c r="M115" i="5"/>
  <c r="M111" i="5"/>
  <c r="U135" i="5"/>
  <c r="U131" i="5"/>
  <c r="U127" i="5"/>
  <c r="U123" i="5"/>
  <c r="U119" i="5"/>
  <c r="U115" i="5"/>
  <c r="U111" i="5"/>
  <c r="V135" i="5"/>
  <c r="V131" i="5"/>
  <c r="V127" i="5"/>
  <c r="V123" i="5"/>
  <c r="V119" i="5"/>
  <c r="V115" i="5"/>
  <c r="V111" i="5"/>
  <c r="I132" i="5"/>
  <c r="I128" i="5"/>
  <c r="I124" i="5"/>
  <c r="I120" i="5"/>
  <c r="I116" i="5"/>
  <c r="I112" i="5"/>
  <c r="I110" i="5"/>
  <c r="M130" i="5"/>
  <c r="M126" i="5"/>
  <c r="M122" i="5"/>
  <c r="M118" i="5"/>
  <c r="M114" i="5"/>
  <c r="M110" i="5"/>
  <c r="U130" i="5"/>
  <c r="U126" i="5"/>
  <c r="U122" i="5"/>
  <c r="U118" i="5"/>
  <c r="U114" i="5"/>
  <c r="U110" i="5"/>
  <c r="N134" i="5"/>
  <c r="N132" i="5"/>
  <c r="N130" i="5"/>
  <c r="N128" i="5"/>
  <c r="N126" i="5"/>
  <c r="N124" i="5"/>
  <c r="N122" i="5"/>
  <c r="N120" i="5"/>
  <c r="N118" i="5"/>
  <c r="N116" i="5"/>
  <c r="N114" i="5"/>
  <c r="N112" i="5"/>
  <c r="N110" i="5"/>
  <c r="N108" i="5"/>
  <c r="E108" i="5"/>
  <c r="H134" i="5"/>
  <c r="H132" i="5"/>
  <c r="H130" i="5"/>
  <c r="H128" i="5"/>
  <c r="H126" i="5"/>
  <c r="H124" i="5"/>
  <c r="H122" i="5"/>
  <c r="H120" i="5"/>
  <c r="H118" i="5"/>
  <c r="H116" i="5"/>
  <c r="H114" i="5"/>
  <c r="H112" i="5"/>
  <c r="H110" i="5"/>
  <c r="H108" i="5"/>
  <c r="V133" i="5"/>
  <c r="V129" i="5"/>
  <c r="V125" i="5"/>
  <c r="V121" i="5"/>
  <c r="V117" i="5"/>
  <c r="V113" i="5"/>
  <c r="V109" i="5"/>
  <c r="D108" i="5"/>
  <c r="D135" i="5"/>
  <c r="D133" i="5"/>
  <c r="D131" i="5"/>
  <c r="D129" i="5"/>
  <c r="D127" i="5"/>
  <c r="D125" i="5"/>
  <c r="D123" i="5"/>
  <c r="D121" i="5"/>
  <c r="D119" i="5"/>
  <c r="D117" i="5"/>
  <c r="D115" i="5"/>
  <c r="D113" i="5"/>
  <c r="D111" i="5"/>
  <c r="D109" i="5"/>
  <c r="D134" i="5"/>
  <c r="D132" i="5"/>
  <c r="D130" i="5"/>
  <c r="D128" i="5"/>
  <c r="D126" i="5"/>
  <c r="D124" i="5"/>
  <c r="D122" i="5"/>
  <c r="D120" i="5"/>
  <c r="D118" i="5"/>
  <c r="D116" i="5"/>
  <c r="D114" i="5"/>
  <c r="D112" i="5"/>
  <c r="D110" i="5"/>
  <c r="D38" i="5"/>
  <c r="V65" i="5"/>
  <c r="E15" i="8" l="1"/>
  <c r="D3" i="1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F6" i="8" l="1"/>
  <c r="B139" i="5" s="1"/>
  <c r="F13" i="8"/>
  <c r="F11" i="8"/>
  <c r="F9" i="8"/>
  <c r="F7" i="8"/>
  <c r="F14" i="8"/>
  <c r="F12" i="8"/>
  <c r="F10" i="8"/>
  <c r="F8" i="8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T38" i="5"/>
  <c r="T70" i="5" s="1"/>
  <c r="T39" i="5"/>
  <c r="T71" i="5" s="1"/>
  <c r="T40" i="5"/>
  <c r="T72" i="5" s="1"/>
  <c r="T41" i="5"/>
  <c r="T73" i="5" s="1"/>
  <c r="T42" i="5"/>
  <c r="T74" i="5" s="1"/>
  <c r="T43" i="5"/>
  <c r="T75" i="5" s="1"/>
  <c r="T44" i="5"/>
  <c r="T76" i="5" s="1"/>
  <c r="T45" i="5"/>
  <c r="T77" i="5" s="1"/>
  <c r="T46" i="5"/>
  <c r="T78" i="5" s="1"/>
  <c r="T47" i="5"/>
  <c r="T79" i="5" s="1"/>
  <c r="T48" i="5"/>
  <c r="T80" i="5" s="1"/>
  <c r="T49" i="5"/>
  <c r="T81" i="5" s="1"/>
  <c r="T50" i="5"/>
  <c r="T82" i="5" s="1"/>
  <c r="T51" i="5"/>
  <c r="T83" i="5" s="1"/>
  <c r="T52" i="5"/>
  <c r="T84" i="5" s="1"/>
  <c r="T53" i="5"/>
  <c r="T85" i="5" s="1"/>
  <c r="T54" i="5"/>
  <c r="T86" i="5" s="1"/>
  <c r="T55" i="5"/>
  <c r="T87" i="5" s="1"/>
  <c r="T56" i="5"/>
  <c r="T88" i="5" s="1"/>
  <c r="T57" i="5"/>
  <c r="T89" i="5" s="1"/>
  <c r="T58" i="5"/>
  <c r="T90" i="5" s="1"/>
  <c r="T59" i="5"/>
  <c r="T91" i="5" s="1"/>
  <c r="T60" i="5"/>
  <c r="T92" i="5" s="1"/>
  <c r="T61" i="5"/>
  <c r="T93" i="5" s="1"/>
  <c r="T62" i="5"/>
  <c r="T94" i="5" s="1"/>
  <c r="T63" i="5"/>
  <c r="T95" i="5" s="1"/>
  <c r="T64" i="5"/>
  <c r="T96" i="5" s="1"/>
  <c r="T65" i="5"/>
  <c r="T97" i="5" s="1"/>
  <c r="T135" i="5" s="1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82" i="5" s="1"/>
  <c r="G51" i="5"/>
  <c r="G83" i="5" s="1"/>
  <c r="G52" i="5"/>
  <c r="G84" i="5" s="1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T133" i="5" l="1"/>
  <c r="T164" i="5" s="1"/>
  <c r="T131" i="5"/>
  <c r="T162" i="5" s="1"/>
  <c r="T129" i="5"/>
  <c r="T127" i="5"/>
  <c r="T125" i="5"/>
  <c r="T156" i="5" s="1"/>
  <c r="T123" i="5"/>
  <c r="T154" i="5" s="1"/>
  <c r="T121" i="5"/>
  <c r="T119" i="5"/>
  <c r="T117" i="5"/>
  <c r="T148" i="5" s="1"/>
  <c r="T115" i="5"/>
  <c r="T146" i="5" s="1"/>
  <c r="T113" i="5"/>
  <c r="T111" i="5"/>
  <c r="T109" i="5"/>
  <c r="T140" i="5" s="1"/>
  <c r="T134" i="5"/>
  <c r="T165" i="5" s="1"/>
  <c r="T132" i="5"/>
  <c r="T130" i="5"/>
  <c r="T161" i="5" s="1"/>
  <c r="T128" i="5"/>
  <c r="T159" i="5" s="1"/>
  <c r="T126" i="5"/>
  <c r="T157" i="5" s="1"/>
  <c r="T124" i="5"/>
  <c r="T122" i="5"/>
  <c r="T120" i="5"/>
  <c r="T118" i="5"/>
  <c r="T116" i="5"/>
  <c r="T114" i="5"/>
  <c r="T112" i="5"/>
  <c r="T110" i="5"/>
  <c r="T108" i="5"/>
  <c r="F139" i="5"/>
  <c r="E139" i="5"/>
  <c r="D139" i="5"/>
  <c r="G165" i="5"/>
  <c r="I165" i="5"/>
  <c r="K165" i="5"/>
  <c r="N165" i="5"/>
  <c r="P165" i="5"/>
  <c r="R165" i="5"/>
  <c r="F164" i="5"/>
  <c r="F160" i="5"/>
  <c r="F156" i="5"/>
  <c r="F152" i="5"/>
  <c r="F148" i="5"/>
  <c r="F146" i="5"/>
  <c r="F144" i="5"/>
  <c r="F140" i="5"/>
  <c r="G161" i="5"/>
  <c r="G157" i="5"/>
  <c r="G153" i="5"/>
  <c r="G149" i="5"/>
  <c r="G145" i="5"/>
  <c r="G141" i="5"/>
  <c r="H161" i="5"/>
  <c r="H159" i="5"/>
  <c r="H155" i="5"/>
  <c r="H153" i="5"/>
  <c r="H151" i="5"/>
  <c r="H147" i="5"/>
  <c r="H145" i="5"/>
  <c r="H143" i="5"/>
  <c r="H139" i="5"/>
  <c r="I163" i="5"/>
  <c r="I161" i="5"/>
  <c r="I157" i="5"/>
  <c r="I155" i="5"/>
  <c r="I153" i="5"/>
  <c r="I149" i="5"/>
  <c r="I147" i="5"/>
  <c r="I145" i="5"/>
  <c r="I139" i="5"/>
  <c r="J163" i="5"/>
  <c r="J157" i="5"/>
  <c r="J155" i="5"/>
  <c r="J151" i="5"/>
  <c r="J149" i="5"/>
  <c r="J147" i="5"/>
  <c r="J143" i="5"/>
  <c r="J141" i="5"/>
  <c r="J139" i="5"/>
  <c r="K161" i="5"/>
  <c r="K159" i="5"/>
  <c r="K153" i="5"/>
  <c r="K151" i="5"/>
  <c r="K149" i="5"/>
  <c r="K145" i="5"/>
  <c r="K141" i="5"/>
  <c r="M161" i="5"/>
  <c r="M159" i="5"/>
  <c r="M157" i="5"/>
  <c r="M155" i="5"/>
  <c r="M153" i="5"/>
  <c r="M151" i="5"/>
  <c r="M149" i="5"/>
  <c r="M147" i="5"/>
  <c r="M145" i="5"/>
  <c r="M143" i="5"/>
  <c r="M141" i="5"/>
  <c r="M139" i="5"/>
  <c r="N161" i="5"/>
  <c r="N157" i="5"/>
  <c r="N153" i="5"/>
  <c r="N149" i="5"/>
  <c r="N145" i="5"/>
  <c r="N141" i="5"/>
  <c r="O163" i="5"/>
  <c r="O161" i="5"/>
  <c r="O159" i="5"/>
  <c r="O157" i="5"/>
  <c r="O155" i="5"/>
  <c r="O153" i="5"/>
  <c r="O149" i="5"/>
  <c r="O147" i="5"/>
  <c r="O145" i="5"/>
  <c r="O143" i="5"/>
  <c r="O141" i="5"/>
  <c r="O139" i="5"/>
  <c r="P161" i="5"/>
  <c r="P157" i="5"/>
  <c r="P153" i="5"/>
  <c r="P149" i="5"/>
  <c r="P145" i="5"/>
  <c r="P141" i="5"/>
  <c r="Q163" i="5"/>
  <c r="Q159" i="5"/>
  <c r="Q157" i="5"/>
  <c r="Q155" i="5"/>
  <c r="Q151" i="5"/>
  <c r="Q149" i="5"/>
  <c r="Q147" i="5"/>
  <c r="Q143" i="5"/>
  <c r="Q141" i="5"/>
  <c r="Q139" i="5"/>
  <c r="R161" i="5"/>
  <c r="R157" i="5"/>
  <c r="R155" i="5"/>
  <c r="R153" i="5"/>
  <c r="R151" i="5"/>
  <c r="R145" i="5"/>
  <c r="R143" i="5"/>
  <c r="R141" i="5"/>
  <c r="R139" i="5"/>
  <c r="S163" i="5"/>
  <c r="S159" i="5"/>
  <c r="S155" i="5"/>
  <c r="S151" i="5"/>
  <c r="S147" i="5"/>
  <c r="S143" i="5"/>
  <c r="S139" i="5"/>
  <c r="T163" i="5"/>
  <c r="T155" i="5"/>
  <c r="T153" i="5"/>
  <c r="T151" i="5"/>
  <c r="T149" i="5"/>
  <c r="T147" i="5"/>
  <c r="T145" i="5"/>
  <c r="T143" i="5"/>
  <c r="T141" i="5"/>
  <c r="T139" i="5"/>
  <c r="U161" i="5"/>
  <c r="U159" i="5"/>
  <c r="U157" i="5"/>
  <c r="U155" i="5"/>
  <c r="U153" i="5"/>
  <c r="U151" i="5"/>
  <c r="U149" i="5"/>
  <c r="U147" i="5"/>
  <c r="U145" i="5"/>
  <c r="U143" i="5"/>
  <c r="U141" i="5"/>
  <c r="U139" i="5"/>
  <c r="F165" i="5"/>
  <c r="F161" i="5"/>
  <c r="F157" i="5"/>
  <c r="F153" i="5"/>
  <c r="J164" i="5"/>
  <c r="J160" i="5"/>
  <c r="J156" i="5"/>
  <c r="J152" i="5"/>
  <c r="J148" i="5"/>
  <c r="J144" i="5"/>
  <c r="J140" i="5"/>
  <c r="K164" i="5"/>
  <c r="K160" i="5"/>
  <c r="K156" i="5"/>
  <c r="K152" i="5"/>
  <c r="K148" i="5"/>
  <c r="K144" i="5"/>
  <c r="K142" i="5"/>
  <c r="K140" i="5"/>
  <c r="M166" i="5"/>
  <c r="M164" i="5"/>
  <c r="M160" i="5"/>
  <c r="M156" i="5"/>
  <c r="M154" i="5"/>
  <c r="M152" i="5"/>
  <c r="M150" i="5"/>
  <c r="M148" i="5"/>
  <c r="M144" i="5"/>
  <c r="M140" i="5"/>
  <c r="N166" i="5"/>
  <c r="N164" i="5"/>
  <c r="N162" i="5"/>
  <c r="N160" i="5"/>
  <c r="N156" i="5"/>
  <c r="N152" i="5"/>
  <c r="N150" i="5"/>
  <c r="N148" i="5"/>
  <c r="N146" i="5"/>
  <c r="N140" i="5"/>
  <c r="O166" i="5"/>
  <c r="O164" i="5"/>
  <c r="O160" i="5"/>
  <c r="O156" i="5"/>
  <c r="O154" i="5"/>
  <c r="O152" i="5"/>
  <c r="O150" i="5"/>
  <c r="O148" i="5"/>
  <c r="O144" i="5"/>
  <c r="P166" i="5"/>
  <c r="P164" i="5"/>
  <c r="P160" i="5"/>
  <c r="P158" i="5"/>
  <c r="P156" i="5"/>
  <c r="P152" i="5"/>
  <c r="P150" i="5"/>
  <c r="P148" i="5"/>
  <c r="P144" i="5"/>
  <c r="P140" i="5"/>
  <c r="Q164" i="5"/>
  <c r="Q160" i="5"/>
  <c r="Q156" i="5"/>
  <c r="Q152" i="5"/>
  <c r="Q148" i="5"/>
  <c r="Q144" i="5"/>
  <c r="Q140" i="5"/>
  <c r="R166" i="5"/>
  <c r="R164" i="5"/>
  <c r="R162" i="5"/>
  <c r="R160" i="5"/>
  <c r="R158" i="5"/>
  <c r="R156" i="5"/>
  <c r="R154" i="5"/>
  <c r="R152" i="5"/>
  <c r="R150" i="5"/>
  <c r="R148" i="5"/>
  <c r="R146" i="5"/>
  <c r="R144" i="5"/>
  <c r="R142" i="5"/>
  <c r="R140" i="5"/>
  <c r="S166" i="5"/>
  <c r="S164" i="5"/>
  <c r="S162" i="5"/>
  <c r="S160" i="5"/>
  <c r="S158" i="5"/>
  <c r="S156" i="5"/>
  <c r="S154" i="5"/>
  <c r="S152" i="5"/>
  <c r="S150" i="5"/>
  <c r="S148" i="5"/>
  <c r="S146" i="5"/>
  <c r="S144" i="5"/>
  <c r="S142" i="5"/>
  <c r="T160" i="5"/>
  <c r="T152" i="5"/>
  <c r="T144" i="5"/>
  <c r="U166" i="5"/>
  <c r="U164" i="5"/>
  <c r="U162" i="5"/>
  <c r="U160" i="5"/>
  <c r="U158" i="5"/>
  <c r="U156" i="5"/>
  <c r="U154" i="5"/>
  <c r="U152" i="5"/>
  <c r="U150" i="5"/>
  <c r="U148" i="5"/>
  <c r="U146" i="5"/>
  <c r="U142" i="5"/>
  <c r="U140" i="5"/>
  <c r="V141" i="5"/>
  <c r="V145" i="5"/>
  <c r="V144" i="5"/>
  <c r="V150" i="5"/>
  <c r="V154" i="5"/>
  <c r="V158" i="5"/>
  <c r="V142" i="5"/>
  <c r="V149" i="5"/>
  <c r="V153" i="5"/>
  <c r="V157" i="5"/>
  <c r="V162" i="5"/>
  <c r="V166" i="5"/>
  <c r="V146" i="5"/>
  <c r="V147" i="5"/>
  <c r="V155" i="5"/>
  <c r="V161" i="5"/>
  <c r="V165" i="5"/>
  <c r="F15" i="8"/>
  <c r="I140" i="5"/>
  <c r="I142" i="5"/>
  <c r="I144" i="5"/>
  <c r="I146" i="5"/>
  <c r="I148" i="5"/>
  <c r="I150" i="5"/>
  <c r="I152" i="5"/>
  <c r="I154" i="5"/>
  <c r="I156" i="5"/>
  <c r="I158" i="5"/>
  <c r="I160" i="5"/>
  <c r="I162" i="5"/>
  <c r="I164" i="5"/>
  <c r="I166" i="5"/>
  <c r="H140" i="5"/>
  <c r="H142" i="5"/>
  <c r="H144" i="5"/>
  <c r="H146" i="5"/>
  <c r="H148" i="5"/>
  <c r="H150" i="5"/>
  <c r="H152" i="5"/>
  <c r="H154" i="5"/>
  <c r="H156" i="5"/>
  <c r="H158" i="5"/>
  <c r="H160" i="5"/>
  <c r="H162" i="5"/>
  <c r="H164" i="5"/>
  <c r="H166" i="5"/>
  <c r="I141" i="5"/>
  <c r="H141" i="5"/>
  <c r="H149" i="5"/>
  <c r="H157" i="5"/>
  <c r="H165" i="5"/>
  <c r="I143" i="5"/>
  <c r="I151" i="5"/>
  <c r="I159" i="5"/>
  <c r="H163" i="5"/>
  <c r="S141" i="5"/>
  <c r="S145" i="5"/>
  <c r="S149" i="5"/>
  <c r="S153" i="5"/>
  <c r="S157" i="5"/>
  <c r="S161" i="5"/>
  <c r="S165" i="5"/>
  <c r="S140" i="5"/>
  <c r="R149" i="5"/>
  <c r="R147" i="5"/>
  <c r="R163" i="5"/>
  <c r="R159" i="5"/>
  <c r="Q142" i="5"/>
  <c r="Q146" i="5"/>
  <c r="Q150" i="5"/>
  <c r="Q154" i="5"/>
  <c r="Q158" i="5"/>
  <c r="Q162" i="5"/>
  <c r="Q166" i="5"/>
  <c r="Q145" i="5"/>
  <c r="Q153" i="5"/>
  <c r="Q161" i="5"/>
  <c r="Q165" i="5"/>
  <c r="O151" i="5"/>
  <c r="O165" i="5"/>
  <c r="O140" i="5"/>
  <c r="O146" i="5"/>
  <c r="O162" i="5"/>
  <c r="O142" i="5"/>
  <c r="O158" i="5"/>
  <c r="N139" i="5"/>
  <c r="N143" i="5"/>
  <c r="N147" i="5"/>
  <c r="N151" i="5"/>
  <c r="N155" i="5"/>
  <c r="N159" i="5"/>
  <c r="N163" i="5"/>
  <c r="M163" i="5"/>
  <c r="M165" i="5"/>
  <c r="N144" i="5"/>
  <c r="N142" i="5"/>
  <c r="N158" i="5"/>
  <c r="M146" i="5"/>
  <c r="M162" i="5"/>
  <c r="N154" i="5"/>
  <c r="M142" i="5"/>
  <c r="M158" i="5"/>
  <c r="V139" i="5"/>
  <c r="V143" i="5"/>
  <c r="V151" i="5"/>
  <c r="V159" i="5"/>
  <c r="V163" i="5"/>
  <c r="V140" i="5"/>
  <c r="V148" i="5"/>
  <c r="V152" i="5"/>
  <c r="V156" i="5"/>
  <c r="V160" i="5"/>
  <c r="V164" i="5"/>
  <c r="L139" i="5"/>
  <c r="L141" i="5"/>
  <c r="L143" i="5"/>
  <c r="L145" i="5"/>
  <c r="L147" i="5"/>
  <c r="L149" i="5"/>
  <c r="L151" i="5"/>
  <c r="L153" i="5"/>
  <c r="L155" i="5"/>
  <c r="L157" i="5"/>
  <c r="L159" i="5"/>
  <c r="L161" i="5"/>
  <c r="L163" i="5"/>
  <c r="L165" i="5"/>
  <c r="K139" i="5"/>
  <c r="K143" i="5"/>
  <c r="L140" i="5"/>
  <c r="L144" i="5"/>
  <c r="L148" i="5"/>
  <c r="L152" i="5"/>
  <c r="L156" i="5"/>
  <c r="L160" i="5"/>
  <c r="L164" i="5"/>
  <c r="K146" i="5"/>
  <c r="K150" i="5"/>
  <c r="K154" i="5"/>
  <c r="K158" i="5"/>
  <c r="K162" i="5"/>
  <c r="K166" i="5"/>
  <c r="J142" i="5"/>
  <c r="J146" i="5"/>
  <c r="J150" i="5"/>
  <c r="J154" i="5"/>
  <c r="J158" i="5"/>
  <c r="J162" i="5"/>
  <c r="J166" i="5"/>
  <c r="L142" i="5"/>
  <c r="L150" i="5"/>
  <c r="L158" i="5"/>
  <c r="L166" i="5"/>
  <c r="K157" i="5"/>
  <c r="J145" i="5"/>
  <c r="J153" i="5"/>
  <c r="J161" i="5"/>
  <c r="J165" i="5"/>
  <c r="L146" i="5"/>
  <c r="L154" i="5"/>
  <c r="L162" i="5"/>
  <c r="K147" i="5"/>
  <c r="K155" i="5"/>
  <c r="K163" i="5"/>
  <c r="J159" i="5"/>
  <c r="U163" i="5"/>
  <c r="U165" i="5"/>
  <c r="U144" i="5"/>
  <c r="T166" i="5"/>
  <c r="T158" i="5"/>
  <c r="T150" i="5"/>
  <c r="T142" i="5"/>
  <c r="P154" i="5"/>
  <c r="P142" i="5"/>
  <c r="P162" i="5"/>
  <c r="P146" i="5"/>
  <c r="P163" i="5"/>
  <c r="P159" i="5"/>
  <c r="P155" i="5"/>
  <c r="P151" i="5"/>
  <c r="P147" i="5"/>
  <c r="P143" i="5"/>
  <c r="P139" i="5"/>
  <c r="F166" i="5"/>
  <c r="F162" i="5"/>
  <c r="F158" i="5"/>
  <c r="F154" i="5"/>
  <c r="F150" i="5"/>
  <c r="F142" i="5"/>
  <c r="G163" i="5"/>
  <c r="G159" i="5"/>
  <c r="G155" i="5"/>
  <c r="G151" i="5"/>
  <c r="G147" i="5"/>
  <c r="G143" i="5"/>
  <c r="G139" i="5"/>
  <c r="F163" i="5"/>
  <c r="F159" i="5"/>
  <c r="F155" i="5"/>
  <c r="F151" i="5"/>
  <c r="F149" i="5"/>
  <c r="F147" i="5"/>
  <c r="F145" i="5"/>
  <c r="F143" i="5"/>
  <c r="F141" i="5"/>
  <c r="G166" i="5"/>
  <c r="G164" i="5"/>
  <c r="G162" i="5"/>
  <c r="G160" i="5"/>
  <c r="G158" i="5"/>
  <c r="G156" i="5"/>
  <c r="G154" i="5"/>
  <c r="G152" i="5"/>
  <c r="G150" i="5"/>
  <c r="G148" i="5"/>
  <c r="G146" i="5"/>
  <c r="G144" i="5"/>
  <c r="G142" i="5"/>
  <c r="G140" i="5"/>
  <c r="D4" i="1"/>
  <c r="D5" i="1"/>
  <c r="D6" i="1"/>
  <c r="D7" i="1"/>
  <c r="D8" i="1"/>
  <c r="D9" i="1"/>
  <c r="D10" i="1"/>
  <c r="D11" i="1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J3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C64" i="5"/>
  <c r="C134" i="5" s="1"/>
  <c r="C165" i="5" s="1"/>
  <c r="C198" i="5" s="1"/>
  <c r="C65" i="5"/>
  <c r="C135" i="5" s="1"/>
  <c r="C166" i="5" s="1"/>
  <c r="C199" i="5" s="1"/>
  <c r="C54" i="5"/>
  <c r="C124" i="5" s="1"/>
  <c r="C155" i="5" s="1"/>
  <c r="C188" i="5" s="1"/>
  <c r="C55" i="5"/>
  <c r="C125" i="5" s="1"/>
  <c r="C156" i="5" s="1"/>
  <c r="C189" i="5" s="1"/>
  <c r="C56" i="5"/>
  <c r="C126" i="5" s="1"/>
  <c r="C157" i="5" s="1"/>
  <c r="C190" i="5" s="1"/>
  <c r="C57" i="5"/>
  <c r="C127" i="5" s="1"/>
  <c r="C158" i="5" s="1"/>
  <c r="C191" i="5" s="1"/>
  <c r="C58" i="5"/>
  <c r="C128" i="5" s="1"/>
  <c r="C159" i="5" s="1"/>
  <c r="C192" i="5" s="1"/>
  <c r="C59" i="5"/>
  <c r="C129" i="5" s="1"/>
  <c r="C160" i="5" s="1"/>
  <c r="C193" i="5" s="1"/>
  <c r="C60" i="5"/>
  <c r="C130" i="5" s="1"/>
  <c r="C161" i="5" s="1"/>
  <c r="C194" i="5" s="1"/>
  <c r="C61" i="5"/>
  <c r="C131" i="5" s="1"/>
  <c r="C162" i="5" s="1"/>
  <c r="C195" i="5" s="1"/>
  <c r="C62" i="5"/>
  <c r="C132" i="5" s="1"/>
  <c r="C163" i="5" s="1"/>
  <c r="C196" i="5" s="1"/>
  <c r="C63" i="5"/>
  <c r="C133" i="5" s="1"/>
  <c r="C164" i="5" s="1"/>
  <c r="C197" i="5" s="1"/>
  <c r="C45" i="5"/>
  <c r="C115" i="5" s="1"/>
  <c r="C146" i="5" s="1"/>
  <c r="C179" i="5" s="1"/>
  <c r="C46" i="5"/>
  <c r="C116" i="5" s="1"/>
  <c r="C147" i="5" s="1"/>
  <c r="C180" i="5" s="1"/>
  <c r="C47" i="5"/>
  <c r="C117" i="5" s="1"/>
  <c r="C148" i="5" s="1"/>
  <c r="C181" i="5" s="1"/>
  <c r="C48" i="5"/>
  <c r="C118" i="5" s="1"/>
  <c r="C149" i="5" s="1"/>
  <c r="C182" i="5" s="1"/>
  <c r="C49" i="5"/>
  <c r="C119" i="5" s="1"/>
  <c r="C150" i="5" s="1"/>
  <c r="C183" i="5" s="1"/>
  <c r="C50" i="5"/>
  <c r="C120" i="5" s="1"/>
  <c r="C151" i="5" s="1"/>
  <c r="C184" i="5" s="1"/>
  <c r="C51" i="5"/>
  <c r="C121" i="5" s="1"/>
  <c r="C152" i="5" s="1"/>
  <c r="C185" i="5" s="1"/>
  <c r="C52" i="5"/>
  <c r="C122" i="5" s="1"/>
  <c r="C153" i="5" s="1"/>
  <c r="C186" i="5" s="1"/>
  <c r="C53" i="5"/>
  <c r="C123" i="5" s="1"/>
  <c r="C154" i="5" s="1"/>
  <c r="C187" i="5" s="1"/>
  <c r="C41" i="5"/>
  <c r="C111" i="5" s="1"/>
  <c r="C142" i="5" s="1"/>
  <c r="C175" i="5" s="1"/>
  <c r="C42" i="5"/>
  <c r="C112" i="5" s="1"/>
  <c r="C143" i="5" s="1"/>
  <c r="C176" i="5" s="1"/>
  <c r="C43" i="5"/>
  <c r="C113" i="5" s="1"/>
  <c r="C144" i="5" s="1"/>
  <c r="C177" i="5" s="1"/>
  <c r="C44" i="5"/>
  <c r="C114" i="5" s="1"/>
  <c r="C145" i="5" s="1"/>
  <c r="C178" i="5" s="1"/>
  <c r="C38" i="5"/>
  <c r="C108" i="5" s="1"/>
  <c r="C139" i="5" s="1"/>
  <c r="C172" i="5" s="1"/>
  <c r="C39" i="5"/>
  <c r="C109" i="5" s="1"/>
  <c r="C140" i="5" s="1"/>
  <c r="C173" i="5" s="1"/>
  <c r="C40" i="5"/>
  <c r="C110" i="5" s="1"/>
  <c r="C141" i="5" s="1"/>
  <c r="C174" i="5" s="1"/>
  <c r="F14" i="2"/>
  <c r="G14" i="2"/>
  <c r="H14" i="2"/>
  <c r="I14" i="2"/>
  <c r="J14" i="2"/>
  <c r="K14" i="2"/>
  <c r="L14" i="2"/>
  <c r="M14" i="2"/>
  <c r="N14" i="2"/>
  <c r="O14" i="2"/>
  <c r="P14" i="2"/>
  <c r="E14" i="2"/>
  <c r="B166" i="5" l="1"/>
  <c r="D165" i="5"/>
  <c r="E166" i="5"/>
  <c r="B164" i="5"/>
  <c r="B162" i="5"/>
  <c r="B160" i="5"/>
  <c r="B158" i="5"/>
  <c r="B156" i="5"/>
  <c r="B154" i="5"/>
  <c r="B152" i="5"/>
  <c r="B150" i="5"/>
  <c r="B148" i="5"/>
  <c r="B146" i="5"/>
  <c r="B144" i="5"/>
  <c r="B142" i="5"/>
  <c r="B140" i="5"/>
  <c r="D163" i="5"/>
  <c r="D161" i="5"/>
  <c r="D159" i="5"/>
  <c r="D157" i="5"/>
  <c r="D155" i="5"/>
  <c r="D153" i="5"/>
  <c r="D151" i="5"/>
  <c r="D149" i="5"/>
  <c r="D147" i="5"/>
  <c r="D143" i="5"/>
  <c r="D141" i="5"/>
  <c r="E164" i="5"/>
  <c r="E162" i="5"/>
  <c r="E160" i="5"/>
  <c r="E158" i="5"/>
  <c r="E156" i="5"/>
  <c r="E154" i="5"/>
  <c r="E152" i="5"/>
  <c r="E150" i="5"/>
  <c r="E148" i="5"/>
  <c r="E146" i="5"/>
  <c r="E144" i="5"/>
  <c r="E142" i="5"/>
  <c r="E140" i="5"/>
  <c r="B165" i="5"/>
  <c r="B163" i="5"/>
  <c r="B161" i="5"/>
  <c r="B159" i="5"/>
  <c r="B157" i="5"/>
  <c r="B155" i="5"/>
  <c r="B153" i="5"/>
  <c r="B151" i="5"/>
  <c r="B149" i="5"/>
  <c r="B147" i="5"/>
  <c r="B145" i="5"/>
  <c r="B143" i="5"/>
  <c r="B141" i="5"/>
  <c r="D166" i="5"/>
  <c r="D164" i="5"/>
  <c r="D162" i="5"/>
  <c r="D160" i="5"/>
  <c r="D158" i="5"/>
  <c r="D156" i="5"/>
  <c r="D154" i="5"/>
  <c r="D152" i="5"/>
  <c r="D150" i="5"/>
  <c r="D148" i="5"/>
  <c r="D146" i="5"/>
  <c r="D142" i="5"/>
  <c r="E165" i="5"/>
  <c r="E163" i="5"/>
  <c r="E161" i="5"/>
  <c r="E159" i="5"/>
  <c r="E157" i="5"/>
  <c r="E155" i="5"/>
  <c r="E153" i="5"/>
  <c r="E151" i="5"/>
  <c r="E149" i="5"/>
  <c r="E147" i="5"/>
  <c r="E145" i="5"/>
  <c r="E143" i="5"/>
  <c r="E141" i="5"/>
  <c r="D144" i="5"/>
  <c r="D140" i="5"/>
  <c r="D145" i="5"/>
  <c r="R8" i="1"/>
  <c r="R6" i="1"/>
  <c r="W156" i="5" l="1"/>
  <c r="D189" i="5" s="1"/>
  <c r="W148" i="5"/>
  <c r="D181" i="5" s="1"/>
  <c r="W152" i="5"/>
  <c r="D185" i="5" s="1"/>
  <c r="W164" i="5"/>
  <c r="D197" i="5" s="1"/>
  <c r="W149" i="5"/>
  <c r="D182" i="5" s="1"/>
  <c r="W157" i="5"/>
  <c r="D190" i="5" s="1"/>
  <c r="W165" i="5"/>
  <c r="D198" i="5" s="1"/>
  <c r="W166" i="5"/>
  <c r="D199" i="5" s="1"/>
  <c r="W141" i="5"/>
  <c r="D174" i="5" s="1"/>
  <c r="W140" i="5"/>
  <c r="D173" i="5" s="1"/>
  <c r="W144" i="5"/>
  <c r="D177" i="5" s="1"/>
  <c r="W143" i="5"/>
  <c r="D176" i="5" s="1"/>
  <c r="W147" i="5"/>
  <c r="D180" i="5" s="1"/>
  <c r="W151" i="5"/>
  <c r="D184" i="5" s="1"/>
  <c r="W155" i="5"/>
  <c r="D188" i="5" s="1"/>
  <c r="W159" i="5"/>
  <c r="W163" i="5"/>
  <c r="D196" i="5" s="1"/>
  <c r="W160" i="5"/>
  <c r="D193" i="5" s="1"/>
  <c r="W145" i="5"/>
  <c r="D178" i="5" s="1"/>
  <c r="W153" i="5"/>
  <c r="D186" i="5" s="1"/>
  <c r="W161" i="5"/>
  <c r="D194" i="5" s="1"/>
  <c r="W139" i="5"/>
  <c r="D172" i="5" s="1"/>
  <c r="W142" i="5"/>
  <c r="D175" i="5" s="1"/>
  <c r="W146" i="5"/>
  <c r="D179" i="5" s="1"/>
  <c r="W150" i="5"/>
  <c r="D183" i="5" s="1"/>
  <c r="W154" i="5"/>
  <c r="D187" i="5" s="1"/>
  <c r="W158" i="5"/>
  <c r="D191" i="5" s="1"/>
  <c r="W162" i="5"/>
  <c r="C12" i="1"/>
  <c r="D12" i="1"/>
  <c r="D195" i="5" l="1"/>
  <c r="D192" i="5"/>
  <c r="E174" i="5" l="1"/>
  <c r="F184" i="5"/>
  <c r="F183" i="5"/>
  <c r="F188" i="5"/>
  <c r="F174" i="5"/>
  <c r="E182" i="5"/>
  <c r="E189" i="5"/>
  <c r="E178" i="5"/>
  <c r="F182" i="5"/>
  <c r="F189" i="5"/>
  <c r="F193" i="5"/>
  <c r="E185" i="5"/>
  <c r="E190" i="5"/>
  <c r="F180" i="5"/>
  <c r="E196" i="5"/>
  <c r="F175" i="5"/>
  <c r="F191" i="5"/>
  <c r="F185" i="5"/>
  <c r="F190" i="5"/>
  <c r="E176" i="5"/>
  <c r="F196" i="5"/>
  <c r="F198" i="5"/>
  <c r="E177" i="5"/>
  <c r="E197" i="5"/>
  <c r="E173" i="5"/>
  <c r="E181" i="5"/>
  <c r="E199" i="5"/>
  <c r="E180" i="5"/>
  <c r="E188" i="5"/>
  <c r="F178" i="5"/>
  <c r="E194" i="5"/>
  <c r="E175" i="5"/>
  <c r="E183" i="5"/>
  <c r="E191" i="5"/>
  <c r="F177" i="5"/>
  <c r="E198" i="5"/>
  <c r="F173" i="5"/>
  <c r="F181" i="5"/>
  <c r="F176" i="5"/>
  <c r="F195" i="5"/>
  <c r="E192" i="5"/>
  <c r="F192" i="5"/>
  <c r="F197" i="5"/>
  <c r="E193" i="5"/>
  <c r="E186" i="5"/>
  <c r="E172" i="5"/>
  <c r="E179" i="5"/>
  <c r="E187" i="5"/>
  <c r="E184" i="5"/>
  <c r="F199" i="5"/>
  <c r="F186" i="5"/>
  <c r="F172" i="5"/>
  <c r="F179" i="5"/>
  <c r="F187" i="5"/>
  <c r="E195" i="5"/>
  <c r="F19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B1D499-B084-4E9E-927E-BA3674259A30}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  <connection id="2" xr16:uid="{B308D649-FEAC-424B-A032-7464AC915409}" keepAlive="1" name="Query - Table3 (2)" description="Connection to the 'Table3 (2)' query in the workbook." type="5" refreshedVersion="6" background="1" saveData="1">
    <dbPr connection="Provider=Microsoft.Mashup.OleDb.1;Data Source=$Workbook$;Location=&quot;Table3 (2)&quot;;Extended Properties=&quot;&quot;" command="SELECT * FROM [Table3 (2)]"/>
  </connection>
  <connection id="3" xr16:uid="{FDE5749F-2BE9-4417-A257-143D53AE550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A13AC90-B4BA-48C0-AB6B-26BE26D57109}" name="WorksheetConnection_Book1.xlsx!Table3_2[OS]" type="102" refreshedVersion="6" minRefreshableVersion="5">
    <extLst>
      <ext xmlns:x15="http://schemas.microsoft.com/office/spreadsheetml/2010/11/main" uri="{DE250136-89BD-433C-8126-D09CA5730AF9}">
        <x15:connection id="Table3_2 OS" autoDelete="1">
          <x15:rangePr sourceName="_xlcn.WorksheetConnection_Book1.xlsxTable3_2OS1"/>
        </x15:connection>
      </ext>
    </extLst>
  </connection>
  <connection id="5" xr16:uid="{63E8B4AD-62C7-4AF1-BAE4-8176705AB1BF}" name="WorksheetConnection_Book1.xlsx!Table3_2[Type]" type="102" refreshedVersion="6" minRefreshableVersion="5">
    <extLst>
      <ext xmlns:x15="http://schemas.microsoft.com/office/spreadsheetml/2010/11/main" uri="{DE250136-89BD-433C-8126-D09CA5730AF9}">
        <x15:connection id="Table3_2 Type" autoDelete="1">
          <x15:rangePr sourceName="_xlcn.WorksheetConnection_Book1.xlsxTable3_2Type1"/>
        </x15:connection>
      </ext>
    </extLst>
  </connection>
</connections>
</file>

<file path=xl/sharedStrings.xml><?xml version="1.0" encoding="utf-8"?>
<sst xmlns="http://schemas.openxmlformats.org/spreadsheetml/2006/main" count="2207" uniqueCount="321">
  <si>
    <t>Merk</t>
  </si>
  <si>
    <t>Body</t>
  </si>
  <si>
    <t>Display</t>
  </si>
  <si>
    <t>Platform</t>
  </si>
  <si>
    <t>Memory</t>
  </si>
  <si>
    <t>Main Camera</t>
  </si>
  <si>
    <t>Selfie Camera</t>
  </si>
  <si>
    <t>Battery</t>
  </si>
  <si>
    <t>Price</t>
  </si>
  <si>
    <t>No</t>
  </si>
  <si>
    <t>Brand</t>
  </si>
  <si>
    <t>Dimension</t>
  </si>
  <si>
    <t>Weight</t>
  </si>
  <si>
    <t>build</t>
  </si>
  <si>
    <t>Dual SIM</t>
  </si>
  <si>
    <t>5G</t>
  </si>
  <si>
    <t>Type</t>
  </si>
  <si>
    <t>Size</t>
  </si>
  <si>
    <t>Resolution</t>
  </si>
  <si>
    <t>OS</t>
  </si>
  <si>
    <t>Chipset</t>
  </si>
  <si>
    <t>CPU</t>
  </si>
  <si>
    <t>Card Slot</t>
  </si>
  <si>
    <t>RAM</t>
  </si>
  <si>
    <t>ROM</t>
  </si>
  <si>
    <t>Camera</t>
  </si>
  <si>
    <t>Type2</t>
  </si>
  <si>
    <t>Video</t>
  </si>
  <si>
    <t>Camera3</t>
  </si>
  <si>
    <t>Type4</t>
  </si>
  <si>
    <t>USB</t>
  </si>
  <si>
    <t>Capacity</t>
  </si>
  <si>
    <t>Type6</t>
  </si>
  <si>
    <t>Wireless</t>
  </si>
  <si>
    <t>ASUS</t>
  </si>
  <si>
    <t>Zenfone 10</t>
  </si>
  <si>
    <t>146.5 x 68.1 x 9.4 mm </t>
  </si>
  <si>
    <t>172 g</t>
  </si>
  <si>
    <t>Glass front, aluminum frame, plastic back</t>
  </si>
  <si>
    <t>YES</t>
  </si>
  <si>
    <t>SUPER AMOLED</t>
  </si>
  <si>
    <r>
      <t>84.6 cm</t>
    </r>
    <r>
      <rPr>
        <vertAlign val="superscript"/>
        <sz val="11"/>
        <rFont val="Calibri"/>
        <family val="2"/>
        <scheme val="minor"/>
      </rPr>
      <t>2</t>
    </r>
  </si>
  <si>
    <t>1080 x 2400</t>
  </si>
  <si>
    <t>Android 13</t>
  </si>
  <si>
    <t>Snapdragon 8 Gen 2</t>
  </si>
  <si>
    <t>Octa-core</t>
  </si>
  <si>
    <t>50 MP</t>
  </si>
  <si>
    <t>DUAL</t>
  </si>
  <si>
    <t>8K 24FPS, 4K 30/60FPS</t>
  </si>
  <si>
    <t>32 MP</t>
  </si>
  <si>
    <t>SINGGLE</t>
  </si>
  <si>
    <t>1080p 30FPS</t>
  </si>
  <si>
    <t>USB Type-C 2.0</t>
  </si>
  <si>
    <t>4300mAh</t>
  </si>
  <si>
    <t>Li-Po</t>
  </si>
  <si>
    <t>ROG Phone 7 Ultimate</t>
  </si>
  <si>
    <t>173 x 77 x 10.3 mm</t>
  </si>
  <si>
    <t>239 g</t>
  </si>
  <si>
    <t>Glass front, aluminum frame, Glass back</t>
  </si>
  <si>
    <t>AMOLED</t>
  </si>
  <si>
    <r>
      <t>109.5 cm</t>
    </r>
    <r>
      <rPr>
        <vertAlign val="superscript"/>
        <sz val="11"/>
        <rFont val="Calibri"/>
        <family val="2"/>
        <scheme val="minor"/>
      </rPr>
      <t>2</t>
    </r>
  </si>
  <si>
    <t>1080 x 2448</t>
  </si>
  <si>
    <t>NO</t>
  </si>
  <si>
    <t>TRIPLE</t>
  </si>
  <si>
    <t>8K 24fps, 4K 30/60fps, 1080p 30/60/120/240fps</t>
  </si>
  <si>
    <t>1080p 30fps</t>
  </si>
  <si>
    <t>USB Type-C 3.1</t>
  </si>
  <si>
    <t>6000mAh</t>
  </si>
  <si>
    <t>ROG Phone 7</t>
  </si>
  <si>
    <t>APPLE</t>
  </si>
  <si>
    <t>Iphone 15 Pro Max</t>
  </si>
  <si>
    <t>159.9 x 76.7 x 8.3 mm</t>
  </si>
  <si>
    <t>221 g</t>
  </si>
  <si>
    <t>Glass front, titanium frame, Glass back</t>
  </si>
  <si>
    <t>Super Retina XDR OLED</t>
  </si>
  <si>
    <r>
      <t>110.2 cm</t>
    </r>
    <r>
      <rPr>
        <vertAlign val="superscript"/>
        <sz val="11"/>
        <rFont val="Calibri"/>
        <family val="2"/>
        <scheme val="minor"/>
      </rPr>
      <t>2</t>
    </r>
  </si>
  <si>
    <t>1290 x 2796</t>
  </si>
  <si>
    <t>iOS 17</t>
  </si>
  <si>
    <t>Apple A17 Pro</t>
  </si>
  <si>
    <t>Hexa-core</t>
  </si>
  <si>
    <t>48 MP</t>
  </si>
  <si>
    <t>4K 24/25/30/60fps, 1080p 30/60/120/240fps</t>
  </si>
  <si>
    <t>12 MP</t>
  </si>
  <si>
    <t>USB Type-C 3.2 Gen 2</t>
  </si>
  <si>
    <t>4441mAh</t>
  </si>
  <si>
    <t>Li-Ion</t>
  </si>
  <si>
    <t>Iphone 15 Pro</t>
  </si>
  <si>
    <t>146.6 x 70.6 x 8.3 mm</t>
  </si>
  <si>
    <t>187 g</t>
  </si>
  <si>
    <r>
      <t>91.3 cm</t>
    </r>
    <r>
      <rPr>
        <vertAlign val="superscript"/>
        <sz val="11"/>
        <rFont val="Calibri"/>
        <family val="2"/>
        <scheme val="minor"/>
      </rPr>
      <t>2</t>
    </r>
  </si>
  <si>
    <t>1179 x 2556</t>
  </si>
  <si>
    <t>3274 mAh</t>
  </si>
  <si>
    <t>Iphone 15 Plus</t>
  </si>
  <si>
    <t>160.9 x 77.8 x 7.8 mm</t>
  </si>
  <si>
    <t>201 g</t>
  </si>
  <si>
    <t>Apple A16 Bionic</t>
  </si>
  <si>
    <t>4K 24/25/30/60fps, 1080p 30/60/120fps</t>
  </si>
  <si>
    <t>4382 mAh</t>
  </si>
  <si>
    <t>Iphone 15</t>
  </si>
  <si>
    <t>147.6 x 71.6 x 7.8 mm</t>
  </si>
  <si>
    <t>171 g</t>
  </si>
  <si>
    <t>3349 mAh</t>
  </si>
  <si>
    <t>SAMSUNG</t>
  </si>
  <si>
    <t>Galaxy S24</t>
  </si>
  <si>
    <t>147 x 70.6 x 7.6 mm</t>
  </si>
  <si>
    <t>167 g</t>
  </si>
  <si>
    <t>Dynamic LTPO AMOLED </t>
  </si>
  <si>
    <r>
      <t>94.4 cm</t>
    </r>
    <r>
      <rPr>
        <vertAlign val="superscript"/>
        <sz val="11"/>
        <rFont val="Calibri"/>
        <family val="2"/>
        <scheme val="minor"/>
      </rPr>
      <t>2</t>
    </r>
  </si>
  <si>
    <t>1080 x 2340</t>
  </si>
  <si>
    <t>Android 14</t>
  </si>
  <si>
    <t>Snapdragon 8 Gen 3</t>
  </si>
  <si>
    <t>4K 30/60fps, 1080p 30fps</t>
  </si>
  <si>
    <t>4000 mAh</t>
  </si>
  <si>
    <t>Galaxy S24 Ultra</t>
  </si>
  <si>
    <t>162.3 x 79 x 8.6 mm</t>
  </si>
  <si>
    <t>232 g</t>
  </si>
  <si>
    <r>
      <t>113.5 cm</t>
    </r>
    <r>
      <rPr>
        <vertAlign val="superscript"/>
        <sz val="11"/>
        <rFont val="Calibri"/>
        <family val="2"/>
        <scheme val="minor"/>
      </rPr>
      <t>2</t>
    </r>
  </si>
  <si>
    <t>1440 x 3120</t>
  </si>
  <si>
    <t>200 MP</t>
  </si>
  <si>
    <t>QUAD</t>
  </si>
  <si>
    <t>8K 24/30fps, 4K 30/60/120fps, 1080p 30/60/240fps</t>
  </si>
  <si>
    <t>5000 mAh</t>
  </si>
  <si>
    <t>Galaxy S24+(Online Exclusive)</t>
  </si>
  <si>
    <t>158.5 x 75.9 x 7.7 mm</t>
  </si>
  <si>
    <t>196 g</t>
  </si>
  <si>
    <t>Deca-core</t>
  </si>
  <si>
    <t>8K 24/30fps, 4K 30/60fps, 1080p 30/60/240fps</t>
  </si>
  <si>
    <t>4900 mAh</t>
  </si>
  <si>
    <t>Galaxy S23 FE</t>
  </si>
  <si>
    <t>158 x 76.5 x 8.2 mm</t>
  </si>
  <si>
    <t>209 g</t>
  </si>
  <si>
    <t>Glass front, alumunium frame, Glass back</t>
  </si>
  <si>
    <t>Dynamic AMOLED</t>
  </si>
  <si>
    <r>
      <t>100.5 cm</t>
    </r>
    <r>
      <rPr>
        <vertAlign val="superscript"/>
        <sz val="11"/>
        <rFont val="Calibri"/>
        <family val="2"/>
        <scheme val="minor"/>
      </rPr>
      <t>2</t>
    </r>
  </si>
  <si>
    <t>Exynos 2200</t>
  </si>
  <si>
    <t>10 MP</t>
  </si>
  <si>
    <t>4K 30/60fps, 1080p 30/60fps</t>
  </si>
  <si>
    <t>USB Type-C 3.2 Gen 1</t>
  </si>
  <si>
    <t>4500 mAh</t>
  </si>
  <si>
    <t>Galaxy S23 Ultra</t>
  </si>
  <si>
    <t>163.4 x 78.1 x 8.9 mm</t>
  </si>
  <si>
    <t>234 g</t>
  </si>
  <si>
    <r>
      <t>114.7 cm</t>
    </r>
    <r>
      <rPr>
        <vertAlign val="superscript"/>
        <sz val="11"/>
        <rFont val="Calibri"/>
        <family val="2"/>
        <scheme val="minor"/>
      </rPr>
      <t>2</t>
    </r>
  </si>
  <si>
    <t>1440 x 3088</t>
  </si>
  <si>
    <t>8K 24/30fps, 4K 30/60fps, 1080p 30/60/240fps, 1080p 960fps</t>
  </si>
  <si>
    <t>USB Type-C 3.2</t>
  </si>
  <si>
    <t>Galaxy S23+</t>
  </si>
  <si>
    <t>157.8 x 76.2 x 7.6 mm</t>
  </si>
  <si>
    <r>
      <t>105.3 cm</t>
    </r>
    <r>
      <rPr>
        <vertAlign val="superscript"/>
        <sz val="11"/>
        <rFont val="Calibri"/>
        <family val="2"/>
        <scheme val="minor"/>
      </rPr>
      <t>2</t>
    </r>
  </si>
  <si>
    <t>4700 mAh</t>
  </si>
  <si>
    <t>Galaxy S23</t>
  </si>
  <si>
    <t>146.3 x 70.9 x 7.6 mm</t>
  </si>
  <si>
    <t>168 g</t>
  </si>
  <si>
    <r>
      <t>90.1 cm</t>
    </r>
    <r>
      <rPr>
        <vertAlign val="superscript"/>
        <sz val="11"/>
        <rFont val="Calibri"/>
        <family val="2"/>
        <scheme val="minor"/>
      </rPr>
      <t>2</t>
    </r>
  </si>
  <si>
    <t>3900 mAh</t>
  </si>
  <si>
    <t>Kriteria</t>
  </si>
  <si>
    <t>Bobot</t>
  </si>
  <si>
    <t>Normalisasi</t>
  </si>
  <si>
    <t>Batrai</t>
  </si>
  <si>
    <t>Harga</t>
  </si>
  <si>
    <t>Video2</t>
  </si>
  <si>
    <t>Total</t>
  </si>
  <si>
    <t>menyiapkan data dari alternatif</t>
  </si>
  <si>
    <t>Menentukan utility</t>
  </si>
  <si>
    <t>rumus LKLB</t>
  </si>
  <si>
    <t>rumus LBLB</t>
  </si>
  <si>
    <t>LKLB = Lebih kecil lebih baik</t>
  </si>
  <si>
    <t>LBLB = Lebih besar lebih baik</t>
  </si>
  <si>
    <t>Perhitungan</t>
  </si>
  <si>
    <t>Rumus</t>
  </si>
  <si>
    <t>Dimension.1</t>
  </si>
  <si>
    <t>Dimension.3</t>
  </si>
  <si>
    <t>Dimension.5</t>
  </si>
  <si>
    <t>Weight.1</t>
  </si>
  <si>
    <t>build.2</t>
  </si>
  <si>
    <t>build.3</t>
  </si>
  <si>
    <t>Resolution.1</t>
  </si>
  <si>
    <t>Resolution.2</t>
  </si>
  <si>
    <t>Video.1</t>
  </si>
  <si>
    <t>Video.2</t>
  </si>
  <si>
    <t>Video.3</t>
  </si>
  <si>
    <t>Video.4</t>
  </si>
  <si>
    <t>Video2.1</t>
  </si>
  <si>
    <t>Video2.2</t>
  </si>
  <si>
    <t xml:space="preserve"> plastic back</t>
  </si>
  <si>
    <t>8K 24FPS</t>
  </si>
  <si>
    <t xml:space="preserve"> 4K 30/60FPS</t>
  </si>
  <si>
    <t xml:space="preserve"> Glass back</t>
  </si>
  <si>
    <t>8K 24fps</t>
  </si>
  <si>
    <t xml:space="preserve"> 4K 30/60fps</t>
  </si>
  <si>
    <t xml:space="preserve"> 1080p 30/60/120/240fps</t>
  </si>
  <si>
    <t xml:space="preserve"> titanium frame</t>
  </si>
  <si>
    <t>4K 24/25/30/60fps</t>
  </si>
  <si>
    <t xml:space="preserve"> 1080p 30/60/120fps</t>
  </si>
  <si>
    <t>4K 30/60fps</t>
  </si>
  <si>
    <t xml:space="preserve"> 1080p 30fps</t>
  </si>
  <si>
    <t>8K 24/30fps</t>
  </si>
  <si>
    <t xml:space="preserve"> 4K 30/60/120fps</t>
  </si>
  <si>
    <t xml:space="preserve"> 1080p 30/60/240fps</t>
  </si>
  <si>
    <t xml:space="preserve"> alumunium frame</t>
  </si>
  <si>
    <t xml:space="preserve"> 1080p 30/60fps</t>
  </si>
  <si>
    <t xml:space="preserve"> 1080p 960fps</t>
  </si>
  <si>
    <t>90,10,50,70,100</t>
  </si>
  <si>
    <t>lklb</t>
  </si>
  <si>
    <t>lblb</t>
  </si>
  <si>
    <t>Berapa umur kamu(Tahun)</t>
  </si>
  <si>
    <t>XIAOMI</t>
  </si>
  <si>
    <t>VIVO</t>
  </si>
  <si>
    <t>OPPO</t>
  </si>
  <si>
    <t>INFINIX</t>
  </si>
  <si>
    <t>POCO</t>
  </si>
  <si>
    <t>ITEL</t>
  </si>
  <si>
    <t>REALME</t>
  </si>
  <si>
    <t>REDMI</t>
  </si>
  <si>
    <t>TECNO</t>
  </si>
  <si>
    <t>rata-rata</t>
  </si>
  <si>
    <t>Size.1</t>
  </si>
  <si>
    <t>Merek</t>
  </si>
  <si>
    <t>Dimensi</t>
  </si>
  <si>
    <t>Berat</t>
  </si>
  <si>
    <t>Build Frame</t>
  </si>
  <si>
    <t>Type Layar</t>
  </si>
  <si>
    <t>Ukuran Layar</t>
  </si>
  <si>
    <t>Resolusi</t>
  </si>
  <si>
    <t>Tipe Main</t>
  </si>
  <si>
    <t>MP Main</t>
  </si>
  <si>
    <t>MP Front</t>
  </si>
  <si>
    <t>Video Front</t>
  </si>
  <si>
    <t>Video Main</t>
  </si>
  <si>
    <t>USB Type</t>
  </si>
  <si>
    <t>146,5</t>
  </si>
  <si>
    <t>68,1</t>
  </si>
  <si>
    <t>9,4</t>
  </si>
  <si>
    <t>173</t>
  </si>
  <si>
    <t>77</t>
  </si>
  <si>
    <t>10,3</t>
  </si>
  <si>
    <t>159,9</t>
  </si>
  <si>
    <t>76,7</t>
  </si>
  <si>
    <t>8,3</t>
  </si>
  <si>
    <t>146,6</t>
  </si>
  <si>
    <t>70,6</t>
  </si>
  <si>
    <t>160,9</t>
  </si>
  <si>
    <t>77,8</t>
  </si>
  <si>
    <t>7,8</t>
  </si>
  <si>
    <t>147,6</t>
  </si>
  <si>
    <t>71,6</t>
  </si>
  <si>
    <t>147</t>
  </si>
  <si>
    <t>7,6</t>
  </si>
  <si>
    <t>162,3</t>
  </si>
  <si>
    <t>79</t>
  </si>
  <si>
    <t>8,6</t>
  </si>
  <si>
    <t>158,5</t>
  </si>
  <si>
    <t>75,9</t>
  </si>
  <si>
    <t>7,7</t>
  </si>
  <si>
    <t>158</t>
  </si>
  <si>
    <t>76,5</t>
  </si>
  <si>
    <t>8,2</t>
  </si>
  <si>
    <t>163,4</t>
  </si>
  <si>
    <t>78,1</t>
  </si>
  <si>
    <t>8,9</t>
  </si>
  <si>
    <t>157,8</t>
  </si>
  <si>
    <t>76,2</t>
  </si>
  <si>
    <t>146,3</t>
  </si>
  <si>
    <t>70,9</t>
  </si>
  <si>
    <t>Grand Total</t>
  </si>
  <si>
    <t>build Back</t>
  </si>
  <si>
    <t>Screen Type</t>
  </si>
  <si>
    <t>Cipset</t>
  </si>
  <si>
    <t>Main Type</t>
  </si>
  <si>
    <t>Nilai</t>
  </si>
  <si>
    <t>nilai</t>
  </si>
  <si>
    <t>Fron Camera</t>
  </si>
  <si>
    <t>Build</t>
  </si>
  <si>
    <t xml:space="preserve"> aluminum frame</t>
  </si>
  <si>
    <r>
      <t xml:space="preserve">Penentuan nilai </t>
    </r>
    <r>
      <rPr>
        <i/>
        <sz val="11"/>
        <color theme="1"/>
        <rFont val="Calibri"/>
        <family val="2"/>
        <scheme val="minor"/>
      </rPr>
      <t>Utility</t>
    </r>
  </si>
  <si>
    <t>Konversi data kualitatif ke Kuantitatif</t>
  </si>
  <si>
    <t>Data yang telah di rapikan, untuk memudahkan perhitungan</t>
  </si>
  <si>
    <t>Hasil Nilai Akhir</t>
  </si>
  <si>
    <t>Citra Merek</t>
  </si>
  <si>
    <t>System</t>
  </si>
  <si>
    <t>Front Camera</t>
  </si>
  <si>
    <t>Normalisasi Bobot Kriteria</t>
  </si>
  <si>
    <t>Perangkingan</t>
  </si>
  <si>
    <t>Rank</t>
  </si>
  <si>
    <t>Persentase</t>
  </si>
  <si>
    <t>before</t>
  </si>
  <si>
    <t>after</t>
  </si>
  <si>
    <t>Ratio</t>
  </si>
  <si>
    <t>ratio</t>
  </si>
  <si>
    <t>rasio = kurang dari nilai tersebut</t>
  </si>
  <si>
    <t>uper</t>
  </si>
  <si>
    <t>harga</t>
  </si>
  <si>
    <t>upper</t>
  </si>
  <si>
    <t>Konversi nilai parameter setiap kriteria</t>
  </si>
  <si>
    <t>&lt;= 80000</t>
  </si>
  <si>
    <t>80000 - &lt;= 90000</t>
  </si>
  <si>
    <t>90000 - &lt;= 100000</t>
  </si>
  <si>
    <t>100000 - &lt;= 110000</t>
  </si>
  <si>
    <t>110000 - &lt;= 120000</t>
  </si>
  <si>
    <t>&gt; 120000</t>
  </si>
  <si>
    <t>&gt; 230</t>
  </si>
  <si>
    <t>&lt;= 170</t>
  </si>
  <si>
    <t>170 - &lt;= 180</t>
  </si>
  <si>
    <t>180 - &lt;= 190</t>
  </si>
  <si>
    <t>190 - &lt;= 200</t>
  </si>
  <si>
    <t>200 - &lt;= 210</t>
  </si>
  <si>
    <t>210 - &lt;= 220</t>
  </si>
  <si>
    <t>220 - &lt;= 230</t>
  </si>
  <si>
    <t>Display Size</t>
  </si>
  <si>
    <t>&lt; 85</t>
  </si>
  <si>
    <t>85 - &lt;= 90</t>
  </si>
  <si>
    <t>90 - &lt;= 95</t>
  </si>
  <si>
    <t>95 - &lt;= 100</t>
  </si>
  <si>
    <t>100 - &lt;= 105</t>
  </si>
  <si>
    <t>105 - &lt;= 110</t>
  </si>
  <si>
    <t>110 - &lt;= 115</t>
  </si>
  <si>
    <t>&gt; 115</t>
  </si>
  <si>
    <t>&gt; 3000000</t>
  </si>
  <si>
    <t>300000 - &lt;= 3500000</t>
  </si>
  <si>
    <t>350000 - &lt;= 4000000</t>
  </si>
  <si>
    <t>&gt; 400000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</si>
</sst>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[$Rp-421]* #,##0.00_-;\-[$Rp-421]* #,##0.00_-;_-[$Rp-421]* &quot;-&quot;??_-;_-@_-"/>
    <numFmt numFmtId="169" formatCode="_-* #,##0_-;\-* #,##0_-;_-* &quot;-&quot;??_-;_-@_-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FFFFFF"/>
      <name val="Courier New"/>
      <family val="3"/>
    </font>
    <font>
      <b/>
      <sz val="11"/>
      <color theme="1" tint="4.9989318521683403E-2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sz val="11"/>
      <color theme="4" tint="-0.249977111117893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4" fontId="2" fillId="2" borderId="4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4" fontId="3" fillId="0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/>
    <xf numFmtId="0" fontId="2" fillId="2" borderId="9" xfId="0" applyFont="1" applyFill="1" applyBorder="1" applyAlignment="1">
      <alignment horizontal="center" vertical="center"/>
    </xf>
    <xf numFmtId="44" fontId="2" fillId="2" borderId="9" xfId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44" fontId="3" fillId="0" borderId="9" xfId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4" fontId="6" fillId="2" borderId="4" xfId="1" applyFont="1" applyFill="1" applyBorder="1" applyAlignment="1">
      <alignment horizontal="center" vertical="center"/>
    </xf>
    <xf numFmtId="0" fontId="0" fillId="0" borderId="0" xfId="0" applyNumberFormat="1"/>
    <xf numFmtId="0" fontId="7" fillId="0" borderId="11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7" borderId="12" xfId="0" applyNumberFormat="1" applyFont="1" applyFill="1" applyBorder="1"/>
    <xf numFmtId="0" fontId="0" fillId="0" borderId="12" xfId="0" applyNumberFormat="1" applyFont="1" applyBorder="1"/>
    <xf numFmtId="0" fontId="0" fillId="0" borderId="8" xfId="0" applyBorder="1"/>
    <xf numFmtId="0" fontId="0" fillId="0" borderId="13" xfId="0" applyBorder="1"/>
    <xf numFmtId="0" fontId="0" fillId="7" borderId="13" xfId="0" applyNumberFormat="1" applyFont="1" applyFill="1" applyBorder="1"/>
    <xf numFmtId="0" fontId="0" fillId="0" borderId="13" xfId="0" applyNumberFormat="1" applyFont="1" applyBorder="1"/>
    <xf numFmtId="0" fontId="0" fillId="0" borderId="8" xfId="0" applyNumberFormat="1" applyFont="1" applyBorder="1"/>
    <xf numFmtId="0" fontId="0" fillId="0" borderId="6" xfId="0" applyBorder="1"/>
    <xf numFmtId="0" fontId="0" fillId="7" borderId="6" xfId="0" applyNumberFormat="1" applyFont="1" applyFill="1" applyBorder="1"/>
    <xf numFmtId="0" fontId="8" fillId="0" borderId="0" xfId="0" applyFont="1"/>
    <xf numFmtId="0" fontId="0" fillId="4" borderId="0" xfId="0" applyFill="1"/>
    <xf numFmtId="0" fontId="10" fillId="0" borderId="14" xfId="0" applyFont="1" applyBorder="1"/>
    <xf numFmtId="0" fontId="9" fillId="0" borderId="14" xfId="0" applyFont="1" applyBorder="1"/>
    <xf numFmtId="20" fontId="12" fillId="0" borderId="16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20" fontId="12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0" fontId="12" fillId="0" borderId="15" xfId="0" applyNumberFormat="1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20" fontId="12" fillId="0" borderId="17" xfId="0" applyNumberFormat="1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0" borderId="0" xfId="2" applyFont="1"/>
    <xf numFmtId="0" fontId="0" fillId="4" borderId="0" xfId="0" applyFill="1" applyAlignment="1">
      <alignment horizontal="center"/>
    </xf>
    <xf numFmtId="0" fontId="12" fillId="0" borderId="0" xfId="0" applyFont="1"/>
    <xf numFmtId="164" fontId="12" fillId="0" borderId="0" xfId="0" applyNumberFormat="1" applyFont="1"/>
    <xf numFmtId="0" fontId="12" fillId="4" borderId="0" xfId="0" applyFont="1" applyFill="1"/>
    <xf numFmtId="0" fontId="12" fillId="0" borderId="0" xfId="0" applyFont="1" applyFill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3" fillId="0" borderId="18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3" applyFont="1"/>
    <xf numFmtId="43" fontId="13" fillId="0" borderId="16" xfId="3" applyFont="1" applyBorder="1" applyAlignment="1">
      <alignment horizontal="center" vertical="center" wrapText="1"/>
    </xf>
    <xf numFmtId="169" fontId="12" fillId="0" borderId="0" xfId="3" applyNumberFormat="1" applyFont="1" applyAlignment="1">
      <alignment horizontal="center" vertical="center" wrapText="1"/>
    </xf>
    <xf numFmtId="169" fontId="12" fillId="0" borderId="15" xfId="3" applyNumberFormat="1" applyFont="1" applyBorder="1" applyAlignment="1">
      <alignment horizontal="center" vertical="center"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62">
    <dxf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7F7F7F"/>
        </top>
        <bottom style="medium">
          <color rgb="FF7F7F7F"/>
        </bottom>
      </border>
    </dxf>
    <dxf>
      <border outline="0">
        <bottom style="medium">
          <color rgb="FF7F7F7F"/>
        </bottom>
      </border>
    </dxf>
    <dxf>
      <border outline="0">
        <top style="medium">
          <color rgb="FF7F7F7F"/>
        </top>
        <bottom style="medium">
          <color rgb="FF7F7F7F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5" formatCode="hh:mm"/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border outline="0">
        <top style="medium">
          <color rgb="FF7F7F7F"/>
        </top>
        <bottom style="medium">
          <color rgb="FF7F7F7F"/>
        </bottom>
      </border>
    </dxf>
    <dxf>
      <alignment horizontal="center" vertical="center" textRotation="0" indent="0" justifyLastLine="0" shrinkToFit="0" readingOrder="0"/>
    </dxf>
    <dxf>
      <border outline="0">
        <bottom style="medium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301181</xdr:colOff>
      <xdr:row>2</xdr:row>
      <xdr:rowOff>61571</xdr:rowOff>
    </xdr:from>
    <xdr:to>
      <xdr:col>5</xdr:col>
      <xdr:colOff>2396995</xdr:colOff>
      <xdr:row>7</xdr:row>
      <xdr:rowOff>167288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F46268-749A-4D63-B433-99E730388E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932" t="39744" r="37979" b="45641"/>
        <a:stretch/>
      </xdr:blipFill>
      <xdr:spPr>
        <a:xfrm>
          <a:off x="4641268" y="442571"/>
          <a:ext cx="2601053" cy="1058217"/>
        </a:xfrm>
        <a:prstGeom prst="rect">
          <a:avLst/>
        </a:prstGeom>
      </xdr:spPr>
    </xdr:pic>
    <xdr:clientData/>
  </xdr:twoCellAnchor>
  <xdr:twoCellAnchor editAs="oneCell">
    <xdr:from>
      <xdr:col>14</xdr:col>
      <xdr:colOff>147171</xdr:colOff>
      <xdr:row>10</xdr:row>
      <xdr:rowOff>41022</xdr:rowOff>
    </xdr:from>
    <xdr:to>
      <xdr:col>17</xdr:col>
      <xdr:colOff>248028</xdr:colOff>
      <xdr:row>13</xdr:row>
      <xdr:rowOff>76363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580E80-06C8-430F-BBBF-5516EAA9F9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6171" t="47239" r="46504" b="40037"/>
        <a:stretch/>
      </xdr:blipFill>
      <xdr:spPr>
        <a:xfrm>
          <a:off x="15034746" y="1946022"/>
          <a:ext cx="1424832" cy="606841"/>
        </a:xfrm>
        <a:prstGeom prst="rect">
          <a:avLst/>
        </a:prstGeom>
      </xdr:spPr>
    </xdr:pic>
    <xdr:clientData/>
  </xdr:twoCellAnchor>
  <xdr:twoCellAnchor editAs="oneCell">
    <xdr:from>
      <xdr:col>14</xdr:col>
      <xdr:colOff>173561</xdr:colOff>
      <xdr:row>6</xdr:row>
      <xdr:rowOff>97059</xdr:rowOff>
    </xdr:from>
    <xdr:to>
      <xdr:col>17</xdr:col>
      <xdr:colOff>271628</xdr:colOff>
      <xdr:row>9</xdr:row>
      <xdr:rowOff>50347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244D6E-7B66-496F-87B7-89E5FF610F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717" t="47045" r="23668" b="41334"/>
        <a:stretch/>
      </xdr:blipFill>
      <xdr:spPr>
        <a:xfrm>
          <a:off x="15061136" y="1240059"/>
          <a:ext cx="1422042" cy="524788"/>
        </a:xfrm>
        <a:prstGeom prst="rect">
          <a:avLst/>
        </a:prstGeom>
      </xdr:spPr>
    </xdr:pic>
    <xdr:clientData/>
  </xdr:twoCellAnchor>
  <xdr:twoCellAnchor editAs="oneCell">
    <xdr:from>
      <xdr:col>18</xdr:col>
      <xdr:colOff>526677</xdr:colOff>
      <xdr:row>5</xdr:row>
      <xdr:rowOff>78442</xdr:rowOff>
    </xdr:from>
    <xdr:to>
      <xdr:col>19</xdr:col>
      <xdr:colOff>2388534</xdr:colOff>
      <xdr:row>9</xdr:row>
      <xdr:rowOff>100854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7C352A-CAB4-42A5-995F-BDEC2DC10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7691" t="37535" r="3448" b="51740"/>
        <a:stretch/>
      </xdr:blipFill>
      <xdr:spPr>
        <a:xfrm>
          <a:off x="20361089" y="1030942"/>
          <a:ext cx="2442882" cy="7844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hyu%20Nur%20Cahyo\Desktop\skripsi\Skripsi\Data%20Smartph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 Prosessor"/>
      <sheetName val="salah"/>
      <sheetName val="VALIDATE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6198298611" createdVersion="6" refreshedVersion="6" minRefreshableVersion="3" recordCount="28" xr:uid="{273DCDBA-826A-4559-8FA9-B3C659D277FD}">
  <cacheSource type="worksheet">
    <worksheetSource name="Table3_2[build.3]"/>
  </cacheSource>
  <cacheFields count="1">
    <cacheField name="build.3" numFmtId="0">
      <sharedItems count="2">
        <s v=" plastic back"/>
        <s v=" Glass bac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63507407409" createdVersion="6" refreshedVersion="6" minRefreshableVersion="3" recordCount="28" xr:uid="{6CD79ECC-8828-4A96-B97A-0E968312A2A3}">
  <cacheSource type="worksheet">
    <worksheetSource name="Table3_2[Chipset]"/>
  </cacheSource>
  <cacheFields count="1">
    <cacheField name="Chipset" numFmtId="0">
      <sharedItems count="5">
        <s v="Snapdragon 8 Gen 2"/>
        <s v="Apple A17 Pro"/>
        <s v="Apple A16 Bionic"/>
        <s v="Snapdragon 8 Gen 3"/>
        <s v="Exynos 2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63760300924" createdVersion="6" refreshedVersion="6" minRefreshableVersion="3" recordCount="28" xr:uid="{140F3535-E913-4318-9164-CE21F7CC181C}">
  <cacheSource type="worksheet">
    <worksheetSource name="Table3_2[CPU]"/>
  </cacheSource>
  <cacheFields count="1">
    <cacheField name="CPU" numFmtId="0">
      <sharedItems count="3">
        <s v="Octa-core"/>
        <s v="Hexa-core"/>
        <s v="Deca-c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63993171294" createdVersion="6" refreshedVersion="6" minRefreshableVersion="3" recordCount="28" xr:uid="{985D353B-5161-4493-91D1-E04EA6E87CF0}">
  <cacheSource type="worksheet">
    <worksheetSource name="Table3_2[Type2]"/>
  </cacheSource>
  <cacheFields count="1">
    <cacheField name="Type2" numFmtId="0">
      <sharedItems count="3">
        <s v="DUAL"/>
        <s v="TRIPLE"/>
        <s v="QU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ahyu Nur Cahyo" refreshedDate="45374.063039236113" backgroundQuery="1" createdVersion="6" refreshedVersion="6" minRefreshableVersion="3" recordCount="0" supportSubquery="1" supportAdvancedDrill="1" xr:uid="{726B2660-4C55-4CD4-9324-87D161ABB56D}">
  <cacheSource type="external" connectionId="3"/>
  <cacheFields count="1">
    <cacheField name="[Table3_2 OS].[OS].[OS]" caption="OS" numFmtId="0" level="1">
      <sharedItems count="3">
        <s v="Android 13"/>
        <s v="Android 14"/>
        <s v="iOS 17"/>
      </sharedItems>
    </cacheField>
  </cacheFields>
  <cacheHierarchies count="5">
    <cacheHierarchy uniqueName="[Table3_2 OS].[OS]" caption="OS" attribute="1" defaultMemberUniqueName="[Table3_2 OS].[OS].[All]" allUniqueName="[Table3_2 OS].[OS].[All]" dimensionUniqueName="[Table3_2 OS]" displayFolder="" count="2" memberValueDatatype="130" unbalanced="0">
      <fieldsUsage count="2">
        <fieldUsage x="-1"/>
        <fieldUsage x="0"/>
      </fieldsUsage>
    </cacheHierarchy>
    <cacheHierarchy uniqueName="[Table3_2 Type].[Type]" caption="Type" attribute="1" defaultMemberUniqueName="[Table3_2 Type].[Type].[All]" allUniqueName="[Table3_2 Type].[Type].[All]" dimensionUniqueName="[Table3_2 Type]" displayFolder="" count="0" memberValueDatatype="130" unbalanced="0"/>
    <cacheHierarchy uniqueName="[Measures].[__XL_Count Table3_2 Type]" caption="__XL_Count Table3_2 Type" measure="1" displayFolder="" measureGroup="Table3_2 Type" count="0" hidden="1"/>
    <cacheHierarchy uniqueName="[Measures].[__XL_Count Table3_2 OS]" caption="__XL_Count Table3_2 OS" measure="1" displayFolder="" measureGroup="Table3_2 O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3_2 OS" uniqueName="[Table3_2 OS]" caption="Table3_2 OS"/>
    <dimension name="Table3_2 Type" uniqueName="[Table3_2 Type]" caption="Table3_2 Type"/>
  </dimensions>
  <measureGroups count="2">
    <measureGroup name="Table3_2 OS" caption="Table3_2 OS"/>
    <measureGroup name="Table3_2 Type" caption="Table3_2 Type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ahyu Nur Cahyo" refreshedDate="45374.062467361109" backgroundQuery="1" createdVersion="6" refreshedVersion="6" minRefreshableVersion="3" recordCount="0" supportSubquery="1" supportAdvancedDrill="1" xr:uid="{CFCAF207-798B-4510-8C30-BDCB603BF923}">
  <cacheSource type="external" connectionId="3"/>
  <cacheFields count="1">
    <cacheField name="[Table3_2 Type].[Type].[Type]" caption="Type" numFmtId="0" hierarchy="1" level="1">
      <sharedItems count="5">
        <s v="AMOLED"/>
        <s v="Dynamic AMOLED"/>
        <s v="Dynamic LTPO AMOLED "/>
        <s v="SUPER AMOLED"/>
        <s v="Super Retina XDR OLED"/>
      </sharedItems>
    </cacheField>
  </cacheFields>
  <cacheHierarchies count="5">
    <cacheHierarchy uniqueName="[Table3_2 OS].[OS]" caption="OS" attribute="1" defaultMemberUniqueName="[Table3_2 OS].[OS].[All]" allUniqueName="[Table3_2 OS].[OS].[All]" dimensionUniqueName="[Table3_2 OS]" displayFolder="" count="0" memberValueDatatype="130" unbalanced="0"/>
    <cacheHierarchy uniqueName="[Table3_2 Type].[Type]" caption="Type" attribute="1" defaultMemberUniqueName="[Table3_2 Type].[Type].[All]" allUniqueName="[Table3_2 Type].[Type].[All]" dimensionUniqueName="[Table3_2 Type]" displayFolder="" count="2" memberValueDatatype="130" unbalanced="0">
      <fieldsUsage count="2">
        <fieldUsage x="-1"/>
        <fieldUsage x="0"/>
      </fieldsUsage>
    </cacheHierarchy>
    <cacheHierarchy uniqueName="[Measures].[__XL_Count Table3_2 Type]" caption="__XL_Count Table3_2 Type" measure="1" displayFolder="" measureGroup="Table3_2 Type" count="0" hidden="1"/>
    <cacheHierarchy uniqueName="[Measures].[__XL_Count Table3_2 OS]" caption="__XL_Count Table3_2 OS" measure="1" displayFolder="" measureGroup="Table3_2 O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3_2 OS" uniqueName="[Table3_2 OS]" caption="Table3_2 OS"/>
    <dimension name="Table3_2 Type" uniqueName="[Table3_2 Type]" caption="Table3_2 Type"/>
  </dimensions>
  <measureGroups count="2">
    <measureGroup name="Table3_2 OS" caption="Table3_2 OS"/>
    <measureGroup name="Table3_2 Type" caption="Table3_2 Type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71991087963" createdVersion="6" refreshedVersion="6" minRefreshableVersion="3" recordCount="28" xr:uid="{F3378B6D-E859-45DF-AB54-F727E21BC472}">
  <cacheSource type="worksheet">
    <worksheetSource name="Table3_2[USB]"/>
  </cacheSource>
  <cacheFields count="1">
    <cacheField name="USB" numFmtId="0">
      <sharedItems count="5">
        <s v="USB Type-C 2.0"/>
        <s v="USB Type-C 3.1"/>
        <s v="USB Type-C 3.2 Gen 2"/>
        <s v="USB Type-C 3.2 Gen 1"/>
        <s v="USB Type-C 3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hyu Nur Cahyo" refreshedDate="45374.074940972219" createdVersion="6" refreshedVersion="6" minRefreshableVersion="3" recordCount="28" xr:uid="{3A120027-EE43-4BC9-B8FE-BCE8E001B4DB}">
  <cacheSource type="worksheet">
    <worksheetSource name="Table3_2[build.2]"/>
  </cacheSource>
  <cacheFields count="1">
    <cacheField name="build.2" numFmtId="0">
      <sharedItems count="3">
        <s v=" alumunium frame"/>
        <s v=" titanium frame"/>
        <s v=" aluminum fra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2"/>
  </r>
  <r>
    <x v="2"/>
  </r>
  <r>
    <x v="1"/>
  </r>
  <r>
    <x v="2"/>
  </r>
  <r>
    <x v="1"/>
  </r>
  <r>
    <x v="1"/>
  </r>
  <r>
    <x v="2"/>
  </r>
  <r>
    <x v="1"/>
  </r>
  <r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3"/>
  </r>
  <r>
    <x v="3"/>
  </r>
  <r>
    <x v="4"/>
  </r>
  <r>
    <x v="4"/>
  </r>
  <r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37D00-D370-4A6C-BB62-A90B5500944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pset">
  <location ref="D19:D25" firstHeaderRow="1" firstDataRow="1" firstDataCol="1"/>
  <pivotFields count="1">
    <pivotField axis="axisRow" showAll="0">
      <items count="6">
        <item x="2"/>
        <item x="1"/>
        <item x="4"/>
        <item x="0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2C48D-E08A-4023-A608-386B5EE4E460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ain Type">
  <location ref="H19:H23" firstHeaderRow="1" firstDataRow="1" firstDataCol="1"/>
  <pivotFields count="1">
    <pivotField axis="axisRow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D94C7-2432-488D-A184-891F6ADA82EE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S">
  <location ref="J5:J9" firstHeaderRow="1" firstDataRow="1" firstDataCol="1"/>
  <pivotFields count="1"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.xlsx!Table3_2[OS]">
        <x15:activeTabTopLevelEntity name="[Table3_2 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0E4F8-7A19-4713-9AC7-DE72DDA4E8C7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uild Frame">
  <location ref="D5:D8" firstHeaderRow="1" firstDataRow="1" firstDataCol="1"/>
  <pivotFields count="1">
    <pivotField axis="axisRow" showAll="0">
      <items count="4">
        <item m="1" x="2"/>
        <item x="0"/>
        <item x="1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EC573-E3B8-4C6F-8E17-5F621D9ED8F4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PU">
  <location ref="F19:F23" firstHeaderRow="1" firstDataRow="1" firstDataCol="1"/>
  <pivotFields count="1">
    <pivotField axis="axisRow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FBF0C-2D1D-4457-9BB0-5C63602273BF}" name="PivotTable1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SB Type">
  <location ref="D32:D38" firstHeaderRow="1" firstDataRow="1" firstDataCol="1"/>
  <pivotFields count="1">
    <pivotField axis="axisRow" showAll="0">
      <items count="6">
        <item x="0"/>
        <item x="1"/>
        <item x="4"/>
        <item x="3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64776-FF22-480F-A386-74F63A6BA229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creen Type">
  <location ref="H5:H11" firstHeaderRow="1" firstDataRow="1" firstDataCol="1"/>
  <pivotFields count="1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.xlsx!Table3_2[Type]">
        <x15:activeTabTopLevelEntity name="[Table3_2 Typ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EB2CE-8A5E-44D4-93F7-D7801FB551A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uild Back">
  <location ref="F5:F8" firstHeaderRow="1" firstDataRow="1" firstDataCol="1"/>
  <pivotFields count="1">
    <pivotField axis="axisRow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8C29A2-8A2E-4568-A44C-78ABAA452F16}" autoFormatId="16" applyNumberFormats="0" applyBorderFormats="0" applyFontFormats="0" applyPatternFormats="0" applyAlignmentFormats="0" applyWidthHeightFormats="0">
  <queryTableRefresh nextId="32">
    <queryTableFields count="31">
      <queryTableField id="1" name="Brand" tableColumnId="1"/>
      <queryTableField id="2" name="Merk" tableColumnId="2"/>
      <queryTableField id="3" name="Dimension.1" tableColumnId="3"/>
      <queryTableField id="4" name="Dimension.3" tableColumnId="4"/>
      <queryTableField id="5" name="Dimension.5" tableColumnId="5"/>
      <queryTableField id="6" name="Weight.1" tableColumnId="6"/>
      <queryTableField id="7" name="build.2" tableColumnId="7"/>
      <queryTableField id="8" name="build.3" tableColumnId="8"/>
      <queryTableField id="9" name="Type" tableColumnId="9"/>
      <queryTableField id="10" name="Size.1" tableColumnId="10"/>
      <queryTableField id="11" name="Resolution.1" tableColumnId="11"/>
      <queryTableField id="12" name="Resolution.2" tableColumnId="12"/>
      <queryTableField id="13" name="OS" tableColumnId="13"/>
      <queryTableField id="14" name="Chipset" tableColumnId="14"/>
      <queryTableField id="15" name="CPU" tableColumnId="15"/>
      <queryTableField id="16" name="RAM" tableColumnId="16"/>
      <queryTableField id="17" name="ROM" tableColumnId="17"/>
      <queryTableField id="18" name="Camera" tableColumnId="18"/>
      <queryTableField id="19" name="Type2" tableColumnId="19"/>
      <queryTableField id="20" name="Video.1" tableColumnId="20"/>
      <queryTableField id="21" name="Video.2" tableColumnId="21"/>
      <queryTableField id="22" name="Video.3" tableColumnId="22"/>
      <queryTableField id="23" name="Video.4" tableColumnId="23"/>
      <queryTableField id="24" name="Camera3" tableColumnId="24"/>
      <queryTableField id="25" name="Type4" tableColumnId="25"/>
      <queryTableField id="26" name="Video2.1" tableColumnId="26"/>
      <queryTableField id="27" name="Video2.2" tableColumnId="27"/>
      <queryTableField id="28" name="USB" tableColumnId="28"/>
      <queryTableField id="29" name="Capacity" tableColumnId="29"/>
      <queryTableField id="30" name="Type6" tableColumnId="30"/>
      <queryTableField id="31" name="Price" tableColumnId="3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43DCF4-43D7-4723-A8ED-2AB029E4DF31}" name="Table3" displayName="Table3" ref="B19:AB47" totalsRowShown="0" headerRowDxfId="161" dataDxfId="159" headerRowBorderDxfId="160" tableBorderDxfId="158" totalsRowBorderDxfId="157">
  <autoFilter ref="B19:AB47" xr:uid="{432B4ABB-9276-4950-A6C9-9543288073C7}"/>
  <tableColumns count="27">
    <tableColumn id="1" xr3:uid="{CD6D49EC-35F7-4F52-82BE-628647EE31D4}" name="Brand" dataDxfId="156"/>
    <tableColumn id="2" xr3:uid="{202BE39B-0490-444B-B1F0-8DE33922156B}" name="Merk" dataDxfId="155"/>
    <tableColumn id="3" xr3:uid="{E3EFE68F-0723-4EF1-ABF2-3C99AD7B861A}" name="Dimension" dataDxfId="154"/>
    <tableColumn id="4" xr3:uid="{9CF0F0EA-FFF6-47A3-9805-5C240464ECB7}" name="Weight" dataDxfId="153"/>
    <tableColumn id="5" xr3:uid="{FC68040B-3CD9-4204-A50A-FF596C23CE43}" name="build" dataDxfId="152"/>
    <tableColumn id="6" xr3:uid="{F11135C7-9E8B-4BDB-9193-94ECFFB815F9}" name="Dual SIM" dataDxfId="151"/>
    <tableColumn id="7" xr3:uid="{8489B171-391B-450B-8BB5-4F4D27EB1848}" name="5G" dataDxfId="150"/>
    <tableColumn id="8" xr3:uid="{B27D4B2F-9D60-408B-B20C-BC20B819DD70}" name="Type" dataDxfId="149"/>
    <tableColumn id="9" xr3:uid="{EC5EEEFA-1CE0-4E18-9A7E-1C25A1990C6B}" name="Size" dataDxfId="148"/>
    <tableColumn id="10" xr3:uid="{90141041-D52E-40BA-BE3A-B3986163947A}" name="Resolution" dataDxfId="147"/>
    <tableColumn id="11" xr3:uid="{87359EAF-281C-4F61-9926-99665D1A63E5}" name="OS" dataDxfId="146"/>
    <tableColumn id="12" xr3:uid="{D8C1C070-CF5C-4CA2-9145-26F8DAD27B18}" name="Chipset" dataDxfId="145"/>
    <tableColumn id="13" xr3:uid="{2D6204CB-5718-4ECC-A87B-D087CF177FCB}" name="CPU" dataDxfId="144"/>
    <tableColumn id="14" xr3:uid="{6E5DC8CF-2459-471C-8B89-272F98E2DC0D}" name="Card Slot" dataDxfId="143"/>
    <tableColumn id="15" xr3:uid="{63CBFABA-2D16-4296-BE61-E0E51EDC7B3C}" name="RAM" dataDxfId="142"/>
    <tableColumn id="16" xr3:uid="{A21A9336-3992-4646-B290-5AF7015E6EFF}" name="ROM" dataDxfId="141"/>
    <tableColumn id="17" xr3:uid="{785B3860-44A8-4BED-8CBC-8C3EF3994AF9}" name="Camera" dataDxfId="140"/>
    <tableColumn id="18" xr3:uid="{586FF55C-D7FF-45D6-9DBB-21C8D70B4B37}" name="Type2" dataDxfId="139"/>
    <tableColumn id="19" xr3:uid="{D315ACE9-1535-49B1-8B22-500E6239AB51}" name="Video" dataDxfId="138"/>
    <tableColumn id="20" xr3:uid="{8103FBE4-39F7-445D-8CDF-6C7E841EE7F0}" name="Camera3" dataDxfId="137"/>
    <tableColumn id="21" xr3:uid="{EA52EBB1-40FB-4122-BF26-75B8D9D8A069}" name="Type4" dataDxfId="136"/>
    <tableColumn id="22" xr3:uid="{7323E3D6-1A5E-4F3B-B09D-2488C115446B}" name="Video2" dataDxfId="135"/>
    <tableColumn id="23" xr3:uid="{A782E266-68D4-43CF-8852-2272263883EA}" name="USB" dataDxfId="134"/>
    <tableColumn id="24" xr3:uid="{EE14A4F6-5B40-432D-BF5E-411BB7EA90FA}" name="Capacity" dataDxfId="133"/>
    <tableColumn id="25" xr3:uid="{37E34D68-AEE6-4808-B33D-922C3E02B2F4}" name="Type6" dataDxfId="132"/>
    <tableColumn id="26" xr3:uid="{1CC14D51-432E-47CE-AC2B-F81B871D036C}" name="Wireless" dataDxfId="131"/>
    <tableColumn id="27" xr3:uid="{EA0027F3-B2B5-4CC9-B528-2EE7E248FF32}" name="Price" dataDxfId="130" dataCellStyle="Curren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0FA78B-E872-4658-9773-C43E07BEBD9A}" name="Table7" displayName="Table7" ref="C5:F14" totalsRowShown="0" headerRowDxfId="129" dataDxfId="127" headerRowBorderDxfId="128" tableBorderDxfId="126">
  <autoFilter ref="C5:F14" xr:uid="{D0CE1693-3C37-4A41-9171-8A805A47437A}"/>
  <tableColumns count="4">
    <tableColumn id="1" xr3:uid="{84FC2797-FF0E-4C60-96B4-E401AC99B3B3}" name="No" dataDxfId="125"/>
    <tableColumn id="2" xr3:uid="{F38BACFE-A358-40A8-9676-26C3AB98220C}" name="Kriteria" dataDxfId="124"/>
    <tableColumn id="3" xr3:uid="{51D43D22-25AF-4A78-9EBC-43BEC07B468E}" name="Bobot" dataDxfId="123"/>
    <tableColumn id="4" xr3:uid="{3AFEBD26-BD4F-4B41-B893-1F757253C6B9}" name="Normalisasi" dataDxfId="122">
      <calculatedColumnFormula>SUM(E6/$E$15)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61173BA-8F57-49A8-BFB1-52BAA8678DFE}" name="Table710" displayName="Table710" ref="I5:L13" totalsRowShown="0" headerRowDxfId="7" dataDxfId="6" headerRowBorderDxfId="4" tableBorderDxfId="5">
  <autoFilter ref="I5:L13" xr:uid="{34406045-360A-4D16-803D-10A85ED8ED8D}"/>
  <tableColumns count="4">
    <tableColumn id="1" xr3:uid="{7F4B08FF-4448-4A8D-9E03-A0951E9D0085}" name="No" dataDxfId="3" dataCellStyle="Comma"/>
    <tableColumn id="2" xr3:uid="{6358A033-0215-47D8-9411-97C96313F1B2}" name="Kriteria" dataDxfId="2"/>
    <tableColumn id="3" xr3:uid="{E1F21746-C1E7-4F35-B37B-29675E169DA1}" name="Bobot" dataDxfId="1"/>
    <tableColumn id="4" xr3:uid="{2333B1F6-2EC6-4C5B-8F33-2EE0B8087C5F}" name="Normalisasi" dataDxfId="0">
      <calculatedColumnFormula>SUM(K6/$K$14)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E9411-2E5B-4909-A723-2DCA54A1AFE6}" name="Table3_2" displayName="Table3_2" ref="B5:AF33" tableType="queryTable" totalsRowShown="0" headerRowDxfId="121">
  <autoFilter ref="B5:AF33" xr:uid="{AE2678E8-9A8C-4036-BA05-73E5B497A284}"/>
  <tableColumns count="31">
    <tableColumn id="1" xr3:uid="{7BC2F3AC-BE12-4340-B3E5-ABFA3687F5BE}" uniqueName="1" name="Brand" queryTableFieldId="1" dataDxfId="120"/>
    <tableColumn id="2" xr3:uid="{D81010F7-B063-4609-9DB8-FE8E1B38460A}" uniqueName="2" name="Merk" queryTableFieldId="2"/>
    <tableColumn id="3" xr3:uid="{A0538A90-8D15-4CE2-BBA0-01BFB16EF250}" uniqueName="3" name="Dimension.1" queryTableFieldId="3"/>
    <tableColumn id="4" xr3:uid="{9A32168D-F70A-42E2-B8A9-EA260A7FA180}" uniqueName="4" name="Dimension.3" queryTableFieldId="4"/>
    <tableColumn id="5" xr3:uid="{B22AF4FA-A3D2-4F23-92B4-B5985D65DC5D}" uniqueName="5" name="Dimension.5" queryTableFieldId="5"/>
    <tableColumn id="6" xr3:uid="{B17C9FF9-02B3-4352-99DC-B0E28E42811F}" uniqueName="6" name="Weight.1" queryTableFieldId="6" dataDxfId="119"/>
    <tableColumn id="7" xr3:uid="{3BE0FDAE-A1DA-45A7-B21B-97088ACF7243}" uniqueName="7" name="build.2" queryTableFieldId="7" dataDxfId="118"/>
    <tableColumn id="8" xr3:uid="{C4F0A00C-3712-4B98-8AAE-442675A36F7E}" uniqueName="8" name="build.3" queryTableFieldId="8" dataDxfId="117"/>
    <tableColumn id="9" xr3:uid="{4A32AB7F-60BC-49FA-9791-9C5B61CE8000}" uniqueName="9" name="Type" queryTableFieldId="9"/>
    <tableColumn id="10" xr3:uid="{5FB29773-E321-47C2-ACB2-3855FBD04F69}" uniqueName="10" name="Size.1" queryTableFieldId="10"/>
    <tableColumn id="11" xr3:uid="{1B771B9E-5988-4470-B4CE-FADC83ADA4C8}" uniqueName="11" name="Resolution.1" queryTableFieldId="11"/>
    <tableColumn id="12" xr3:uid="{40CF70A0-08BD-4364-BA1B-1AD5AD2B6543}" uniqueName="12" name="Resolution.2" queryTableFieldId="12" dataDxfId="116"/>
    <tableColumn id="13" xr3:uid="{B4D598AB-BD80-49E1-B935-7482BA49D815}" uniqueName="13" name="OS" queryTableFieldId="13" dataDxfId="115"/>
    <tableColumn id="14" xr3:uid="{812E202C-3C4B-4C33-825B-5CA5A42D2B9E}" uniqueName="14" name="Chipset" queryTableFieldId="14" dataDxfId="114"/>
    <tableColumn id="15" xr3:uid="{D8DA605D-4FC8-47C4-A1A4-E0CAC3F14212}" uniqueName="15" name="CPU" queryTableFieldId="15"/>
    <tableColumn id="16" xr3:uid="{C03599F2-C5DA-4BCC-A50A-367CA59939F6}" uniqueName="16" name="RAM" queryTableFieldId="16"/>
    <tableColumn id="17" xr3:uid="{97CC3950-D19F-4388-B58F-F221627A5AF9}" uniqueName="17" name="ROM" queryTableFieldId="17" dataDxfId="113"/>
    <tableColumn id="18" xr3:uid="{CC78B974-3AF2-4311-93F2-8F35B9DA50DA}" uniqueName="18" name="Camera" queryTableFieldId="18" dataDxfId="112"/>
    <tableColumn id="19" xr3:uid="{0F924B9F-FDD2-4081-BF9E-6294EA39A3B8}" uniqueName="19" name="Type2" queryTableFieldId="19" dataDxfId="111"/>
    <tableColumn id="20" xr3:uid="{A6071C53-DC01-4A6C-B44D-786626D65382}" uniqueName="20" name="Video.1" queryTableFieldId="20" dataDxfId="110"/>
    <tableColumn id="21" xr3:uid="{8F5BDFA3-AA39-4A67-AD9E-555E25EBCBAC}" uniqueName="21" name="Video.2" queryTableFieldId="21" dataDxfId="109"/>
    <tableColumn id="22" xr3:uid="{EB699D74-1417-46F8-8FE0-5CDE60349482}" uniqueName="22" name="Video.3" queryTableFieldId="22" dataDxfId="108"/>
    <tableColumn id="23" xr3:uid="{A8CB5DBE-130B-480B-97B2-D1E5124269C2}" uniqueName="23" name="Video.4" queryTableFieldId="23" dataDxfId="107"/>
    <tableColumn id="24" xr3:uid="{B56D0E94-83F1-421F-B679-AA6D8EA66BEF}" uniqueName="24" name="Camera3" queryTableFieldId="24" dataDxfId="106"/>
    <tableColumn id="25" xr3:uid="{CC14FFCB-8106-49F1-9ADD-2565626B5082}" uniqueName="25" name="Type4" queryTableFieldId="25" dataDxfId="105"/>
    <tableColumn id="26" xr3:uid="{24550311-39D1-41B3-832F-BC9AB8DDCA73}" uniqueName="26" name="Video2.1" queryTableFieldId="26" dataDxfId="104"/>
    <tableColumn id="27" xr3:uid="{A78D7702-46E4-4DFC-88F4-1B02CC570ECB}" uniqueName="27" name="Video2.2" queryTableFieldId="27" dataDxfId="103"/>
    <tableColumn id="28" xr3:uid="{A54E068F-D679-4E17-BE37-8D6050C229B6}" uniqueName="28" name="USB" queryTableFieldId="28" dataDxfId="102"/>
    <tableColumn id="29" xr3:uid="{C3263A92-6EF2-40A9-9A36-0C45BD705D2E}" uniqueName="29" name="Capacity" queryTableFieldId="29" dataDxfId="101"/>
    <tableColumn id="30" xr3:uid="{0680B8DC-A1EC-4234-BE5A-18AA4E356B6F}" uniqueName="30" name="Type6" queryTableFieldId="30"/>
    <tableColumn id="31" xr3:uid="{EDB5532F-71A2-4862-BAF7-E80ED2EA7BCF}" uniqueName="31" name="Price" queryTableFieldId="3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C4B63-5A5A-4A8C-880A-0D71DA3C0CE4}" name="Table2" displayName="Table2" ref="B37:V65" totalsRowShown="0" headerRowDxfId="100" dataDxfId="99">
  <autoFilter ref="B37:V65" xr:uid="{64E79E36-124F-4C27-93BF-57235FBA513B}"/>
  <tableColumns count="21">
    <tableColumn id="1" xr3:uid="{B1193B3A-F98F-40C9-AE76-51ADA415328C}" name="Brand" dataDxfId="98">
      <calculatedColumnFormula>IF(B6='normalisasi data'!$E$3,'normalisasi data'!$E$14,IF(perhitungan!B6='normalisasi data'!$F$3,'normalisasi data'!$F$14,IF(perhitungan!B6='normalisasi data'!$G$3,'normalisasi data'!$G$14,"null")))</calculatedColumnFormula>
    </tableColumn>
    <tableColumn id="2" xr3:uid="{5C1EBBFC-0C07-4E1B-A260-3129923096BE}" name="Merek" dataDxfId="97">
      <calculatedColumnFormula>C6</calculatedColumnFormula>
    </tableColumn>
    <tableColumn id="3" xr3:uid="{EC6DA604-3E46-420E-B778-AA812E6B0E39}" name="Dimensi" dataDxfId="96">
      <calculatedColumnFormula>SUM(D6*E6*F6)</calculatedColumnFormula>
    </tableColumn>
    <tableColumn id="4" xr3:uid="{AD7440B1-BC17-4DE7-8DE1-B6791979323F}" name="Berat" dataDxfId="95">
      <calculatedColumnFormula>G6</calculatedColumnFormula>
    </tableColumn>
    <tableColumn id="5" xr3:uid="{CF9A45BE-9C65-4870-9381-7F2A53EEB9E0}" name="Build" dataDxfId="94">
      <calculatedColumnFormula>IF(H6=konversi!$D$6,konversi!$E$6,IF(perhitungan!H6=konversi!$D$7,konversi!$E$7,0))+IF(I6=konversi!$F$6,konversi!$G$6,IF(perhitungan!I6=konversi!$F$7,konversi!$G$7))</calculatedColumnFormula>
    </tableColumn>
    <tableColumn id="7" xr3:uid="{4A6978DC-F0E6-4A66-A0BC-817A62D4A3B7}" name="Type Layar" dataDxfId="93">
      <calculatedColumnFormula>IF(J6=konversi!$H$6,konversi!$I$6,IF(perhitungan!J6=konversi!$H$7,konversi!$I$7,IF(perhitungan!J6=konversi!$H$8,konversi!$I$8,IF(perhitungan!J6=konversi!$H$9,konversi!I8,IF(perhitungan!J6=konversi!$H$10,konversi!$I$10,"null")))))</calculatedColumnFormula>
    </tableColumn>
    <tableColumn id="8" xr3:uid="{D2EB4666-92EA-48DD-9D69-40784758D291}" name="Ukuran Layar" dataDxfId="92">
      <calculatedColumnFormula>K6</calculatedColumnFormula>
    </tableColumn>
    <tableColumn id="9" xr3:uid="{4DF057B4-E7B3-4564-B89B-A5C7D1746468}" name="Resolusi" dataDxfId="91">
      <calculatedColumnFormula>SUM(L6*M6)</calculatedColumnFormula>
    </tableColumn>
    <tableColumn id="10" xr3:uid="{3F64312E-CBA2-4B15-A292-2754A87DF648}" name="OS" dataDxfId="90">
      <calculatedColumnFormula>IF(N6=konversi!$J$6,konversi!$K$6,IF(perhitungan!N6=konversi!$J$7,konversi!$K$7,IF(perhitungan!N6=konversi!$J$8,konversi!$K$8,"null")))</calculatedColumnFormula>
    </tableColumn>
    <tableColumn id="11" xr3:uid="{CE5ECF8A-9C8D-4263-8844-D0ACE47C39FE}" name="Chipset" dataDxfId="89">
      <calculatedColumnFormula>IF(perhitungan!O6=konversi!$D$20,konversi!$E$20,IF(perhitungan!O6=konversi!$D$21,konversi!$E$21,IF(perhitungan!O6=konversi!$D$22,konversi!$E$22,IF(perhitungan!O6=konversi!$D$23,konversi!$E$23,IF(perhitungan!O6=konversi!$D$24,konversi!$E$24,"null")))))</calculatedColumnFormula>
    </tableColumn>
    <tableColumn id="12" xr3:uid="{84760D73-4328-44A2-A11C-F5033D6F190A}" name="CPU" dataDxfId="88">
      <calculatedColumnFormula>IF(P6=konversi!$F$20,konversi!$G$20,IF(perhitungan!P6=konversi!$F$21,konversi!$G$21,IF(perhitungan!P6=konversi!$F$22,konversi!$G$22,"null")))</calculatedColumnFormula>
    </tableColumn>
    <tableColumn id="13" xr3:uid="{162D8D16-0758-4950-B1CD-84D318ABED1A}" name="RAM" dataDxfId="87">
      <calculatedColumnFormula>Q6</calculatedColumnFormula>
    </tableColumn>
    <tableColumn id="14" xr3:uid="{63FFA25A-D557-4C84-8A37-19299CED9659}" name="ROM" dataDxfId="86">
      <calculatedColumnFormula>R6</calculatedColumnFormula>
    </tableColumn>
    <tableColumn id="15" xr3:uid="{397749AE-83C6-4AB2-AA06-AC77A7F94708}" name="MP Main" dataDxfId="85">
      <calculatedColumnFormula>S6</calculatedColumnFormula>
    </tableColumn>
    <tableColumn id="16" xr3:uid="{6A466ED6-412F-436A-A21B-D53290D381A8}" name="Tipe Main" dataDxfId="84">
      <calculatedColumnFormula>IF(T6=konversi!$H$20,konversi!$I$20,IF(perhitungan!T6=konversi!$H$21,konversi!$I$21,IF(perhitungan!T6=konversi!$H$22,konversi!$I$22,"null")))</calculatedColumnFormula>
    </tableColumn>
    <tableColumn id="17" xr3:uid="{0DA2F041-432A-4DAB-83D2-CA057A26E65A}" name="Video Main" dataDxfId="83">
      <calculatedColumnFormula>IF(perhitungan!U6=konversi!$B$32,konversi!$C$32,IF(perhitungan!U6=konversi!$B$33,konversi!$C$33,IF(perhitungan!U6=konversi!$B$34,konversi!$C$34,IF(perhitungan!U6=konversi!$B$35,konversi!$C$35,IF(perhitungan!U6=konversi!$B$36,konversi!$C$36,IF(perhitungan!U6=konversi!$B$37,konversi!$C$37,IF(perhitungan!U6=konversi!$B$38,konversi!$C$38,0))))))) + IF(perhitungan!V6=konversi!$B$32,konversi!$C$32,IF(perhitungan!V6=konversi!$B$33,konversi!$C$33,IF(perhitungan!V6=konversi!$B$34,konversi!$C$34,IF(perhitungan!V6=konversi!$B$35,konversi!$C$35,IF(perhitungan!U6=konversi!$B$36,konversi!$C$36,IF(perhitungan!V6=konversi!$B$37,konversi!$C$37,IF(perhitungan!V6=konversi!$B$38,konversi!$C$38,0)))))))  + IF(perhitungan!W6=konversi!$B$32,konversi!$C$32,IF(perhitungan!W6=konversi!$B$33,konversi!$C$33,IF(perhitungan!W6=konversi!$B$34,konversi!$C$34,IF(perhitungan!W6=konversi!$B$35,konversi!$C$35,IF(perhitungan!W6=konversi!$B$36,konversi!$C$36,IF(perhitungan!W6=konversi!$B$37,konversi!$C$37,IF(perhitungan!W6=konversi!$B$38,konversi!$C$38,0)))))))</calculatedColumnFormula>
    </tableColumn>
    <tableColumn id="18" xr3:uid="{A4DA33AF-1EF9-472D-A57F-59D6DC0BA712}" name="MP Front" dataDxfId="82">
      <calculatedColumnFormula>Y6</calculatedColumnFormula>
    </tableColumn>
    <tableColumn id="20" xr3:uid="{A3831012-701E-40F1-8FBC-584C96096E0C}" name="Video Front" dataDxfId="81">
      <calculatedColumnFormula>IF(AA6=konversi!$H$28,konversi!$I$28,IF(AA6=konversi!$H$29,konversi!$I$29,IF(AA6=konversi!$H$30,konversi!$I$30,IF(AA6=konversi!$H$31,konversi!$I$31,IF(AA6=konversi!$H$32,konversi!$I$32,IF(AA6=konversi!$H$33,konversi!$I$33,IF(AA6=konversi!$H$34,konversi!$I$34,0))))))) + IF(AB6=konversi!$H$28,konversi!$I$28,IF(AB6=konversi!$H$29,konversi!$I$29,IF(AB6=konversi!$H$30,konversi!$I$30,IF(AB6=konversi!$H$31,konversi!$I$31,IF(AB6=konversi!$H$32,konversi!$I$32,IF(AB6=konversi!$H$33,konversi!$I$33,IF(AB6=konversi!$H$34,konversi!$I$34,0)))))))</calculatedColumnFormula>
    </tableColumn>
    <tableColumn id="21" xr3:uid="{32E5E990-3ABF-4966-B40F-F63ACCFBB99A}" name="USB Type" dataDxfId="80">
      <calculatedColumnFormula>IF(AC6=konversi!$D$33,konversi!$E$33,IF(AC6=konversi!$D$34,konversi!$E$34,IF(AC6=konversi!$D$35,konversi!$E$35,IF(AC6=konversi!$D$36,konversi!$E$36,IF(AC6=konversi!$D$37,konversi!$E$37,0)))))</calculatedColumnFormula>
    </tableColumn>
    <tableColumn id="22" xr3:uid="{1E48D67D-06B2-485A-AD0A-FB484ADE6C62}" name="Capacity" dataDxfId="79">
      <calculatedColumnFormula>AD6</calculatedColumnFormula>
    </tableColumn>
    <tableColumn id="24" xr3:uid="{6844A1B9-D904-4D72-94CE-9A607EBC6CA1}" name="Harga" dataDxfId="78">
      <calculatedColumnFormula>AF6</calculatedColumnFormula>
    </tableColumn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73C716-0B73-4E4E-B84B-DBA05C7C22BF}" name="Table5" displayName="Table5" ref="A107:V135" totalsRowShown="0">
  <autoFilter ref="A107:V135" xr:uid="{B7713168-1958-4E1B-9B04-826311F8B811}"/>
  <tableColumns count="22">
    <tableColumn id="1" xr3:uid="{BBD7E74A-EF79-4D26-8688-12FB791727AE}" name="No"/>
    <tableColumn id="2" xr3:uid="{19EE6246-ADF8-44BB-8377-76B0A218E33C}" name="Brand" dataDxfId="77">
      <calculatedColumnFormula>SUM(((B70 - MIN(Table2[Brand]))/(MAX(Table2[Brand]) - MIN(Table2[Brand]))) *100%)</calculatedColumnFormula>
    </tableColumn>
    <tableColumn id="3" xr3:uid="{FB26A1BE-D228-466F-887F-71A725852FDE}" name="Merek" dataDxfId="76">
      <calculatedColumnFormula>C38</calculatedColumnFormula>
    </tableColumn>
    <tableColumn id="4" xr3:uid="{DA20BE13-BC08-4CC7-BF50-104E7C385BF2}" name="Dimensi" dataDxfId="75">
      <calculatedColumnFormula>SUM(((D70-MIN(Table4[Dimensi]))/(MAX(Table4[Dimensi])-MIN(Table4[Dimensi])))*100%)</calculatedColumnFormula>
    </tableColumn>
    <tableColumn id="5" xr3:uid="{B207C9C4-F54B-43FE-83A4-94948271D532}" name="Berat" dataDxfId="74">
      <calculatedColumnFormula>SUM((E70-MIN(Table4[Berat]))/(MAX(Table4[Berat])-MIN(Table4[Berat]))*100%)</calculatedColumnFormula>
    </tableColumn>
    <tableColumn id="6" xr3:uid="{483EC7A9-DE11-43CA-AA8B-1B2C62CAE18E}" name="Build" dataDxfId="73">
      <calculatedColumnFormula>SUM((F70-MIN(Table4[Build]))/(MAX(Table4[Build])-MIN(Table4[Build]))*100%)</calculatedColumnFormula>
    </tableColumn>
    <tableColumn id="7" xr3:uid="{950130C3-E782-4882-9723-18303D45490A}" name="Type Layar" dataDxfId="72">
      <calculatedColumnFormula>SUM((G70-MIN(Table4[Type Layar]))/(MAX(Table4[Type Layar])-MIN(Table4[Type Layar]))*100%)</calculatedColumnFormula>
    </tableColumn>
    <tableColumn id="8" xr3:uid="{E2936121-F44C-4186-B5E8-0449FA00B386}" name="Ukuran Layar" dataDxfId="71">
      <calculatedColumnFormula>SUM((H70-MIN(Table4[Ukuran Layar]))/(MAX(Table4[Ukuran Layar])-MIN(Table4[Ukuran Layar]))*100%)</calculatedColumnFormula>
    </tableColumn>
    <tableColumn id="9" xr3:uid="{269AF731-F260-44A0-A781-5617B28E58BB}" name="Resolusi" dataDxfId="70">
      <calculatedColumnFormula>SUM((I70-MIN(Table4[Resolusi]))/(MAX(Table4[Resolusi])-MIN(Table4[Resolusi]))*100%)</calculatedColumnFormula>
    </tableColumn>
    <tableColumn id="10" xr3:uid="{21FDF078-7A9B-4958-A200-885CCD67988D}" name="OS" dataDxfId="69">
      <calculatedColumnFormula>SUM((J70-MIN(Table4[OS]))/(MAX(Table4[OS])-MIN(Table4[OS]))*100%)</calculatedColumnFormula>
    </tableColumn>
    <tableColumn id="11" xr3:uid="{05CC7353-2E07-492E-B34F-C2ACE78447BB}" name="Chipset" dataDxfId="68">
      <calculatedColumnFormula>SUM((K70-MIN(Table4[Chipset]))/(MAX(Table4[Chipset])-MIN(Table4[Chipset]))*100%)</calculatedColumnFormula>
    </tableColumn>
    <tableColumn id="12" xr3:uid="{36A175ED-F30A-4DAF-B3ED-7C6D32B3874F}" name="CPU" dataDxfId="67">
      <calculatedColumnFormula>SUM((L70-MIN(Table4[CPU]))/(MAX(Table4[CPU])-MIN(Table4[CPU]))*100%)</calculatedColumnFormula>
    </tableColumn>
    <tableColumn id="13" xr3:uid="{3094D51B-8022-4E7F-89C1-D80B72F1D173}" name="RAM" dataDxfId="66">
      <calculatedColumnFormula>SUM((M70-MIN(Table4[RAM]))/(MAX(Table4[RAM])-MIN(Table4[RAM]))*100%)</calculatedColumnFormula>
    </tableColumn>
    <tableColumn id="14" xr3:uid="{31E589E1-8796-4016-97FB-5C9A014D453F}" name="ROM" dataDxfId="65">
      <calculatedColumnFormula>SUM((N70-MIN(Table4[ROM]))/(MAX(Table4[ROM])-MIN(Table4[ROM]))*100%)</calculatedColumnFormula>
    </tableColumn>
    <tableColumn id="15" xr3:uid="{704ACD05-9693-48E0-896A-594CF1F0AC94}" name="MP Main" dataDxfId="64">
      <calculatedColumnFormula>SUM((O70-MIN(Table4[MP Main]))/(MAX(Table4[MP Main])-MIN(Table4[MP Main]))*100%)</calculatedColumnFormula>
    </tableColumn>
    <tableColumn id="16" xr3:uid="{68B7DF8C-F82C-4977-B009-7C5CF83D005C}" name="Tipe Main" dataDxfId="63">
      <calculatedColumnFormula>SUM((P70-MIN(Table4[Tipe Main]))/(MAX(Table4[Tipe Main])-MIN(Table4[Tipe Main]))*100%)</calculatedColumnFormula>
    </tableColumn>
    <tableColumn id="17" xr3:uid="{A292189E-C538-41EB-B8D3-BB0416B7413A}" name="Video Main" dataDxfId="62">
      <calculatedColumnFormula>SUM((Q70-MIN(Table4[Video Main]))/(MAX(Table4[Video Main])-MIN(Table4[Video Main]))*100%)</calculatedColumnFormula>
    </tableColumn>
    <tableColumn id="18" xr3:uid="{247FC9F1-A915-4DA6-8E56-E46C1C348027}" name="MP Front" dataDxfId="61">
      <calculatedColumnFormula>SUM((R70-MIN(Table4[MP Front]))/(MAX(Table4[MP Front])-MIN(Table4[MP Front]))*100%)</calculatedColumnFormula>
    </tableColumn>
    <tableColumn id="19" xr3:uid="{F9C73FD5-A041-480F-88E9-579575A4F0F5}" name="Video Front" dataDxfId="60">
      <calculatedColumnFormula>SUM((S70-MIN(Table4[Video Front]))/(MAX(Table4[Video Front])-MIN(Table4[Video Front]))*100%)</calculatedColumnFormula>
    </tableColumn>
    <tableColumn id="20" xr3:uid="{52815383-CBBF-413D-B90E-5B62FCD10864}" name="USB Type" dataDxfId="59">
      <calculatedColumnFormula>SUM((T70-MIN(Table4[USB Type]))/(MAX(Table4[USB Type])-MIN(Table4[USB Type]))*100%)</calculatedColumnFormula>
    </tableColumn>
    <tableColumn id="21" xr3:uid="{AB25EB15-A496-499C-8E3C-E3B2B2C83EAD}" name="Capacity" dataDxfId="58">
      <calculatedColumnFormula>SUM((U70-MIN(Table4[Capacity]))/(MAX(Table4[Capacity])-MIN(Table4[Capacity]))*100%)</calculatedColumnFormula>
    </tableColumn>
    <tableColumn id="22" xr3:uid="{5EE3FC42-8182-4791-825D-920142E48974}" name="Harga" dataDxfId="57">
      <calculatedColumnFormula>SUM((MAX(Table4[Harga])-V70)/(MAX(Table4[Harga])-MIN(Table4[Harga]))*100%)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8CA14A-CA77-4258-84B1-FEE49828DF1F}" name="Table8" displayName="Table8" ref="B171:F199" totalsRowShown="0">
  <autoFilter ref="B171:F199" xr:uid="{6D938535-FA74-4082-8909-7E404CD219FD}"/>
  <tableColumns count="5">
    <tableColumn id="1" xr3:uid="{37A55DA0-2B59-409E-B78B-CD21168CA95B}" name="No"/>
    <tableColumn id="2" xr3:uid="{246E7506-2DD0-42F6-9733-2E13D3F8FBBC}" name="Merek" dataDxfId="56">
      <calculatedColumnFormula>C139</calculatedColumnFormula>
    </tableColumn>
    <tableColumn id="3" xr3:uid="{C72A5643-FD78-48BB-94F2-729F02A0FAE1}" name="Nilai" dataDxfId="55">
      <calculatedColumnFormula>W139</calculatedColumnFormula>
    </tableColumn>
    <tableColumn id="4" xr3:uid="{9CCCB0E5-E1DA-445B-BC71-025511D92F28}" name="Rank" dataDxfId="54">
      <calculatedColumnFormula>_xlfn.RANK.EQ(Table8[[#This Row],[Nilai]],Table8[Nilai])</calculatedColumnFormula>
    </tableColumn>
    <tableColumn id="5" xr3:uid="{686E8CE0-3C8C-473D-8C77-EF74CC8F17F9}" name="Persentase" dataCellStyle="Percent">
      <calculatedColumnFormula>SUM(D172/MAX($D$172:$D$199))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BB11C9-E9A4-4BAC-AEC0-61E5C577625C}" name="Table6" displayName="Table6" ref="A138:W166" totalsRowShown="0" headerRowDxfId="53" headerRowBorderDxfId="52" tableBorderDxfId="51">
  <autoFilter ref="A138:W166" xr:uid="{FF301026-5852-4EA8-8CB4-C4B37CF66C25}"/>
  <tableColumns count="23">
    <tableColumn id="1" xr3:uid="{B9EC439C-1217-4D09-83C9-99EA53FE0D19}" name="No"/>
    <tableColumn id="2" xr3:uid="{E25DDB2B-3148-4425-8ABF-08187023D540}" name="Brand" dataDxfId="50">
      <calculatedColumnFormula>SUM(B108*Bobot!$F$6)</calculatedColumnFormula>
    </tableColumn>
    <tableColumn id="3" xr3:uid="{F673BF9E-9E6E-4621-BEDE-BCDC44E1ECEF}" name="Merek">
      <calculatedColumnFormula>C108</calculatedColumnFormula>
    </tableColumn>
    <tableColumn id="4" xr3:uid="{06507492-B50F-4E0A-870A-10D25BA107B5}" name="Dimensi" dataDxfId="49">
      <calculatedColumnFormula>SUM(D108*Bobot!$F$7)</calculatedColumnFormula>
    </tableColumn>
    <tableColumn id="5" xr3:uid="{270DC85A-3812-4EA4-94C6-3D051E55DD95}" name="Berat" dataDxfId="48">
      <calculatedColumnFormula>SUM(E108*Bobot!$F$7)</calculatedColumnFormula>
    </tableColumn>
    <tableColumn id="6" xr3:uid="{F99B09EE-82A1-49E2-BDE5-D3F719E85BCB}" name="Build" dataDxfId="47">
      <calculatedColumnFormula>SUM(F108*Bobot!$F$7)</calculatedColumnFormula>
    </tableColumn>
    <tableColumn id="7" xr3:uid="{D26DE414-8779-40FA-8057-4C06E4873ADB}" name="Type Layar" dataDxfId="46">
      <calculatedColumnFormula>SUM(G108*Bobot!$F$8)</calculatedColumnFormula>
    </tableColumn>
    <tableColumn id="8" xr3:uid="{B7441901-F8B6-426A-8003-681A78F4AD21}" name="Ukuran Layar" dataDxfId="45">
      <calculatedColumnFormula>SUM(H108*Bobot!$F$8)</calculatedColumnFormula>
    </tableColumn>
    <tableColumn id="9" xr3:uid="{3245CD4C-44A6-40AD-8F86-E11130C7D687}" name="Resolusi" dataDxfId="44">
      <calculatedColumnFormula>SUM(I108*Bobot!$F$8)</calculatedColumnFormula>
    </tableColumn>
    <tableColumn id="10" xr3:uid="{918894BC-716D-4D9D-82E9-08990A81D257}" name="OS" dataDxfId="43">
      <calculatedColumnFormula>SUM(J108*Bobot!$F$9)</calculatedColumnFormula>
    </tableColumn>
    <tableColumn id="11" xr3:uid="{6A2F0B58-BB0B-4199-B697-936EE8EA1D6E}" name="Chipset" dataDxfId="42">
      <calculatedColumnFormula>SUM(K108*Bobot!$F$9)</calculatedColumnFormula>
    </tableColumn>
    <tableColumn id="12" xr3:uid="{043D1089-2C04-4C9F-BEBE-728D11230279}" name="CPU" dataDxfId="41">
      <calculatedColumnFormula>SUM(L108*Bobot!$F$9)</calculatedColumnFormula>
    </tableColumn>
    <tableColumn id="13" xr3:uid="{9FD76949-338E-440C-A380-D6F0F0CCBA2E}" name="RAM" dataDxfId="40">
      <calculatedColumnFormula>SUM(M108*Bobot!$F$10)</calculatedColumnFormula>
    </tableColumn>
    <tableColumn id="14" xr3:uid="{6BABFA04-5255-47A6-B15D-5D6C4EBD448A}" name="ROM" dataDxfId="39">
      <calculatedColumnFormula>SUM(N108*Bobot!$F$10)</calculatedColumnFormula>
    </tableColumn>
    <tableColumn id="15" xr3:uid="{96D1D0ED-11E8-48E2-B720-59C376CEF59A}" name="MP Main" dataDxfId="38">
      <calculatedColumnFormula>SUM(O108*Bobot!$F$11)</calculatedColumnFormula>
    </tableColumn>
    <tableColumn id="16" xr3:uid="{D617EABD-A264-4FB7-B6E2-15A1D29CBBB1}" name="Tipe Main" dataDxfId="37">
      <calculatedColumnFormula>SUM(P108*Bobot!$F$11)</calculatedColumnFormula>
    </tableColumn>
    <tableColumn id="17" xr3:uid="{265E020F-CD35-469A-AAB4-01C7CF9D8239}" name="Video Main" dataDxfId="36">
      <calculatedColumnFormula>SUM(Q108*Bobot!$F$11)</calculatedColumnFormula>
    </tableColumn>
    <tableColumn id="18" xr3:uid="{98E4B750-769C-4611-9438-0B03C53A498E}" name="MP Front" dataDxfId="35">
      <calculatedColumnFormula>SUM(R108*Bobot!$F$12)</calculatedColumnFormula>
    </tableColumn>
    <tableColumn id="19" xr3:uid="{EE968840-E5B5-443C-B331-C40615DBA724}" name="Video Front" dataDxfId="34">
      <calculatedColumnFormula>SUM(S108*Bobot!$F$12)</calculatedColumnFormula>
    </tableColumn>
    <tableColumn id="20" xr3:uid="{EC6835A7-099F-43ED-AC92-0499B2D26FEC}" name="USB Type" dataDxfId="33">
      <calculatedColumnFormula>SUM(T108*Bobot!$F$13)</calculatedColumnFormula>
    </tableColumn>
    <tableColumn id="21" xr3:uid="{09B13E8E-F601-4183-BCEA-B3D2BA19AE7D}" name="Capacity" dataDxfId="32">
      <calculatedColumnFormula>SUM(U108*Bobot!$F$13)</calculatedColumnFormula>
    </tableColumn>
    <tableColumn id="22" xr3:uid="{3F5A54AD-9707-47A0-9921-9B58404E673C}" name="Harga" dataDxfId="31">
      <calculatedColumnFormula>SUM(V108*Bobot!$F$14)</calculatedColumnFormula>
    </tableColumn>
    <tableColumn id="23" xr3:uid="{9EBEF54B-310F-4F68-BD9A-ADD36E6AF22A}" name="Total" dataDxfId="30">
      <calculatedColumnFormula>SUM(B139+((D139+E139+F139)/3)+((G139+H139+I139)/3)+((J139+K139+L139)/3)+((M139+N139)/2)+((O139+P139+Q139)/3)+((R139+S139)/2)+((T139+U139)/2)+V139)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0C14BC-EA5B-4CF5-A556-792A38372F84}" name="Table4" displayName="Table4" ref="A69:V97" totalsRowShown="0" headerRowDxfId="29">
  <autoFilter ref="A69:V97" xr:uid="{AD840710-85CE-413E-A713-BB92CCC6C34B}"/>
  <tableColumns count="22">
    <tableColumn id="1" xr3:uid="{7744EE14-46D9-45E1-886B-617E9C405E33}" name="No"/>
    <tableColumn id="2" xr3:uid="{1DC42DA3-D002-4196-974F-6792E9A86F8D}" name="Brand" dataDxfId="28">
      <calculatedColumnFormula>B38</calculatedColumnFormula>
    </tableColumn>
    <tableColumn id="3" xr3:uid="{83ED1DE6-CCBD-4467-8AE5-6794F63274FF}" name="Merek" dataDxfId="27">
      <calculatedColumnFormula>C38</calculatedColumnFormula>
    </tableColumn>
    <tableColumn id="4" xr3:uid="{3DE25371-3535-4E8E-A776-F9AA9F46342A}" name="Dimensi" dataDxfId="26">
      <calculatedColumnFormula>IF(D38&lt;=konversi2!$D$8,konversi2!$E$7,IF(D38&lt;=konversi2!$D$10,konversi2!$E$9,IF(D38&lt;=konversi2!$D$15,konversi2!$E$11,IF(D38&lt;=konversi2!$D$19,konversi2!$E$18,IF(D38&lt;=konversi2!$D$21,konversi2!$E$20,IF(D38&gt;konversi2!$D$23,konversi2!$E$22,"kosong"))))))</calculatedColumnFormula>
    </tableColumn>
    <tableColumn id="5" xr3:uid="{B94175EB-762D-4A2F-9E64-2AA052BD0C9F}" name="Berat" dataDxfId="25">
      <calculatedColumnFormula>IF(E38&lt;=konversi2!$G$7,konversi2!$H$7,IF(E38&lt;=konversi2!$G$8,konversi2!$H$8,IF(E35&lt;=konversi2!$G$9,konversi2!$H$9,IF(E35&lt;=konversi2!$G$10,konversi2!$H$10,IF(E35&lt;=konversi2!$G$11,konversi2!$H$11,IF(E35&lt;=konversi2!$G$12,konversi2!$H$12,IF(E35&lt;konversi2!$G$13,konversi2!$H$13,IF(E35&gt;=konversi2!$G$13,konversi2!$H$14,"kosong"))))))))</calculatedColumnFormula>
    </tableColumn>
    <tableColumn id="6" xr3:uid="{C2E0C874-1B13-4ECE-9E01-67030AC210DB}" name="Build" dataDxfId="24">
      <calculatedColumnFormula>F38</calculatedColumnFormula>
    </tableColumn>
    <tableColumn id="7" xr3:uid="{E9CE02A1-449E-4BAC-AAE8-049F99C6B31A}" name="Type Layar" dataDxfId="23">
      <calculatedColumnFormula>G38</calculatedColumnFormula>
    </tableColumn>
    <tableColumn id="8" xr3:uid="{8D71C8DA-5C0C-44AA-8D3C-231449CAFEA7}" name="Ukuran Layar" dataDxfId="22">
      <calculatedColumnFormula>IF(H38&lt;=konversi2!$L$7,konversi2!$M$7,IF(H38&lt;=konversi2!$L$8,konversi2!$M$8,IF(H38&lt;=konversi2!$L$9,konversi2!$M$9,IF(H38&lt;=konversi2!$L$10,konversi2!$M$10,IF(H38&lt;=konversi2!$L$11,konversi2!$M$11,IF(H38&lt;=konversi2!$L$12,konversi2!$M$12,IF(H38&lt;konversi2!$L$13,konversi2!$M$13,IF(H38&gt;=konversi2!$M$14,0))))))))</calculatedColumnFormula>
    </tableColumn>
    <tableColumn id="9" xr3:uid="{330229BC-2F59-4400-A3A2-C03F9D480422}" name="Resolusi" dataDxfId="21">
      <calculatedColumnFormula>IF(I38&lt;konversi2!$O$7,konversi2!$P$7,IF(I38&lt;konversi2!$O$8,konversi2!$P$8,IF(I38&lt;konversi2!$O$9,konversi2!$P$9,IF(I38&gt;konversi2!$O$10,konversi2!$P$10,"null"))))</calculatedColumnFormula>
    </tableColumn>
    <tableColumn id="10" xr3:uid="{397791B4-1908-4A4A-8CAC-A7D9A175C191}" name="OS" dataDxfId="20">
      <calculatedColumnFormula>J38</calculatedColumnFormula>
    </tableColumn>
    <tableColumn id="11" xr3:uid="{3B5B6DC5-928C-4F92-BD8E-DAD238B9005D}" name="Chipset" dataDxfId="19">
      <calculatedColumnFormula>K38</calculatedColumnFormula>
    </tableColumn>
    <tableColumn id="12" xr3:uid="{3FD6BD45-6BD8-4AA7-A53D-F1262860048D}" name="CPU" dataDxfId="18">
      <calculatedColumnFormula>L38</calculatedColumnFormula>
    </tableColumn>
    <tableColumn id="13" xr3:uid="{5CBC6A50-F86E-48A7-BC51-1AD2DEFB04D2}" name="RAM" dataDxfId="17">
      <calculatedColumnFormula>IF(M38=konversi2!$Q$7,konversi2!$R$7,IF(M38=konversi2!$Q$8,konversi2!$R$8,IF(M38=konversi2!$Q$9,konversi2!$R$9,"null")))</calculatedColumnFormula>
    </tableColumn>
    <tableColumn id="14" xr3:uid="{4D98DCDB-9CAA-401E-8CA2-EC21F1664A9F}" name="ROM" dataDxfId="16">
      <calculatedColumnFormula>IF(N38=konversi2!$S$7,konversi2!$T$7,IF(N38=konversi2!$S$8,konversi2!$T$8,IF(N38=konversi2!$S$9,konversi2!$T$9,IF(N38=konversi2!$S$10,konversi2!$T$10,"null"))))</calculatedColumnFormula>
    </tableColumn>
    <tableColumn id="15" xr3:uid="{A8E6F42A-945E-4956-8C6D-F3FE71FB18B7}" name="MP Main" dataDxfId="15">
      <calculatedColumnFormula>O38</calculatedColumnFormula>
    </tableColumn>
    <tableColumn id="16" xr3:uid="{C71E598B-1FC8-4DE2-81F9-54865BF15135}" name="Tipe Main" dataDxfId="14">
      <calculatedColumnFormula>P38</calculatedColumnFormula>
    </tableColumn>
    <tableColumn id="17" xr3:uid="{87BD71BA-154F-4EC4-BFEE-5E94D7EF9F97}" name="Video Main" dataDxfId="13">
      <calculatedColumnFormula>perhitungan!Q38</calculatedColumnFormula>
    </tableColumn>
    <tableColumn id="18" xr3:uid="{238B4A59-8844-4452-885E-C5D3ED816038}" name="MP Front" dataDxfId="12">
      <calculatedColumnFormula>R38</calculatedColumnFormula>
    </tableColumn>
    <tableColumn id="19" xr3:uid="{B5E3DE4B-2CB2-4ED0-ADD0-9A3A7C3EEF05}" name="Video Front" dataDxfId="11">
      <calculatedColumnFormula>S38</calculatedColumnFormula>
    </tableColumn>
    <tableColumn id="20" xr3:uid="{256A1EED-C144-4219-AA49-6DC893086E44}" name="USB Type" dataDxfId="10">
      <calculatedColumnFormula>T38</calculatedColumnFormula>
    </tableColumn>
    <tableColumn id="21" xr3:uid="{C5B8BFAC-9A3D-4ED4-804A-2DCF9F4352A7}" name="Capacity" dataDxfId="9">
      <calculatedColumnFormula>IF(U38&lt;konversi2!$V$7,konversi2!$W$7,IF(U38&lt;konversi2!$V$8,konversi2!$W$8,IF(U38&lt;konversi2!$V$9,konversi2!$W$9,IF(U38&lt;konversi2!$V$10,konversi2!$W$10,IF(U38&lt;konversi2!$V$11,konversi2!$W$11,IF(U38&gt;=konversi2!$V$12,konversi2!$W$12,"null"))))))</calculatedColumnFormula>
    </tableColumn>
    <tableColumn id="22" xr3:uid="{E9077B4D-1A15-4FAD-A530-8C5A5B35B034}" name="Harga" dataDxfId="8">
      <calculatedColumnFormula>IF(V38&lt;konversi2!$Y$7,konversi2!$Z$7,IF(V38&lt;konversi2!$Y$8,konversi2!$Z$8,IF(V38&lt;konversi2!$Y$9,konversi2!$Z$9,IF(V38&lt;konversi2!$Y$10,konversi2!$Z$10,IF(V38&lt;konversi2!$Y$11,konversi2!$Z$11,IF(V38&lt;konversi2!$Y$12,konversi2!$Z$12,IF(V38&lt;konversi2!$Y$13,konversi2!$Z$13,IF(V38&gt;=konversi2!$Y$13,konversi2!$Z$14,"null"))))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3EE6-4338-4A24-8C89-BA8F257F1C9C}">
  <dimension ref="A2:Y47"/>
  <sheetViews>
    <sheetView topLeftCell="D14" zoomScaleNormal="100" workbookViewId="0">
      <selection activeCell="K30" sqref="K30"/>
    </sheetView>
  </sheetViews>
  <sheetFormatPr defaultRowHeight="15" x14ac:dyDescent="0.25"/>
  <cols>
    <col min="1" max="1" width="3.85546875" bestFit="1" customWidth="1"/>
    <col min="2" max="2" width="13.42578125" bestFit="1" customWidth="1"/>
    <col min="3" max="3" width="27.85546875" bestFit="1" customWidth="1"/>
    <col min="4" max="4" width="20" bestFit="1" customWidth="1"/>
    <col min="5" max="5" width="7.5703125" bestFit="1" customWidth="1"/>
    <col min="6" max="6" width="38.28515625" bestFit="1" customWidth="1"/>
    <col min="7" max="7" width="22.28515625" bestFit="1" customWidth="1"/>
    <col min="8" max="8" width="10.42578125" bestFit="1" customWidth="1"/>
    <col min="9" max="9" width="13.42578125" bestFit="1" customWidth="1"/>
    <col min="10" max="10" width="10.5703125" bestFit="1" customWidth="1"/>
    <col min="11" max="11" width="18.5703125" bestFit="1" customWidth="1"/>
    <col min="12" max="12" width="10" bestFit="1" customWidth="1"/>
    <col min="13" max="13" width="8.85546875" bestFit="1" customWidth="1"/>
    <col min="14" max="14" width="5.28515625" bestFit="1" customWidth="1"/>
    <col min="15" max="15" width="5.42578125" bestFit="1" customWidth="1"/>
    <col min="16" max="16" width="7.7109375" bestFit="1" customWidth="1"/>
    <col min="17" max="17" width="6.7109375" bestFit="1" customWidth="1"/>
    <col min="18" max="18" width="54" bestFit="1" customWidth="1"/>
    <col min="19" max="19" width="8.7109375" bestFit="1" customWidth="1"/>
    <col min="20" max="21" width="39.7109375" bestFit="1" customWidth="1"/>
    <col min="22" max="22" width="19.7109375" bestFit="1" customWidth="1"/>
    <col min="23" max="23" width="9.5703125" bestFit="1" customWidth="1"/>
    <col min="24" max="24" width="6.28515625" bestFit="1" customWidth="1"/>
    <col min="25" max="26" width="16.5703125" bestFit="1" customWidth="1"/>
  </cols>
  <sheetData>
    <row r="2" spans="1:20" x14ac:dyDescent="0.25">
      <c r="A2" s="12" t="s">
        <v>62</v>
      </c>
      <c r="B2" s="12" t="s">
        <v>155</v>
      </c>
      <c r="C2" s="12" t="s">
        <v>156</v>
      </c>
      <c r="D2" s="12" t="s">
        <v>157</v>
      </c>
      <c r="G2" s="17"/>
      <c r="H2" s="18"/>
    </row>
    <row r="3" spans="1:20" x14ac:dyDescent="0.25">
      <c r="A3" s="13">
        <v>1</v>
      </c>
      <c r="B3" s="13" t="s">
        <v>10</v>
      </c>
      <c r="C3" s="13">
        <v>80</v>
      </c>
      <c r="D3" s="13">
        <f>C3/SUM(C$3:C$11)</f>
        <v>0.11627906976744186</v>
      </c>
      <c r="G3" s="74"/>
      <c r="H3" s="74"/>
      <c r="I3" s="74"/>
      <c r="K3" s="74" t="s">
        <v>162</v>
      </c>
      <c r="L3" s="74"/>
      <c r="N3" s="74" t="s">
        <v>163</v>
      </c>
      <c r="O3" s="74"/>
      <c r="P3" s="74"/>
    </row>
    <row r="4" spans="1:20" x14ac:dyDescent="0.25">
      <c r="A4" s="13">
        <v>2</v>
      </c>
      <c r="B4" s="13" t="s">
        <v>1</v>
      </c>
      <c r="C4" s="13">
        <v>90</v>
      </c>
      <c r="D4" s="13">
        <f t="shared" ref="D4:D11" si="0">C4/SUM(C$3:C$11)</f>
        <v>0.1308139534883721</v>
      </c>
      <c r="G4" s="74"/>
      <c r="H4" s="74"/>
      <c r="I4" s="74"/>
      <c r="R4" t="s">
        <v>202</v>
      </c>
    </row>
    <row r="5" spans="1:20" x14ac:dyDescent="0.25">
      <c r="A5" s="13">
        <v>3</v>
      </c>
      <c r="B5" s="13" t="s">
        <v>2</v>
      </c>
      <c r="C5" s="13">
        <v>50</v>
      </c>
      <c r="D5" s="13">
        <f t="shared" si="0"/>
        <v>7.2674418604651167E-2</v>
      </c>
      <c r="G5" s="17"/>
      <c r="H5" s="18"/>
      <c r="M5" s="74" t="s">
        <v>166</v>
      </c>
      <c r="N5" s="74"/>
      <c r="O5" s="74"/>
      <c r="P5" s="74"/>
      <c r="Q5" s="74"/>
      <c r="R5" s="19" t="s">
        <v>203</v>
      </c>
      <c r="S5" s="75" t="s">
        <v>168</v>
      </c>
      <c r="T5" s="75"/>
    </row>
    <row r="6" spans="1:20" x14ac:dyDescent="0.25">
      <c r="A6" s="13">
        <v>4</v>
      </c>
      <c r="B6" s="13" t="s">
        <v>3</v>
      </c>
      <c r="C6" s="13">
        <v>75</v>
      </c>
      <c r="D6" s="13">
        <f t="shared" si="0"/>
        <v>0.10901162790697674</v>
      </c>
      <c r="G6" s="17"/>
      <c r="H6" s="18"/>
      <c r="M6" s="74" t="s">
        <v>167</v>
      </c>
      <c r="N6" s="74"/>
      <c r="O6" s="74"/>
      <c r="P6" s="74"/>
      <c r="Q6" s="74"/>
      <c r="R6">
        <f>SUM((100-10)/(100-10)*100%)</f>
        <v>1</v>
      </c>
    </row>
    <row r="7" spans="1:20" x14ac:dyDescent="0.25">
      <c r="A7" s="13">
        <v>5</v>
      </c>
      <c r="B7" s="13" t="s">
        <v>4</v>
      </c>
      <c r="C7" s="13">
        <v>90</v>
      </c>
      <c r="D7" s="13">
        <f t="shared" si="0"/>
        <v>0.1308139534883721</v>
      </c>
      <c r="G7" s="17"/>
      <c r="H7" s="18"/>
      <c r="R7" s="19" t="s">
        <v>204</v>
      </c>
      <c r="S7" t="s">
        <v>169</v>
      </c>
    </row>
    <row r="8" spans="1:20" x14ac:dyDescent="0.25">
      <c r="A8" s="13">
        <v>6</v>
      </c>
      <c r="B8" s="14" t="s">
        <v>5</v>
      </c>
      <c r="C8" s="13">
        <v>54</v>
      </c>
      <c r="D8" s="13">
        <f t="shared" si="0"/>
        <v>7.8488372093023256E-2</v>
      </c>
      <c r="G8" s="17"/>
      <c r="H8" s="18"/>
      <c r="M8" s="75" t="s">
        <v>165</v>
      </c>
      <c r="N8" s="75"/>
      <c r="R8">
        <f>SUM((10-10)/(100-10)*100%)</f>
        <v>0</v>
      </c>
    </row>
    <row r="9" spans="1:20" x14ac:dyDescent="0.25">
      <c r="A9" s="13">
        <v>7</v>
      </c>
      <c r="B9" s="14" t="s">
        <v>6</v>
      </c>
      <c r="C9" s="13">
        <v>64</v>
      </c>
      <c r="D9" s="13">
        <f t="shared" si="0"/>
        <v>9.3023255813953487E-2</v>
      </c>
      <c r="G9" s="17"/>
      <c r="H9" s="18"/>
    </row>
    <row r="10" spans="1:20" x14ac:dyDescent="0.25">
      <c r="A10" s="13">
        <v>8</v>
      </c>
      <c r="B10" s="14" t="s">
        <v>158</v>
      </c>
      <c r="C10" s="13">
        <v>90</v>
      </c>
      <c r="D10" s="13">
        <f t="shared" si="0"/>
        <v>0.1308139534883721</v>
      </c>
      <c r="G10" s="17"/>
      <c r="H10" s="18"/>
    </row>
    <row r="11" spans="1:20" x14ac:dyDescent="0.25">
      <c r="A11" s="13">
        <v>9</v>
      </c>
      <c r="B11" s="14" t="s">
        <v>159</v>
      </c>
      <c r="C11" s="13">
        <v>95</v>
      </c>
      <c r="D11" s="13">
        <f t="shared" si="0"/>
        <v>0.1380813953488372</v>
      </c>
      <c r="G11" s="17"/>
      <c r="H11" s="18"/>
    </row>
    <row r="12" spans="1:20" x14ac:dyDescent="0.25">
      <c r="A12" s="76" t="s">
        <v>161</v>
      </c>
      <c r="B12" s="77"/>
      <c r="C12" s="16">
        <f>SUM(C3:C11)</f>
        <v>688</v>
      </c>
      <c r="D12" s="15">
        <f>SUM(D3:D11)</f>
        <v>1</v>
      </c>
      <c r="M12" s="75" t="s">
        <v>164</v>
      </c>
      <c r="N12" s="75"/>
    </row>
    <row r="17" spans="1:25" x14ac:dyDescent="0.25">
      <c r="A17" s="1"/>
      <c r="B17" s="1"/>
      <c r="C17" s="1" t="s">
        <v>0</v>
      </c>
      <c r="D17" s="78" t="s">
        <v>1</v>
      </c>
      <c r="E17" s="78"/>
      <c r="F17" s="78"/>
      <c r="G17" s="78" t="s">
        <v>2</v>
      </c>
      <c r="H17" s="78"/>
      <c r="I17" s="78"/>
      <c r="J17" s="78" t="s">
        <v>3</v>
      </c>
      <c r="K17" s="78"/>
      <c r="L17" s="78"/>
      <c r="M17" s="78" t="s">
        <v>4</v>
      </c>
      <c r="N17" s="78"/>
      <c r="O17" s="78"/>
      <c r="P17" s="78" t="s">
        <v>5</v>
      </c>
      <c r="Q17" s="78"/>
      <c r="R17" s="78"/>
      <c r="S17" s="78" t="s">
        <v>6</v>
      </c>
      <c r="T17" s="78"/>
      <c r="U17" s="78"/>
      <c r="V17" s="79" t="s">
        <v>7</v>
      </c>
      <c r="W17" s="80"/>
      <c r="X17" s="81"/>
      <c r="Y17" s="2" t="s">
        <v>8</v>
      </c>
    </row>
    <row r="18" spans="1:25" x14ac:dyDescent="0.25">
      <c r="A18" s="3" t="s">
        <v>9</v>
      </c>
      <c r="B18" s="4" t="s">
        <v>10</v>
      </c>
      <c r="C18" s="4" t="s">
        <v>0</v>
      </c>
      <c r="D18" s="4" t="s">
        <v>11</v>
      </c>
      <c r="E18" s="4" t="s">
        <v>12</v>
      </c>
      <c r="F18" s="4" t="s">
        <v>13</v>
      </c>
      <c r="G18" s="4" t="s">
        <v>16</v>
      </c>
      <c r="H18" s="4" t="s">
        <v>17</v>
      </c>
      <c r="I18" s="4" t="s">
        <v>18</v>
      </c>
      <c r="J18" s="4" t="s">
        <v>19</v>
      </c>
      <c r="K18" s="4" t="s">
        <v>20</v>
      </c>
      <c r="L18" s="4" t="s">
        <v>21</v>
      </c>
      <c r="M18" s="4" t="s">
        <v>23</v>
      </c>
      <c r="N18" s="4" t="s">
        <v>24</v>
      </c>
      <c r="O18" s="4" t="s">
        <v>25</v>
      </c>
      <c r="P18" s="4" t="s">
        <v>26</v>
      </c>
      <c r="Q18" s="4" t="s">
        <v>27</v>
      </c>
      <c r="R18" s="4" t="s">
        <v>28</v>
      </c>
      <c r="S18" s="4" t="s">
        <v>29</v>
      </c>
      <c r="T18" s="4" t="s">
        <v>160</v>
      </c>
      <c r="U18" s="4" t="s">
        <v>30</v>
      </c>
      <c r="V18" s="4" t="s">
        <v>31</v>
      </c>
      <c r="W18" s="4" t="s">
        <v>32</v>
      </c>
      <c r="X18" s="4" t="s">
        <v>33</v>
      </c>
      <c r="Y18" s="2" t="s">
        <v>8</v>
      </c>
    </row>
    <row r="19" spans="1:25" ht="17.25" x14ac:dyDescent="0.25">
      <c r="A19" s="6">
        <v>1</v>
      </c>
      <c r="B19" s="6" t="s">
        <v>34</v>
      </c>
      <c r="C19" s="6" t="s">
        <v>35</v>
      </c>
      <c r="D19" s="6" t="s">
        <v>36</v>
      </c>
      <c r="E19" s="6" t="s">
        <v>37</v>
      </c>
      <c r="F19" s="6" t="s">
        <v>38</v>
      </c>
      <c r="G19" s="6" t="s">
        <v>40</v>
      </c>
      <c r="H19" s="6" t="s">
        <v>41</v>
      </c>
      <c r="I19" s="6" t="s">
        <v>42</v>
      </c>
      <c r="J19" s="6" t="s">
        <v>43</v>
      </c>
      <c r="K19" s="6" t="s">
        <v>44</v>
      </c>
      <c r="L19" s="6" t="s">
        <v>45</v>
      </c>
      <c r="M19" s="6">
        <v>8</v>
      </c>
      <c r="N19" s="6">
        <v>128</v>
      </c>
      <c r="O19" s="6" t="s">
        <v>46</v>
      </c>
      <c r="P19" s="6" t="s">
        <v>47</v>
      </c>
      <c r="Q19" s="6" t="s">
        <v>48</v>
      </c>
      <c r="R19" s="6" t="s">
        <v>49</v>
      </c>
      <c r="S19" s="6" t="s">
        <v>50</v>
      </c>
      <c r="T19" s="6" t="s">
        <v>51</v>
      </c>
      <c r="U19" s="6" t="s">
        <v>52</v>
      </c>
      <c r="V19" s="6" t="s">
        <v>53</v>
      </c>
      <c r="W19" s="6" t="s">
        <v>54</v>
      </c>
      <c r="X19" s="6" t="s">
        <v>39</v>
      </c>
      <c r="Y19" s="7">
        <v>8999000</v>
      </c>
    </row>
    <row r="20" spans="1:25" ht="17.25" x14ac:dyDescent="0.25">
      <c r="A20" s="6">
        <v>2</v>
      </c>
      <c r="B20" s="6" t="s">
        <v>34</v>
      </c>
      <c r="C20" s="6" t="s">
        <v>35</v>
      </c>
      <c r="D20" s="6" t="s">
        <v>36</v>
      </c>
      <c r="E20" s="6" t="s">
        <v>37</v>
      </c>
      <c r="F20" s="6" t="s">
        <v>38</v>
      </c>
      <c r="G20" s="6" t="s">
        <v>40</v>
      </c>
      <c r="H20" s="6" t="s">
        <v>41</v>
      </c>
      <c r="I20" s="6" t="s">
        <v>42</v>
      </c>
      <c r="J20" s="6" t="s">
        <v>43</v>
      </c>
      <c r="K20" s="6" t="s">
        <v>44</v>
      </c>
      <c r="L20" s="6" t="s">
        <v>45</v>
      </c>
      <c r="M20" s="6">
        <v>16</v>
      </c>
      <c r="N20" s="6">
        <v>512</v>
      </c>
      <c r="O20" s="6" t="s">
        <v>46</v>
      </c>
      <c r="P20" s="6" t="s">
        <v>47</v>
      </c>
      <c r="Q20" s="6" t="s">
        <v>48</v>
      </c>
      <c r="R20" s="6" t="s">
        <v>49</v>
      </c>
      <c r="S20" s="6" t="s">
        <v>50</v>
      </c>
      <c r="T20" s="6" t="s">
        <v>51</v>
      </c>
      <c r="U20" s="6" t="s">
        <v>52</v>
      </c>
      <c r="V20" s="6" t="s">
        <v>53</v>
      </c>
      <c r="W20" s="6" t="s">
        <v>54</v>
      </c>
      <c r="X20" s="6" t="s">
        <v>39</v>
      </c>
      <c r="Y20" s="7">
        <v>11999000</v>
      </c>
    </row>
    <row r="21" spans="1:25" ht="17.25" x14ac:dyDescent="0.25">
      <c r="A21" s="6">
        <v>3</v>
      </c>
      <c r="B21" s="6" t="s">
        <v>34</v>
      </c>
      <c r="C21" s="6" t="s">
        <v>55</v>
      </c>
      <c r="D21" s="6" t="s">
        <v>56</v>
      </c>
      <c r="E21" s="6" t="s">
        <v>57</v>
      </c>
      <c r="F21" s="6" t="s">
        <v>58</v>
      </c>
      <c r="G21" s="6" t="s">
        <v>59</v>
      </c>
      <c r="H21" s="6" t="s">
        <v>60</v>
      </c>
      <c r="I21" s="6" t="s">
        <v>61</v>
      </c>
      <c r="J21" s="6" t="s">
        <v>43</v>
      </c>
      <c r="K21" s="6" t="s">
        <v>44</v>
      </c>
      <c r="L21" s="6" t="s">
        <v>45</v>
      </c>
      <c r="M21" s="6">
        <v>16</v>
      </c>
      <c r="N21" s="6">
        <v>512</v>
      </c>
      <c r="O21" s="6" t="s">
        <v>46</v>
      </c>
      <c r="P21" s="6" t="s">
        <v>63</v>
      </c>
      <c r="Q21" s="6" t="s">
        <v>64</v>
      </c>
      <c r="R21" s="6" t="s">
        <v>49</v>
      </c>
      <c r="S21" s="6" t="s">
        <v>50</v>
      </c>
      <c r="T21" s="6" t="s">
        <v>65</v>
      </c>
      <c r="U21" s="6" t="s">
        <v>66</v>
      </c>
      <c r="V21" s="6" t="s">
        <v>67</v>
      </c>
      <c r="W21" s="6" t="s">
        <v>54</v>
      </c>
      <c r="X21" s="6" t="s">
        <v>62</v>
      </c>
      <c r="Y21" s="7">
        <v>23499000</v>
      </c>
    </row>
    <row r="22" spans="1:25" ht="17.25" x14ac:dyDescent="0.25">
      <c r="A22" s="6">
        <v>4</v>
      </c>
      <c r="B22" s="6" t="s">
        <v>34</v>
      </c>
      <c r="C22" s="6" t="s">
        <v>68</v>
      </c>
      <c r="D22" s="6" t="s">
        <v>56</v>
      </c>
      <c r="E22" s="6" t="s">
        <v>57</v>
      </c>
      <c r="F22" s="6" t="s">
        <v>58</v>
      </c>
      <c r="G22" s="6" t="s">
        <v>59</v>
      </c>
      <c r="H22" s="6" t="s">
        <v>60</v>
      </c>
      <c r="I22" s="6" t="s">
        <v>61</v>
      </c>
      <c r="J22" s="6" t="s">
        <v>43</v>
      </c>
      <c r="K22" s="6" t="s">
        <v>44</v>
      </c>
      <c r="L22" s="6" t="s">
        <v>45</v>
      </c>
      <c r="M22" s="6">
        <v>12</v>
      </c>
      <c r="N22" s="6">
        <v>256</v>
      </c>
      <c r="O22" s="6" t="s">
        <v>46</v>
      </c>
      <c r="P22" s="6" t="s">
        <v>63</v>
      </c>
      <c r="Q22" s="6" t="s">
        <v>64</v>
      </c>
      <c r="R22" s="6" t="s">
        <v>49</v>
      </c>
      <c r="S22" s="6" t="s">
        <v>50</v>
      </c>
      <c r="T22" s="6" t="s">
        <v>65</v>
      </c>
      <c r="U22" s="6" t="s">
        <v>66</v>
      </c>
      <c r="V22" s="6" t="s">
        <v>67</v>
      </c>
      <c r="W22" s="6" t="s">
        <v>54</v>
      </c>
      <c r="X22" s="6" t="s">
        <v>62</v>
      </c>
      <c r="Y22" s="7">
        <v>13499000</v>
      </c>
    </row>
    <row r="23" spans="1:25" ht="17.25" x14ac:dyDescent="0.25">
      <c r="A23" s="6">
        <v>5</v>
      </c>
      <c r="B23" s="6" t="s">
        <v>34</v>
      </c>
      <c r="C23" s="6" t="s">
        <v>68</v>
      </c>
      <c r="D23" s="6" t="s">
        <v>56</v>
      </c>
      <c r="E23" s="6" t="s">
        <v>57</v>
      </c>
      <c r="F23" s="6" t="s">
        <v>58</v>
      </c>
      <c r="G23" s="6" t="s">
        <v>59</v>
      </c>
      <c r="H23" s="6" t="s">
        <v>60</v>
      </c>
      <c r="I23" s="6" t="s">
        <v>61</v>
      </c>
      <c r="J23" s="6" t="s">
        <v>43</v>
      </c>
      <c r="K23" s="6" t="s">
        <v>44</v>
      </c>
      <c r="L23" s="6" t="s">
        <v>45</v>
      </c>
      <c r="M23" s="6">
        <v>16</v>
      </c>
      <c r="N23" s="6">
        <v>512</v>
      </c>
      <c r="O23" s="6" t="s">
        <v>46</v>
      </c>
      <c r="P23" s="6" t="s">
        <v>63</v>
      </c>
      <c r="Q23" s="6" t="s">
        <v>64</v>
      </c>
      <c r="R23" s="6" t="s">
        <v>49</v>
      </c>
      <c r="S23" s="6" t="s">
        <v>50</v>
      </c>
      <c r="T23" s="6" t="s">
        <v>65</v>
      </c>
      <c r="U23" s="6" t="s">
        <v>66</v>
      </c>
      <c r="V23" s="6" t="s">
        <v>67</v>
      </c>
      <c r="W23" s="6" t="s">
        <v>54</v>
      </c>
      <c r="X23" s="6" t="s">
        <v>62</v>
      </c>
      <c r="Y23" s="7">
        <v>28070000</v>
      </c>
    </row>
    <row r="24" spans="1:25" ht="17.25" x14ac:dyDescent="0.25">
      <c r="A24" s="6">
        <v>6</v>
      </c>
      <c r="B24" s="8" t="s">
        <v>69</v>
      </c>
      <c r="C24" s="8" t="s">
        <v>70</v>
      </c>
      <c r="D24" s="8" t="s">
        <v>71</v>
      </c>
      <c r="E24" s="9" t="s">
        <v>72</v>
      </c>
      <c r="F24" s="8" t="s">
        <v>73</v>
      </c>
      <c r="G24" s="8" t="s">
        <v>74</v>
      </c>
      <c r="H24" s="8" t="s">
        <v>75</v>
      </c>
      <c r="I24" s="8" t="s">
        <v>76</v>
      </c>
      <c r="J24" s="8" t="s">
        <v>77</v>
      </c>
      <c r="K24" s="8" t="s">
        <v>78</v>
      </c>
      <c r="L24" s="8" t="s">
        <v>79</v>
      </c>
      <c r="M24" s="8">
        <v>8</v>
      </c>
      <c r="N24" s="8">
        <v>256</v>
      </c>
      <c r="O24" s="8" t="s">
        <v>80</v>
      </c>
      <c r="P24" s="8" t="s">
        <v>63</v>
      </c>
      <c r="Q24" s="8" t="s">
        <v>81</v>
      </c>
      <c r="R24" s="8" t="s">
        <v>82</v>
      </c>
      <c r="S24" s="8" t="s">
        <v>50</v>
      </c>
      <c r="T24" s="8" t="s">
        <v>81</v>
      </c>
      <c r="U24" s="8" t="s">
        <v>83</v>
      </c>
      <c r="V24" s="8" t="s">
        <v>84</v>
      </c>
      <c r="W24" s="8" t="s">
        <v>85</v>
      </c>
      <c r="X24" s="8" t="s">
        <v>39</v>
      </c>
      <c r="Y24" s="10">
        <v>22999000</v>
      </c>
    </row>
    <row r="25" spans="1:25" ht="17.25" x14ac:dyDescent="0.25">
      <c r="A25" s="6">
        <v>7</v>
      </c>
      <c r="B25" s="8" t="s">
        <v>69</v>
      </c>
      <c r="C25" s="8" t="s">
        <v>70</v>
      </c>
      <c r="D25" s="8" t="s">
        <v>71</v>
      </c>
      <c r="E25" s="9" t="s">
        <v>72</v>
      </c>
      <c r="F25" s="8" t="s">
        <v>73</v>
      </c>
      <c r="G25" s="8" t="s">
        <v>74</v>
      </c>
      <c r="H25" s="8" t="s">
        <v>75</v>
      </c>
      <c r="I25" s="8" t="s">
        <v>76</v>
      </c>
      <c r="J25" s="8" t="s">
        <v>77</v>
      </c>
      <c r="K25" s="8" t="s">
        <v>78</v>
      </c>
      <c r="L25" s="8" t="s">
        <v>79</v>
      </c>
      <c r="M25" s="8">
        <v>8</v>
      </c>
      <c r="N25" s="8">
        <v>512</v>
      </c>
      <c r="O25" s="8" t="s">
        <v>80</v>
      </c>
      <c r="P25" s="8" t="s">
        <v>63</v>
      </c>
      <c r="Q25" s="8" t="s">
        <v>81</v>
      </c>
      <c r="R25" s="8" t="s">
        <v>82</v>
      </c>
      <c r="S25" s="8" t="s">
        <v>50</v>
      </c>
      <c r="T25" s="8" t="s">
        <v>81</v>
      </c>
      <c r="U25" s="8" t="s">
        <v>83</v>
      </c>
      <c r="V25" s="8" t="s">
        <v>84</v>
      </c>
      <c r="W25" s="8" t="s">
        <v>85</v>
      </c>
      <c r="X25" s="8" t="s">
        <v>39</v>
      </c>
      <c r="Y25" s="10">
        <v>27999000</v>
      </c>
    </row>
    <row r="26" spans="1:25" ht="17.25" x14ac:dyDescent="0.25">
      <c r="A26" s="6">
        <v>8</v>
      </c>
      <c r="B26" s="8" t="s">
        <v>69</v>
      </c>
      <c r="C26" s="8" t="s">
        <v>70</v>
      </c>
      <c r="D26" s="8" t="s">
        <v>71</v>
      </c>
      <c r="E26" s="9" t="s">
        <v>72</v>
      </c>
      <c r="F26" s="8" t="s">
        <v>73</v>
      </c>
      <c r="G26" s="8" t="s">
        <v>74</v>
      </c>
      <c r="H26" s="8" t="s">
        <v>75</v>
      </c>
      <c r="I26" s="8" t="s">
        <v>76</v>
      </c>
      <c r="J26" s="8" t="s">
        <v>77</v>
      </c>
      <c r="K26" s="8" t="s">
        <v>78</v>
      </c>
      <c r="L26" s="8" t="s">
        <v>79</v>
      </c>
      <c r="M26" s="8">
        <v>8</v>
      </c>
      <c r="N26" s="8">
        <v>1000</v>
      </c>
      <c r="O26" s="8" t="s">
        <v>80</v>
      </c>
      <c r="P26" s="8" t="s">
        <v>63</v>
      </c>
      <c r="Q26" s="8" t="s">
        <v>81</v>
      </c>
      <c r="R26" s="8" t="s">
        <v>82</v>
      </c>
      <c r="S26" s="8" t="s">
        <v>50</v>
      </c>
      <c r="T26" s="8" t="s">
        <v>81</v>
      </c>
      <c r="U26" s="8" t="s">
        <v>83</v>
      </c>
      <c r="V26" s="8" t="s">
        <v>84</v>
      </c>
      <c r="W26" s="8" t="s">
        <v>85</v>
      </c>
      <c r="X26" s="8" t="s">
        <v>39</v>
      </c>
      <c r="Y26" s="10">
        <v>31999000</v>
      </c>
    </row>
    <row r="27" spans="1:25" ht="17.25" x14ac:dyDescent="0.25">
      <c r="A27" s="6">
        <v>9</v>
      </c>
      <c r="B27" s="8" t="s">
        <v>69</v>
      </c>
      <c r="C27" s="8" t="s">
        <v>86</v>
      </c>
      <c r="D27" s="8" t="s">
        <v>87</v>
      </c>
      <c r="E27" s="8" t="s">
        <v>88</v>
      </c>
      <c r="F27" s="8" t="s">
        <v>73</v>
      </c>
      <c r="G27" s="8" t="s">
        <v>74</v>
      </c>
      <c r="H27" s="8" t="s">
        <v>89</v>
      </c>
      <c r="I27" s="8" t="s">
        <v>90</v>
      </c>
      <c r="J27" s="8" t="s">
        <v>77</v>
      </c>
      <c r="K27" s="8" t="s">
        <v>78</v>
      </c>
      <c r="L27" s="8" t="s">
        <v>79</v>
      </c>
      <c r="M27" s="8">
        <v>8</v>
      </c>
      <c r="N27" s="8">
        <v>128</v>
      </c>
      <c r="O27" s="8" t="s">
        <v>80</v>
      </c>
      <c r="P27" s="8" t="s">
        <v>63</v>
      </c>
      <c r="Q27" s="8" t="s">
        <v>81</v>
      </c>
      <c r="R27" s="8" t="s">
        <v>82</v>
      </c>
      <c r="S27" s="8" t="s">
        <v>50</v>
      </c>
      <c r="T27" s="8" t="s">
        <v>81</v>
      </c>
      <c r="U27" s="8" t="s">
        <v>83</v>
      </c>
      <c r="V27" s="8" t="s">
        <v>91</v>
      </c>
      <c r="W27" s="8" t="s">
        <v>85</v>
      </c>
      <c r="X27" s="8" t="s">
        <v>39</v>
      </c>
      <c r="Y27" s="10">
        <v>18999000</v>
      </c>
    </row>
    <row r="28" spans="1:25" ht="17.25" x14ac:dyDescent="0.25">
      <c r="A28" s="6">
        <v>10</v>
      </c>
      <c r="B28" s="8" t="s">
        <v>69</v>
      </c>
      <c r="C28" s="8" t="s">
        <v>86</v>
      </c>
      <c r="D28" s="8" t="s">
        <v>87</v>
      </c>
      <c r="E28" s="8" t="s">
        <v>88</v>
      </c>
      <c r="F28" s="8" t="s">
        <v>73</v>
      </c>
      <c r="G28" s="8" t="s">
        <v>74</v>
      </c>
      <c r="H28" s="8" t="s">
        <v>89</v>
      </c>
      <c r="I28" s="8" t="s">
        <v>90</v>
      </c>
      <c r="J28" s="8" t="s">
        <v>77</v>
      </c>
      <c r="K28" s="8" t="s">
        <v>78</v>
      </c>
      <c r="L28" s="8" t="s">
        <v>79</v>
      </c>
      <c r="M28" s="8">
        <v>8</v>
      </c>
      <c r="N28" s="8">
        <v>256</v>
      </c>
      <c r="O28" s="8" t="s">
        <v>80</v>
      </c>
      <c r="P28" s="8" t="s">
        <v>63</v>
      </c>
      <c r="Q28" s="8" t="s">
        <v>81</v>
      </c>
      <c r="R28" s="8" t="s">
        <v>82</v>
      </c>
      <c r="S28" s="8" t="s">
        <v>50</v>
      </c>
      <c r="T28" s="8" t="s">
        <v>81</v>
      </c>
      <c r="U28" s="8" t="s">
        <v>83</v>
      </c>
      <c r="V28" s="8" t="s">
        <v>91</v>
      </c>
      <c r="W28" s="8" t="s">
        <v>85</v>
      </c>
      <c r="X28" s="8" t="s">
        <v>39</v>
      </c>
      <c r="Y28" s="10">
        <v>21999000</v>
      </c>
    </row>
    <row r="29" spans="1:25" ht="17.25" x14ac:dyDescent="0.25">
      <c r="A29" s="6">
        <v>11</v>
      </c>
      <c r="B29" s="6" t="s">
        <v>69</v>
      </c>
      <c r="C29" s="6" t="s">
        <v>86</v>
      </c>
      <c r="D29" s="6" t="s">
        <v>87</v>
      </c>
      <c r="E29" s="6" t="s">
        <v>88</v>
      </c>
      <c r="F29" s="6" t="s">
        <v>73</v>
      </c>
      <c r="G29" s="6" t="s">
        <v>74</v>
      </c>
      <c r="H29" s="6" t="s">
        <v>89</v>
      </c>
      <c r="I29" s="6" t="s">
        <v>90</v>
      </c>
      <c r="J29" s="6" t="s">
        <v>77</v>
      </c>
      <c r="K29" s="6" t="s">
        <v>78</v>
      </c>
      <c r="L29" s="6" t="s">
        <v>79</v>
      </c>
      <c r="M29" s="6">
        <v>8</v>
      </c>
      <c r="N29" s="6">
        <v>512</v>
      </c>
      <c r="O29" s="6" t="s">
        <v>80</v>
      </c>
      <c r="P29" s="6" t="s">
        <v>63</v>
      </c>
      <c r="Q29" s="6" t="s">
        <v>81</v>
      </c>
      <c r="R29" s="6" t="s">
        <v>82</v>
      </c>
      <c r="S29" s="6" t="s">
        <v>50</v>
      </c>
      <c r="T29" s="6" t="s">
        <v>81</v>
      </c>
      <c r="U29" s="6" t="s">
        <v>83</v>
      </c>
      <c r="V29" s="6" t="s">
        <v>91</v>
      </c>
      <c r="W29" s="6" t="s">
        <v>85</v>
      </c>
      <c r="X29" s="6" t="s">
        <v>39</v>
      </c>
      <c r="Y29" s="7">
        <v>25999000</v>
      </c>
    </row>
    <row r="30" spans="1:25" ht="17.25" x14ac:dyDescent="0.25">
      <c r="A30" s="6">
        <v>12</v>
      </c>
      <c r="B30" s="6" t="s">
        <v>69</v>
      </c>
      <c r="C30" s="6" t="s">
        <v>86</v>
      </c>
      <c r="D30" s="6" t="s">
        <v>87</v>
      </c>
      <c r="E30" s="6" t="s">
        <v>88</v>
      </c>
      <c r="F30" s="6" t="s">
        <v>73</v>
      </c>
      <c r="G30" s="6" t="s">
        <v>74</v>
      </c>
      <c r="H30" s="6" t="s">
        <v>89</v>
      </c>
      <c r="I30" s="6" t="s">
        <v>90</v>
      </c>
      <c r="J30" s="6" t="s">
        <v>77</v>
      </c>
      <c r="K30" s="6" t="s">
        <v>78</v>
      </c>
      <c r="L30" s="6" t="s">
        <v>79</v>
      </c>
      <c r="M30" s="6">
        <v>8</v>
      </c>
      <c r="N30" s="6">
        <v>1000</v>
      </c>
      <c r="O30" s="6" t="s">
        <v>80</v>
      </c>
      <c r="P30" s="6" t="s">
        <v>63</v>
      </c>
      <c r="Q30" s="6" t="s">
        <v>81</v>
      </c>
      <c r="R30" s="6" t="s">
        <v>82</v>
      </c>
      <c r="S30" s="6" t="s">
        <v>50</v>
      </c>
      <c r="T30" s="6" t="s">
        <v>81</v>
      </c>
      <c r="U30" s="6" t="s">
        <v>83</v>
      </c>
      <c r="V30" s="6" t="s">
        <v>91</v>
      </c>
      <c r="W30" s="6" t="s">
        <v>85</v>
      </c>
      <c r="X30" s="6" t="s">
        <v>39</v>
      </c>
      <c r="Y30" s="7">
        <v>29999000</v>
      </c>
    </row>
    <row r="31" spans="1:25" ht="17.25" x14ac:dyDescent="0.25">
      <c r="A31" s="6">
        <v>13</v>
      </c>
      <c r="B31" s="6" t="s">
        <v>69</v>
      </c>
      <c r="C31" s="6" t="s">
        <v>92</v>
      </c>
      <c r="D31" s="6" t="s">
        <v>93</v>
      </c>
      <c r="E31" s="6" t="s">
        <v>94</v>
      </c>
      <c r="F31" s="6" t="s">
        <v>58</v>
      </c>
      <c r="G31" s="6" t="s">
        <v>74</v>
      </c>
      <c r="H31" s="6" t="s">
        <v>75</v>
      </c>
      <c r="I31" s="6" t="s">
        <v>76</v>
      </c>
      <c r="J31" s="6" t="s">
        <v>77</v>
      </c>
      <c r="K31" s="6" t="s">
        <v>95</v>
      </c>
      <c r="L31" s="6" t="s">
        <v>79</v>
      </c>
      <c r="M31" s="6">
        <v>8</v>
      </c>
      <c r="N31" s="6">
        <v>128</v>
      </c>
      <c r="O31" s="6" t="s">
        <v>80</v>
      </c>
      <c r="P31" s="6" t="s">
        <v>47</v>
      </c>
      <c r="Q31" s="6" t="s">
        <v>81</v>
      </c>
      <c r="R31" s="6" t="s">
        <v>82</v>
      </c>
      <c r="S31" s="6" t="s">
        <v>50</v>
      </c>
      <c r="T31" s="6" t="s">
        <v>96</v>
      </c>
      <c r="U31" s="6" t="s">
        <v>52</v>
      </c>
      <c r="V31" s="6" t="s">
        <v>97</v>
      </c>
      <c r="W31" s="6" t="s">
        <v>85</v>
      </c>
      <c r="X31" s="6" t="s">
        <v>39</v>
      </c>
      <c r="Y31" s="7">
        <v>15999000</v>
      </c>
    </row>
    <row r="32" spans="1:25" ht="17.25" x14ac:dyDescent="0.25">
      <c r="A32" s="6">
        <v>14</v>
      </c>
      <c r="B32" s="6" t="s">
        <v>69</v>
      </c>
      <c r="C32" s="6" t="s">
        <v>92</v>
      </c>
      <c r="D32" s="6" t="s">
        <v>93</v>
      </c>
      <c r="E32" s="6" t="s">
        <v>94</v>
      </c>
      <c r="F32" s="6" t="s">
        <v>58</v>
      </c>
      <c r="G32" s="6" t="s">
        <v>74</v>
      </c>
      <c r="H32" s="6" t="s">
        <v>75</v>
      </c>
      <c r="I32" s="6" t="s">
        <v>76</v>
      </c>
      <c r="J32" s="6" t="s">
        <v>77</v>
      </c>
      <c r="K32" s="6" t="s">
        <v>95</v>
      </c>
      <c r="L32" s="6" t="s">
        <v>79</v>
      </c>
      <c r="M32" s="6">
        <v>8</v>
      </c>
      <c r="N32" s="6">
        <v>256</v>
      </c>
      <c r="O32" s="6" t="s">
        <v>80</v>
      </c>
      <c r="P32" s="6" t="s">
        <v>47</v>
      </c>
      <c r="Q32" s="6" t="s">
        <v>81</v>
      </c>
      <c r="R32" s="6" t="s">
        <v>82</v>
      </c>
      <c r="S32" s="6" t="s">
        <v>50</v>
      </c>
      <c r="T32" s="6" t="s">
        <v>96</v>
      </c>
      <c r="U32" s="6" t="s">
        <v>52</v>
      </c>
      <c r="V32" s="6" t="s">
        <v>97</v>
      </c>
      <c r="W32" s="6" t="s">
        <v>85</v>
      </c>
      <c r="X32" s="6" t="s">
        <v>39</v>
      </c>
      <c r="Y32" s="7">
        <v>18999000</v>
      </c>
    </row>
    <row r="33" spans="1:25" ht="17.25" x14ac:dyDescent="0.25">
      <c r="A33" s="6">
        <v>15</v>
      </c>
      <c r="B33" s="6" t="s">
        <v>69</v>
      </c>
      <c r="C33" s="6" t="s">
        <v>92</v>
      </c>
      <c r="D33" s="6" t="s">
        <v>93</v>
      </c>
      <c r="E33" s="6" t="s">
        <v>94</v>
      </c>
      <c r="F33" s="6" t="s">
        <v>73</v>
      </c>
      <c r="G33" s="6" t="s">
        <v>74</v>
      </c>
      <c r="H33" s="6" t="s">
        <v>75</v>
      </c>
      <c r="I33" s="6" t="s">
        <v>76</v>
      </c>
      <c r="J33" s="6" t="s">
        <v>77</v>
      </c>
      <c r="K33" s="6" t="s">
        <v>95</v>
      </c>
      <c r="L33" s="6" t="s">
        <v>79</v>
      </c>
      <c r="M33" s="6">
        <v>8</v>
      </c>
      <c r="N33" s="6">
        <v>512</v>
      </c>
      <c r="O33" s="6" t="s">
        <v>80</v>
      </c>
      <c r="P33" s="6" t="s">
        <v>47</v>
      </c>
      <c r="Q33" s="6" t="s">
        <v>81</v>
      </c>
      <c r="R33" s="6" t="s">
        <v>82</v>
      </c>
      <c r="S33" s="6" t="s">
        <v>50</v>
      </c>
      <c r="T33" s="6" t="s">
        <v>96</v>
      </c>
      <c r="U33" s="6" t="s">
        <v>52</v>
      </c>
      <c r="V33" s="6" t="s">
        <v>97</v>
      </c>
      <c r="W33" s="6" t="s">
        <v>85</v>
      </c>
      <c r="X33" s="6" t="s">
        <v>39</v>
      </c>
      <c r="Y33" s="7">
        <v>22999000</v>
      </c>
    </row>
    <row r="34" spans="1:25" ht="17.25" x14ac:dyDescent="0.25">
      <c r="A34" s="6">
        <v>16</v>
      </c>
      <c r="B34" s="6" t="s">
        <v>69</v>
      </c>
      <c r="C34" s="6" t="s">
        <v>98</v>
      </c>
      <c r="D34" s="6" t="s">
        <v>99</v>
      </c>
      <c r="E34" s="6" t="s">
        <v>100</v>
      </c>
      <c r="F34" s="6" t="s">
        <v>58</v>
      </c>
      <c r="G34" s="6" t="s">
        <v>74</v>
      </c>
      <c r="H34" s="6" t="s">
        <v>89</v>
      </c>
      <c r="I34" s="6" t="s">
        <v>90</v>
      </c>
      <c r="J34" s="6" t="s">
        <v>77</v>
      </c>
      <c r="K34" s="6" t="s">
        <v>95</v>
      </c>
      <c r="L34" s="6" t="s">
        <v>79</v>
      </c>
      <c r="M34" s="6">
        <v>8</v>
      </c>
      <c r="N34" s="6">
        <v>128</v>
      </c>
      <c r="O34" s="6" t="s">
        <v>80</v>
      </c>
      <c r="P34" s="6" t="s">
        <v>47</v>
      </c>
      <c r="Q34" s="6" t="s">
        <v>81</v>
      </c>
      <c r="R34" s="6" t="s">
        <v>82</v>
      </c>
      <c r="S34" s="6" t="s">
        <v>50</v>
      </c>
      <c r="T34" s="6" t="s">
        <v>96</v>
      </c>
      <c r="U34" s="6" t="s">
        <v>52</v>
      </c>
      <c r="V34" s="6" t="s">
        <v>101</v>
      </c>
      <c r="W34" s="6" t="s">
        <v>85</v>
      </c>
      <c r="X34" s="6" t="s">
        <v>39</v>
      </c>
      <c r="Y34" s="7">
        <v>15999000</v>
      </c>
    </row>
    <row r="35" spans="1:25" ht="17.25" x14ac:dyDescent="0.25">
      <c r="A35" s="6">
        <v>17</v>
      </c>
      <c r="B35" s="6" t="s">
        <v>69</v>
      </c>
      <c r="C35" s="6" t="s">
        <v>98</v>
      </c>
      <c r="D35" s="6" t="s">
        <v>99</v>
      </c>
      <c r="E35" s="6" t="s">
        <v>100</v>
      </c>
      <c r="F35" s="6" t="s">
        <v>58</v>
      </c>
      <c r="G35" s="6" t="s">
        <v>74</v>
      </c>
      <c r="H35" s="6" t="s">
        <v>89</v>
      </c>
      <c r="I35" s="6" t="s">
        <v>90</v>
      </c>
      <c r="J35" s="6" t="s">
        <v>77</v>
      </c>
      <c r="K35" s="6" t="s">
        <v>95</v>
      </c>
      <c r="L35" s="6" t="s">
        <v>79</v>
      </c>
      <c r="M35" s="6">
        <v>8</v>
      </c>
      <c r="N35" s="6">
        <v>256</v>
      </c>
      <c r="O35" s="6" t="s">
        <v>80</v>
      </c>
      <c r="P35" s="6" t="s">
        <v>47</v>
      </c>
      <c r="Q35" s="6" t="s">
        <v>81</v>
      </c>
      <c r="R35" s="6" t="s">
        <v>82</v>
      </c>
      <c r="S35" s="6" t="s">
        <v>50</v>
      </c>
      <c r="T35" s="6" t="s">
        <v>96</v>
      </c>
      <c r="U35" s="6" t="s">
        <v>52</v>
      </c>
      <c r="V35" s="6" t="s">
        <v>101</v>
      </c>
      <c r="W35" s="6" t="s">
        <v>85</v>
      </c>
      <c r="X35" s="6" t="s">
        <v>39</v>
      </c>
      <c r="Y35" s="7">
        <v>18999000</v>
      </c>
    </row>
    <row r="36" spans="1:25" ht="17.25" x14ac:dyDescent="0.25">
      <c r="A36" s="6">
        <v>18</v>
      </c>
      <c r="B36" s="6" t="s">
        <v>69</v>
      </c>
      <c r="C36" s="6" t="s">
        <v>98</v>
      </c>
      <c r="D36" s="6" t="s">
        <v>99</v>
      </c>
      <c r="E36" s="6" t="s">
        <v>100</v>
      </c>
      <c r="F36" s="6" t="s">
        <v>58</v>
      </c>
      <c r="G36" s="6" t="s">
        <v>74</v>
      </c>
      <c r="H36" s="6" t="s">
        <v>89</v>
      </c>
      <c r="I36" s="6" t="s">
        <v>90</v>
      </c>
      <c r="J36" s="6" t="s">
        <v>77</v>
      </c>
      <c r="K36" s="6" t="s">
        <v>95</v>
      </c>
      <c r="L36" s="6" t="s">
        <v>79</v>
      </c>
      <c r="M36" s="6">
        <v>8</v>
      </c>
      <c r="N36" s="6">
        <v>512</v>
      </c>
      <c r="O36" s="6" t="s">
        <v>80</v>
      </c>
      <c r="P36" s="6" t="s">
        <v>47</v>
      </c>
      <c r="Q36" s="6" t="s">
        <v>81</v>
      </c>
      <c r="R36" s="6" t="s">
        <v>82</v>
      </c>
      <c r="S36" s="6" t="s">
        <v>50</v>
      </c>
      <c r="T36" s="6" t="s">
        <v>96</v>
      </c>
      <c r="U36" s="6" t="s">
        <v>52</v>
      </c>
      <c r="V36" s="6" t="s">
        <v>101</v>
      </c>
      <c r="W36" s="6" t="s">
        <v>85</v>
      </c>
      <c r="X36" s="6" t="s">
        <v>39</v>
      </c>
      <c r="Y36" s="7">
        <v>22999000</v>
      </c>
    </row>
    <row r="37" spans="1:25" ht="17.25" x14ac:dyDescent="0.25">
      <c r="A37" s="6">
        <v>19</v>
      </c>
      <c r="B37" s="6" t="s">
        <v>102</v>
      </c>
      <c r="C37" s="6" t="s">
        <v>103</v>
      </c>
      <c r="D37" s="6" t="s">
        <v>104</v>
      </c>
      <c r="E37" s="6" t="s">
        <v>105</v>
      </c>
      <c r="F37" s="6" t="s">
        <v>73</v>
      </c>
      <c r="G37" s="6" t="s">
        <v>106</v>
      </c>
      <c r="H37" s="6" t="s">
        <v>107</v>
      </c>
      <c r="I37" s="6" t="s">
        <v>108</v>
      </c>
      <c r="J37" s="6" t="s">
        <v>109</v>
      </c>
      <c r="K37" s="6" t="s">
        <v>110</v>
      </c>
      <c r="L37" s="6" t="s">
        <v>45</v>
      </c>
      <c r="M37" s="6">
        <v>8</v>
      </c>
      <c r="N37" s="6">
        <v>512</v>
      </c>
      <c r="O37" s="6" t="s">
        <v>46</v>
      </c>
      <c r="P37" s="6" t="s">
        <v>63</v>
      </c>
      <c r="Q37" s="6" t="s">
        <v>64</v>
      </c>
      <c r="R37" s="6" t="s">
        <v>82</v>
      </c>
      <c r="S37" s="6" t="s">
        <v>50</v>
      </c>
      <c r="T37" s="6" t="s">
        <v>111</v>
      </c>
      <c r="U37" s="6" t="s">
        <v>83</v>
      </c>
      <c r="V37" s="6" t="s">
        <v>112</v>
      </c>
      <c r="W37" s="6" t="s">
        <v>85</v>
      </c>
      <c r="X37" s="6" t="s">
        <v>39</v>
      </c>
      <c r="Y37" s="7">
        <v>15999000</v>
      </c>
    </row>
    <row r="38" spans="1:25" ht="17.25" x14ac:dyDescent="0.25">
      <c r="A38" s="6">
        <v>20</v>
      </c>
      <c r="B38" s="6" t="s">
        <v>102</v>
      </c>
      <c r="C38" s="6" t="s">
        <v>113</v>
      </c>
      <c r="D38" s="6" t="s">
        <v>114</v>
      </c>
      <c r="E38" s="6" t="s">
        <v>115</v>
      </c>
      <c r="F38" s="6" t="s">
        <v>73</v>
      </c>
      <c r="G38" s="6" t="s">
        <v>106</v>
      </c>
      <c r="H38" s="6" t="s">
        <v>116</v>
      </c>
      <c r="I38" s="6" t="s">
        <v>117</v>
      </c>
      <c r="J38" s="6" t="s">
        <v>109</v>
      </c>
      <c r="K38" s="6" t="s">
        <v>110</v>
      </c>
      <c r="L38" s="6" t="s">
        <v>45</v>
      </c>
      <c r="M38" s="6">
        <v>12</v>
      </c>
      <c r="N38" s="6">
        <v>512</v>
      </c>
      <c r="O38" s="6" t="s">
        <v>118</v>
      </c>
      <c r="P38" s="6" t="s">
        <v>119</v>
      </c>
      <c r="Q38" s="6" t="s">
        <v>120</v>
      </c>
      <c r="R38" s="6" t="s">
        <v>82</v>
      </c>
      <c r="S38" s="6" t="s">
        <v>50</v>
      </c>
      <c r="T38" s="6" t="s">
        <v>111</v>
      </c>
      <c r="U38" s="6" t="s">
        <v>83</v>
      </c>
      <c r="V38" s="6" t="s">
        <v>121</v>
      </c>
      <c r="W38" s="6" t="s">
        <v>85</v>
      </c>
      <c r="X38" s="6" t="s">
        <v>39</v>
      </c>
      <c r="Y38" s="7">
        <v>23999000</v>
      </c>
    </row>
    <row r="39" spans="1:25" ht="17.25" x14ac:dyDescent="0.25">
      <c r="A39" s="6">
        <v>21</v>
      </c>
      <c r="B39" s="6" t="s">
        <v>102</v>
      </c>
      <c r="C39" s="6" t="s">
        <v>113</v>
      </c>
      <c r="D39" s="6" t="s">
        <v>114</v>
      </c>
      <c r="E39" s="6" t="s">
        <v>115</v>
      </c>
      <c r="F39" s="6" t="s">
        <v>73</v>
      </c>
      <c r="G39" s="6" t="s">
        <v>106</v>
      </c>
      <c r="H39" s="6" t="s">
        <v>116</v>
      </c>
      <c r="I39" s="6" t="s">
        <v>117</v>
      </c>
      <c r="J39" s="6" t="s">
        <v>109</v>
      </c>
      <c r="K39" s="6" t="s">
        <v>110</v>
      </c>
      <c r="L39" s="6" t="s">
        <v>45</v>
      </c>
      <c r="M39" s="6">
        <v>12</v>
      </c>
      <c r="N39" s="6">
        <v>1000</v>
      </c>
      <c r="O39" s="6" t="s">
        <v>118</v>
      </c>
      <c r="P39" s="6" t="s">
        <v>119</v>
      </c>
      <c r="Q39" s="6" t="s">
        <v>120</v>
      </c>
      <c r="R39" s="6" t="s">
        <v>82</v>
      </c>
      <c r="S39" s="6" t="s">
        <v>50</v>
      </c>
      <c r="T39" s="6" t="s">
        <v>111</v>
      </c>
      <c r="U39" s="6" t="s">
        <v>83</v>
      </c>
      <c r="V39" s="6" t="s">
        <v>121</v>
      </c>
      <c r="W39" s="6" t="s">
        <v>85</v>
      </c>
      <c r="X39" s="6" t="s">
        <v>39</v>
      </c>
      <c r="Y39" s="7">
        <v>27999000</v>
      </c>
    </row>
    <row r="40" spans="1:25" ht="17.25" x14ac:dyDescent="0.25">
      <c r="A40" s="6">
        <v>22</v>
      </c>
      <c r="B40" s="6" t="s">
        <v>102</v>
      </c>
      <c r="C40" s="6" t="s">
        <v>122</v>
      </c>
      <c r="D40" s="6" t="s">
        <v>123</v>
      </c>
      <c r="E40" s="6" t="s">
        <v>124</v>
      </c>
      <c r="F40" s="6" t="s">
        <v>58</v>
      </c>
      <c r="G40" s="6" t="s">
        <v>106</v>
      </c>
      <c r="H40" s="6" t="s">
        <v>75</v>
      </c>
      <c r="I40" s="6" t="s">
        <v>117</v>
      </c>
      <c r="J40" s="6" t="s">
        <v>109</v>
      </c>
      <c r="K40" s="6" t="s">
        <v>110</v>
      </c>
      <c r="L40" s="6" t="s">
        <v>125</v>
      </c>
      <c r="M40" s="6">
        <v>12</v>
      </c>
      <c r="N40" s="6">
        <v>512</v>
      </c>
      <c r="O40" s="6" t="s">
        <v>46</v>
      </c>
      <c r="P40" s="6" t="s">
        <v>63</v>
      </c>
      <c r="Q40" s="6" t="s">
        <v>126</v>
      </c>
      <c r="R40" s="6" t="s">
        <v>82</v>
      </c>
      <c r="S40" s="6" t="s">
        <v>50</v>
      </c>
      <c r="T40" s="6" t="s">
        <v>111</v>
      </c>
      <c r="U40" s="6" t="s">
        <v>83</v>
      </c>
      <c r="V40" s="6" t="s">
        <v>127</v>
      </c>
      <c r="W40" s="6" t="s">
        <v>85</v>
      </c>
      <c r="X40" s="6" t="s">
        <v>39</v>
      </c>
      <c r="Y40" s="7">
        <v>18999000</v>
      </c>
    </row>
    <row r="41" spans="1:25" ht="17.25" x14ac:dyDescent="0.25">
      <c r="A41" s="6">
        <v>23</v>
      </c>
      <c r="B41" s="6" t="s">
        <v>102</v>
      </c>
      <c r="C41" s="6" t="s">
        <v>113</v>
      </c>
      <c r="D41" s="6" t="s">
        <v>114</v>
      </c>
      <c r="E41" s="6" t="s">
        <v>115</v>
      </c>
      <c r="F41" s="6" t="s">
        <v>73</v>
      </c>
      <c r="G41" s="6" t="s">
        <v>106</v>
      </c>
      <c r="H41" s="6" t="s">
        <v>116</v>
      </c>
      <c r="I41" s="6" t="s">
        <v>117</v>
      </c>
      <c r="J41" s="6" t="s">
        <v>109</v>
      </c>
      <c r="K41" s="6" t="s">
        <v>110</v>
      </c>
      <c r="L41" s="6" t="s">
        <v>45</v>
      </c>
      <c r="M41" s="6">
        <v>12</v>
      </c>
      <c r="N41" s="6">
        <v>1000</v>
      </c>
      <c r="O41" s="6" t="s">
        <v>118</v>
      </c>
      <c r="P41" s="6" t="s">
        <v>119</v>
      </c>
      <c r="Q41" s="6" t="s">
        <v>120</v>
      </c>
      <c r="R41" s="6" t="s">
        <v>82</v>
      </c>
      <c r="S41" s="6" t="s">
        <v>50</v>
      </c>
      <c r="T41" s="6" t="s">
        <v>111</v>
      </c>
      <c r="U41" s="6" t="s">
        <v>83</v>
      </c>
      <c r="V41" s="6" t="s">
        <v>121</v>
      </c>
      <c r="W41" s="6" t="s">
        <v>85</v>
      </c>
      <c r="X41" s="6" t="s">
        <v>39</v>
      </c>
      <c r="Y41" s="7">
        <v>21999000</v>
      </c>
    </row>
    <row r="42" spans="1:25" ht="17.25" x14ac:dyDescent="0.25">
      <c r="A42" s="6">
        <v>24</v>
      </c>
      <c r="B42" s="6" t="s">
        <v>102</v>
      </c>
      <c r="C42" s="6" t="s">
        <v>128</v>
      </c>
      <c r="D42" s="6" t="s">
        <v>129</v>
      </c>
      <c r="E42" s="6" t="s">
        <v>130</v>
      </c>
      <c r="F42" s="6" t="s">
        <v>131</v>
      </c>
      <c r="G42" s="6" t="s">
        <v>132</v>
      </c>
      <c r="H42" s="6" t="s">
        <v>133</v>
      </c>
      <c r="I42" s="6" t="s">
        <v>108</v>
      </c>
      <c r="J42" s="6" t="s">
        <v>43</v>
      </c>
      <c r="K42" s="6" t="s">
        <v>134</v>
      </c>
      <c r="L42" s="6" t="s">
        <v>45</v>
      </c>
      <c r="M42" s="6">
        <v>8</v>
      </c>
      <c r="N42" s="6">
        <v>256</v>
      </c>
      <c r="O42" s="6" t="s">
        <v>46</v>
      </c>
      <c r="P42" s="6" t="s">
        <v>63</v>
      </c>
      <c r="Q42" s="6" t="s">
        <v>64</v>
      </c>
      <c r="R42" s="6" t="s">
        <v>135</v>
      </c>
      <c r="S42" s="6" t="s">
        <v>50</v>
      </c>
      <c r="T42" s="6" t="s">
        <v>136</v>
      </c>
      <c r="U42" s="6" t="s">
        <v>137</v>
      </c>
      <c r="V42" s="6" t="s">
        <v>138</v>
      </c>
      <c r="W42" s="6" t="s">
        <v>85</v>
      </c>
      <c r="X42" s="6" t="s">
        <v>39</v>
      </c>
      <c r="Y42" s="7">
        <v>9999000</v>
      </c>
    </row>
    <row r="43" spans="1:25" ht="17.25" x14ac:dyDescent="0.25">
      <c r="A43" s="6">
        <v>25</v>
      </c>
      <c r="B43" s="6" t="s">
        <v>102</v>
      </c>
      <c r="C43" s="6" t="s">
        <v>128</v>
      </c>
      <c r="D43" s="6" t="s">
        <v>129</v>
      </c>
      <c r="E43" s="6" t="s">
        <v>130</v>
      </c>
      <c r="F43" s="6" t="s">
        <v>131</v>
      </c>
      <c r="G43" s="6" t="s">
        <v>132</v>
      </c>
      <c r="H43" s="6" t="s">
        <v>133</v>
      </c>
      <c r="I43" s="6" t="s">
        <v>108</v>
      </c>
      <c r="J43" s="6" t="s">
        <v>43</v>
      </c>
      <c r="K43" s="6" t="s">
        <v>134</v>
      </c>
      <c r="L43" s="6" t="s">
        <v>45</v>
      </c>
      <c r="M43" s="6">
        <v>8</v>
      </c>
      <c r="N43" s="6">
        <v>128</v>
      </c>
      <c r="O43" s="6" t="s">
        <v>46</v>
      </c>
      <c r="P43" s="6" t="s">
        <v>63</v>
      </c>
      <c r="Q43" s="6" t="s">
        <v>64</v>
      </c>
      <c r="R43" s="6" t="s">
        <v>135</v>
      </c>
      <c r="S43" s="6" t="s">
        <v>50</v>
      </c>
      <c r="T43" s="6" t="s">
        <v>136</v>
      </c>
      <c r="U43" s="6" t="s">
        <v>137</v>
      </c>
      <c r="V43" s="6" t="s">
        <v>138</v>
      </c>
      <c r="W43" s="6" t="s">
        <v>85</v>
      </c>
      <c r="X43" s="6" t="s">
        <v>39</v>
      </c>
      <c r="Y43" s="7">
        <v>8999000</v>
      </c>
    </row>
    <row r="44" spans="1:25" ht="17.25" x14ac:dyDescent="0.25">
      <c r="A44" s="6">
        <v>26</v>
      </c>
      <c r="B44" s="6" t="s">
        <v>102</v>
      </c>
      <c r="C44" s="6" t="s">
        <v>139</v>
      </c>
      <c r="D44" s="6" t="s">
        <v>140</v>
      </c>
      <c r="E44" s="6" t="s">
        <v>141</v>
      </c>
      <c r="F44" s="6" t="s">
        <v>131</v>
      </c>
      <c r="G44" s="6" t="s">
        <v>132</v>
      </c>
      <c r="H44" s="6" t="s">
        <v>142</v>
      </c>
      <c r="I44" s="6" t="s">
        <v>143</v>
      </c>
      <c r="J44" s="6" t="s">
        <v>43</v>
      </c>
      <c r="K44" s="6" t="s">
        <v>44</v>
      </c>
      <c r="L44" s="6" t="s">
        <v>45</v>
      </c>
      <c r="M44" s="6">
        <v>12</v>
      </c>
      <c r="N44" s="6">
        <v>512</v>
      </c>
      <c r="O44" s="6" t="s">
        <v>118</v>
      </c>
      <c r="P44" s="6" t="s">
        <v>119</v>
      </c>
      <c r="Q44" s="6" t="s">
        <v>144</v>
      </c>
      <c r="R44" s="6" t="s">
        <v>82</v>
      </c>
      <c r="S44" s="6" t="s">
        <v>50</v>
      </c>
      <c r="T44" s="6" t="s">
        <v>111</v>
      </c>
      <c r="U44" s="6" t="s">
        <v>145</v>
      </c>
      <c r="V44" s="6" t="s">
        <v>121</v>
      </c>
      <c r="W44" s="6" t="s">
        <v>85</v>
      </c>
      <c r="X44" s="6" t="s">
        <v>39</v>
      </c>
      <c r="Y44" s="7">
        <v>19999000</v>
      </c>
    </row>
    <row r="45" spans="1:25" ht="17.25" x14ac:dyDescent="0.25">
      <c r="A45" s="6">
        <v>27</v>
      </c>
      <c r="B45" s="6" t="s">
        <v>102</v>
      </c>
      <c r="C45" s="6" t="s">
        <v>146</v>
      </c>
      <c r="D45" s="6" t="s">
        <v>147</v>
      </c>
      <c r="E45" s="6" t="s">
        <v>124</v>
      </c>
      <c r="F45" s="6" t="s">
        <v>131</v>
      </c>
      <c r="G45" s="6" t="s">
        <v>132</v>
      </c>
      <c r="H45" s="6" t="s">
        <v>148</v>
      </c>
      <c r="I45" s="6" t="s">
        <v>108</v>
      </c>
      <c r="J45" s="6" t="s">
        <v>43</v>
      </c>
      <c r="K45" s="6" t="s">
        <v>44</v>
      </c>
      <c r="L45" s="6" t="s">
        <v>45</v>
      </c>
      <c r="M45" s="6">
        <v>8</v>
      </c>
      <c r="N45" s="6">
        <v>256</v>
      </c>
      <c r="O45" s="6" t="s">
        <v>46</v>
      </c>
      <c r="P45" s="6" t="s">
        <v>63</v>
      </c>
      <c r="Q45" s="6" t="s">
        <v>144</v>
      </c>
      <c r="R45" s="6" t="s">
        <v>82</v>
      </c>
      <c r="S45" s="6" t="s">
        <v>50</v>
      </c>
      <c r="T45" s="6" t="s">
        <v>111</v>
      </c>
      <c r="U45" s="6" t="s">
        <v>145</v>
      </c>
      <c r="V45" s="6" t="s">
        <v>149</v>
      </c>
      <c r="W45" s="6" t="s">
        <v>85</v>
      </c>
      <c r="X45" s="6" t="s">
        <v>39</v>
      </c>
      <c r="Y45" s="7">
        <v>15999000</v>
      </c>
    </row>
    <row r="46" spans="1:25" ht="17.25" x14ac:dyDescent="0.25">
      <c r="A46" s="6">
        <v>28</v>
      </c>
      <c r="B46" s="6" t="s">
        <v>102</v>
      </c>
      <c r="C46" s="6" t="s">
        <v>150</v>
      </c>
      <c r="D46" s="6" t="s">
        <v>151</v>
      </c>
      <c r="E46" s="11" t="s">
        <v>152</v>
      </c>
      <c r="F46" s="6" t="s">
        <v>131</v>
      </c>
      <c r="G46" s="6" t="s">
        <v>132</v>
      </c>
      <c r="H46" s="6" t="s">
        <v>153</v>
      </c>
      <c r="I46" s="6" t="s">
        <v>108</v>
      </c>
      <c r="J46" s="6" t="s">
        <v>43</v>
      </c>
      <c r="K46" s="6" t="s">
        <v>44</v>
      </c>
      <c r="L46" s="6" t="s">
        <v>45</v>
      </c>
      <c r="M46" s="6">
        <v>8</v>
      </c>
      <c r="N46" s="6">
        <v>256</v>
      </c>
      <c r="O46" s="6" t="s">
        <v>46</v>
      </c>
      <c r="P46" s="6" t="s">
        <v>63</v>
      </c>
      <c r="Q46" s="6" t="s">
        <v>144</v>
      </c>
      <c r="R46" s="6" t="s">
        <v>82</v>
      </c>
      <c r="S46" s="6" t="s">
        <v>50</v>
      </c>
      <c r="T46" s="6" t="s">
        <v>111</v>
      </c>
      <c r="U46" s="6" t="s">
        <v>145</v>
      </c>
      <c r="V46" s="6" t="s">
        <v>154</v>
      </c>
      <c r="W46" s="6" t="s">
        <v>85</v>
      </c>
      <c r="X46" s="6" t="s">
        <v>39</v>
      </c>
      <c r="Y46" s="7">
        <v>13999000</v>
      </c>
    </row>
    <row r="47" spans="1:25" x14ac:dyDescent="0.25">
      <c r="B47" s="73"/>
    </row>
  </sheetData>
  <mergeCells count="17">
    <mergeCell ref="M17:O17"/>
    <mergeCell ref="P17:R17"/>
    <mergeCell ref="S17:U17"/>
    <mergeCell ref="M12:N12"/>
    <mergeCell ref="V17:X17"/>
    <mergeCell ref="A12:B12"/>
    <mergeCell ref="G3:I3"/>
    <mergeCell ref="G4:I4"/>
    <mergeCell ref="K3:L3"/>
    <mergeCell ref="D17:F17"/>
    <mergeCell ref="G17:I17"/>
    <mergeCell ref="J17:L17"/>
    <mergeCell ref="N3:P3"/>
    <mergeCell ref="M5:Q5"/>
    <mergeCell ref="M6:Q6"/>
    <mergeCell ref="M8:N8"/>
    <mergeCell ref="S5:T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EEF1143-F995-428E-A45F-035729D31042}">
          <x14:formula1>
            <xm:f>'C:\Users\Wahyu Nur Cahyo\Desktop\skripsi\Skripsi\[Data Smartphone.xlsx]VALIDATE'!#REF!</xm:f>
          </x14:formula1>
          <xm:sqref>G19:G46</xm:sqref>
        </x14:dataValidation>
        <x14:dataValidation type="list" allowBlank="1" showInputMessage="1" showErrorMessage="1" xr:uid="{021F282D-EF1C-49DB-857B-468AB5EF96EB}">
          <x14:formula1>
            <xm:f>'C:\Users\Wahyu Nur Cahyo\Desktop\skripsi\Skripsi\[Data Smartphone.xlsx]VALIDATE'!#REF!</xm:f>
          </x14:formula1>
          <xm:sqref>G17:G18 X19:X46 S19:S46 B17:B46 P18:P46 Q17 M18:N46 N17:O17 W18:W46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D3FF-0267-467D-ADA1-176EB4FA23EC}">
  <dimension ref="A2:AB79"/>
  <sheetViews>
    <sheetView topLeftCell="A13" workbookViewId="0">
      <selection activeCell="D4" sqref="D4:I7"/>
    </sheetView>
  </sheetViews>
  <sheetFormatPr defaultRowHeight="15" x14ac:dyDescent="0.25"/>
  <cols>
    <col min="1" max="1" width="3.5703125" bestFit="1" customWidth="1"/>
    <col min="2" max="2" width="10" bestFit="1" customWidth="1"/>
    <col min="3" max="3" width="27.85546875" bestFit="1" customWidth="1"/>
    <col min="4" max="4" width="20" bestFit="1" customWidth="1"/>
    <col min="5" max="5" width="9.7109375" customWidth="1"/>
    <col min="6" max="6" width="38.28515625" bestFit="1" customWidth="1"/>
    <col min="7" max="7" width="11" customWidth="1"/>
    <col min="8" max="8" width="5.5703125" customWidth="1"/>
    <col min="9" max="9" width="22.28515625" bestFit="1" customWidth="1"/>
    <col min="10" max="10" width="9.28515625" bestFit="1" customWidth="1"/>
    <col min="11" max="11" width="12.7109375" customWidth="1"/>
    <col min="12" max="12" width="10.5703125" bestFit="1" customWidth="1"/>
    <col min="13" max="13" width="18.5703125" bestFit="1" customWidth="1"/>
    <col min="14" max="14" width="10" bestFit="1" customWidth="1"/>
    <col min="15" max="15" width="11" customWidth="1"/>
    <col min="16" max="16" width="7.42578125" customWidth="1"/>
    <col min="17" max="17" width="7.5703125" customWidth="1"/>
    <col min="18" max="18" width="9.85546875" customWidth="1"/>
    <col min="19" max="19" width="8.42578125" customWidth="1"/>
    <col min="20" max="20" width="54" bestFit="1" customWidth="1"/>
    <col min="21" max="21" width="10.85546875" customWidth="1"/>
    <col min="22" max="22" width="8.42578125" bestFit="1" customWidth="1"/>
    <col min="23" max="23" width="39.7109375" bestFit="1" customWidth="1"/>
    <col min="24" max="24" width="19.7109375" bestFit="1" customWidth="1"/>
    <col min="25" max="25" width="10.5703125" customWidth="1"/>
    <col min="26" max="26" width="8.42578125" customWidth="1"/>
    <col min="27" max="27" width="11" customWidth="1"/>
    <col min="28" max="28" width="16.5703125" bestFit="1" customWidth="1"/>
  </cols>
  <sheetData>
    <row r="2" spans="3:16" ht="15.75" thickBot="1" x14ac:dyDescent="0.3">
      <c r="D2" s="83" t="s">
        <v>10</v>
      </c>
      <c r="E2" s="83"/>
    </row>
    <row r="3" spans="3:16" ht="26.25" thickBot="1" x14ac:dyDescent="0.3">
      <c r="C3" s="20" t="s">
        <v>9</v>
      </c>
      <c r="D3" s="34" t="s">
        <v>205</v>
      </c>
      <c r="E3" s="34" t="s">
        <v>34</v>
      </c>
      <c r="F3" s="34" t="s">
        <v>69</v>
      </c>
      <c r="G3" s="34" t="s">
        <v>102</v>
      </c>
      <c r="H3" s="34" t="s">
        <v>206</v>
      </c>
      <c r="I3" s="34" t="s">
        <v>207</v>
      </c>
      <c r="J3" s="34" t="s">
        <v>208</v>
      </c>
      <c r="K3" s="34" t="s">
        <v>209</v>
      </c>
      <c r="L3" s="34" t="s">
        <v>210</v>
      </c>
      <c r="M3" s="34" t="s">
        <v>211</v>
      </c>
      <c r="N3" s="34" t="s">
        <v>212</v>
      </c>
      <c r="O3" s="34" t="s">
        <v>213</v>
      </c>
      <c r="P3" s="34" t="s">
        <v>214</v>
      </c>
    </row>
    <row r="4" spans="3:16" ht="15.75" thickBot="1" x14ac:dyDescent="0.3">
      <c r="C4" s="13">
        <v>1</v>
      </c>
      <c r="D4" s="34">
        <v>23</v>
      </c>
      <c r="E4" s="34">
        <v>80</v>
      </c>
      <c r="F4" s="34">
        <v>90</v>
      </c>
      <c r="G4" s="34">
        <v>85</v>
      </c>
      <c r="H4" s="34">
        <v>70</v>
      </c>
      <c r="I4" s="34">
        <v>75</v>
      </c>
      <c r="J4" s="34">
        <v>75</v>
      </c>
      <c r="K4" s="34">
        <v>80</v>
      </c>
      <c r="L4" s="34">
        <v>80</v>
      </c>
      <c r="M4" s="34">
        <v>65</v>
      </c>
      <c r="N4" s="34">
        <v>75</v>
      </c>
      <c r="O4" s="34">
        <v>75</v>
      </c>
      <c r="P4" s="34">
        <v>60</v>
      </c>
    </row>
    <row r="5" spans="3:16" ht="15.75" thickBot="1" x14ac:dyDescent="0.3">
      <c r="C5" s="13">
        <v>2</v>
      </c>
      <c r="D5" s="34">
        <v>23</v>
      </c>
      <c r="E5" s="34">
        <v>75</v>
      </c>
      <c r="F5" s="34">
        <v>95</v>
      </c>
      <c r="G5" s="34">
        <v>85</v>
      </c>
      <c r="H5" s="34">
        <v>78</v>
      </c>
      <c r="I5" s="34">
        <v>75</v>
      </c>
      <c r="J5" s="34">
        <v>75</v>
      </c>
      <c r="K5" s="34">
        <v>80</v>
      </c>
      <c r="L5" s="34">
        <v>80</v>
      </c>
      <c r="M5" s="34">
        <v>65</v>
      </c>
      <c r="N5" s="34">
        <v>80</v>
      </c>
      <c r="O5" s="34">
        <v>80</v>
      </c>
      <c r="P5" s="34">
        <v>70</v>
      </c>
    </row>
    <row r="6" spans="3:16" ht="15.75" thickBot="1" x14ac:dyDescent="0.3">
      <c r="C6" s="13">
        <v>3</v>
      </c>
      <c r="D6" s="34">
        <v>22</v>
      </c>
      <c r="E6" s="34">
        <v>80</v>
      </c>
      <c r="F6" s="34">
        <v>80</v>
      </c>
      <c r="G6" s="34">
        <v>80</v>
      </c>
      <c r="H6" s="34">
        <v>85</v>
      </c>
      <c r="I6" s="34">
        <v>80</v>
      </c>
      <c r="J6" s="34">
        <v>80</v>
      </c>
      <c r="K6" s="34">
        <v>80</v>
      </c>
      <c r="L6" s="34">
        <v>90</v>
      </c>
      <c r="M6" s="34">
        <v>75</v>
      </c>
      <c r="N6" s="34">
        <v>80</v>
      </c>
      <c r="O6" s="34">
        <v>85</v>
      </c>
      <c r="P6" s="34">
        <v>75</v>
      </c>
    </row>
    <row r="7" spans="3:16" ht="15.75" thickBot="1" x14ac:dyDescent="0.3">
      <c r="C7" s="13">
        <v>4</v>
      </c>
      <c r="D7" s="34">
        <v>22</v>
      </c>
      <c r="E7" s="34">
        <v>70</v>
      </c>
      <c r="F7" s="34">
        <v>90</v>
      </c>
      <c r="G7" s="34">
        <v>95</v>
      </c>
      <c r="H7" s="34">
        <v>85</v>
      </c>
      <c r="I7" s="34">
        <v>85</v>
      </c>
      <c r="J7" s="34">
        <v>85</v>
      </c>
      <c r="K7" s="34">
        <v>80</v>
      </c>
      <c r="L7" s="34">
        <v>80</v>
      </c>
      <c r="M7" s="34">
        <v>80</v>
      </c>
      <c r="N7" s="34">
        <v>80</v>
      </c>
      <c r="O7" s="34">
        <v>80</v>
      </c>
      <c r="P7" s="34">
        <v>80</v>
      </c>
    </row>
    <row r="8" spans="3:16" ht="15.75" thickBot="1" x14ac:dyDescent="0.3">
      <c r="C8" s="13">
        <v>5</v>
      </c>
      <c r="D8" s="34">
        <v>20</v>
      </c>
      <c r="E8" s="34">
        <v>30</v>
      </c>
      <c r="F8" s="34">
        <v>40</v>
      </c>
      <c r="G8" s="34">
        <v>70</v>
      </c>
      <c r="H8" s="34">
        <v>80</v>
      </c>
      <c r="I8" s="34">
        <v>60</v>
      </c>
      <c r="J8" s="34">
        <v>50</v>
      </c>
      <c r="K8" s="34">
        <v>50</v>
      </c>
      <c r="L8" s="34">
        <v>70</v>
      </c>
      <c r="M8" s="34">
        <v>40</v>
      </c>
      <c r="N8" s="34">
        <v>80</v>
      </c>
      <c r="O8" s="34">
        <v>90</v>
      </c>
      <c r="P8" s="34">
        <v>30</v>
      </c>
    </row>
    <row r="9" spans="3:16" ht="15.75" thickBot="1" x14ac:dyDescent="0.3">
      <c r="C9" s="13">
        <v>6</v>
      </c>
      <c r="D9" s="34">
        <v>19</v>
      </c>
      <c r="E9" s="34">
        <v>70</v>
      </c>
      <c r="F9" s="34">
        <v>90</v>
      </c>
      <c r="G9" s="34">
        <v>85</v>
      </c>
      <c r="H9" s="34">
        <v>78</v>
      </c>
      <c r="I9" s="34">
        <v>79</v>
      </c>
      <c r="J9" s="34">
        <v>78</v>
      </c>
      <c r="K9" s="34">
        <v>80</v>
      </c>
      <c r="L9" s="34">
        <v>81</v>
      </c>
      <c r="M9" s="34">
        <v>65</v>
      </c>
      <c r="N9" s="34">
        <v>75</v>
      </c>
      <c r="O9" s="34">
        <v>75</v>
      </c>
      <c r="P9" s="34">
        <v>68</v>
      </c>
    </row>
    <row r="10" spans="3:16" ht="15.75" thickBot="1" x14ac:dyDescent="0.3">
      <c r="C10" s="13">
        <v>7</v>
      </c>
      <c r="D10" s="34">
        <v>22</v>
      </c>
      <c r="E10" s="34">
        <v>70</v>
      </c>
      <c r="F10" s="34">
        <v>90</v>
      </c>
      <c r="G10" s="34">
        <v>85</v>
      </c>
      <c r="H10" s="34">
        <v>75</v>
      </c>
      <c r="I10" s="34">
        <v>80</v>
      </c>
      <c r="J10" s="34">
        <v>85</v>
      </c>
      <c r="K10" s="34">
        <v>80</v>
      </c>
      <c r="L10" s="34">
        <v>85</v>
      </c>
      <c r="M10" s="34">
        <v>70</v>
      </c>
      <c r="N10" s="34">
        <v>85</v>
      </c>
      <c r="O10" s="34">
        <v>80</v>
      </c>
      <c r="P10" s="34">
        <v>80</v>
      </c>
    </row>
    <row r="11" spans="3:16" ht="15.75" thickBot="1" x14ac:dyDescent="0.3">
      <c r="C11" s="13">
        <v>8</v>
      </c>
      <c r="D11" s="34">
        <v>18</v>
      </c>
      <c r="E11" s="34">
        <v>97</v>
      </c>
      <c r="F11" s="34">
        <v>98</v>
      </c>
      <c r="G11" s="34">
        <v>98</v>
      </c>
      <c r="H11" s="34">
        <v>97</v>
      </c>
      <c r="I11" s="34">
        <v>98</v>
      </c>
      <c r="J11" s="34">
        <v>98</v>
      </c>
      <c r="K11" s="34">
        <v>97</v>
      </c>
      <c r="L11" s="34">
        <v>97</v>
      </c>
      <c r="M11" s="34">
        <v>97</v>
      </c>
      <c r="N11" s="34">
        <v>97</v>
      </c>
      <c r="O11" s="34">
        <v>97</v>
      </c>
      <c r="P11" s="34">
        <v>97</v>
      </c>
    </row>
    <row r="12" spans="3:16" ht="15.75" thickBot="1" x14ac:dyDescent="0.3">
      <c r="C12" s="13">
        <v>9</v>
      </c>
      <c r="D12" s="34">
        <v>24</v>
      </c>
      <c r="E12" s="34">
        <v>20</v>
      </c>
      <c r="F12" s="34">
        <v>100</v>
      </c>
      <c r="G12" s="34">
        <v>20</v>
      </c>
      <c r="H12" s="34">
        <v>20</v>
      </c>
      <c r="I12" s="34">
        <v>20</v>
      </c>
      <c r="J12" s="34">
        <v>20</v>
      </c>
      <c r="K12" s="34">
        <v>20</v>
      </c>
      <c r="L12" s="34">
        <v>20</v>
      </c>
      <c r="M12" s="34">
        <v>20</v>
      </c>
      <c r="N12" s="34">
        <v>20</v>
      </c>
      <c r="O12" s="34">
        <v>20</v>
      </c>
      <c r="P12" s="34">
        <v>20</v>
      </c>
    </row>
    <row r="13" spans="3:16" ht="15.75" thickBot="1" x14ac:dyDescent="0.3">
      <c r="C13" s="13">
        <v>10</v>
      </c>
      <c r="D13" s="34">
        <v>26</v>
      </c>
      <c r="E13" s="34">
        <v>70</v>
      </c>
      <c r="F13" s="34">
        <v>90</v>
      </c>
      <c r="G13" s="34">
        <v>90</v>
      </c>
      <c r="H13" s="34">
        <v>70</v>
      </c>
      <c r="I13" s="34">
        <v>60</v>
      </c>
      <c r="J13" s="34">
        <v>60</v>
      </c>
      <c r="K13" s="34">
        <v>70</v>
      </c>
      <c r="L13" s="34">
        <v>80</v>
      </c>
      <c r="M13" s="34">
        <v>50</v>
      </c>
      <c r="N13" s="34">
        <v>80</v>
      </c>
      <c r="O13" s="34">
        <v>40</v>
      </c>
      <c r="P13" s="34">
        <v>40</v>
      </c>
    </row>
    <row r="14" spans="3:16" x14ac:dyDescent="0.25">
      <c r="C14" s="84" t="s">
        <v>215</v>
      </c>
      <c r="D14" s="85"/>
      <c r="E14" s="21">
        <f>AVERAGE(E4:E13)</f>
        <v>66.2</v>
      </c>
      <c r="F14" s="21">
        <f t="shared" ref="F14:P14" si="0">AVERAGE(F4:F13)</f>
        <v>86.3</v>
      </c>
      <c r="G14" s="21">
        <f t="shared" si="0"/>
        <v>79.3</v>
      </c>
      <c r="H14" s="21">
        <f t="shared" si="0"/>
        <v>73.8</v>
      </c>
      <c r="I14" s="21">
        <f t="shared" si="0"/>
        <v>71.2</v>
      </c>
      <c r="J14" s="21">
        <f t="shared" si="0"/>
        <v>70.599999999999994</v>
      </c>
      <c r="K14" s="21">
        <f t="shared" si="0"/>
        <v>71.7</v>
      </c>
      <c r="L14" s="21">
        <f t="shared" si="0"/>
        <v>76.3</v>
      </c>
      <c r="M14" s="21">
        <f t="shared" si="0"/>
        <v>62.7</v>
      </c>
      <c r="N14" s="21">
        <f t="shared" si="0"/>
        <v>75.2</v>
      </c>
      <c r="O14" s="21">
        <f t="shared" si="0"/>
        <v>72.2</v>
      </c>
      <c r="P14" s="21">
        <f t="shared" si="0"/>
        <v>62</v>
      </c>
    </row>
    <row r="18" spans="1:28" x14ac:dyDescent="0.25">
      <c r="A18" s="1"/>
      <c r="B18" s="23"/>
      <c r="C18" s="23" t="s">
        <v>0</v>
      </c>
      <c r="D18" s="82" t="s">
        <v>1</v>
      </c>
      <c r="E18" s="82"/>
      <c r="F18" s="82"/>
      <c r="G18" s="82"/>
      <c r="H18" s="82"/>
      <c r="I18" s="82" t="s">
        <v>2</v>
      </c>
      <c r="J18" s="82"/>
      <c r="K18" s="82"/>
      <c r="L18" s="82" t="s">
        <v>3</v>
      </c>
      <c r="M18" s="82"/>
      <c r="N18" s="82"/>
      <c r="O18" s="82" t="s">
        <v>4</v>
      </c>
      <c r="P18" s="82"/>
      <c r="Q18" s="82"/>
      <c r="R18" s="82" t="s">
        <v>5</v>
      </c>
      <c r="S18" s="82"/>
      <c r="T18" s="82"/>
      <c r="U18" s="82" t="s">
        <v>6</v>
      </c>
      <c r="V18" s="82"/>
      <c r="W18" s="82"/>
      <c r="X18" s="82" t="s">
        <v>7</v>
      </c>
      <c r="Y18" s="82"/>
      <c r="Z18" s="82"/>
      <c r="AA18" s="82"/>
      <c r="AB18" s="24" t="s">
        <v>8</v>
      </c>
    </row>
    <row r="19" spans="1:28" x14ac:dyDescent="0.25">
      <c r="A19" s="3" t="s">
        <v>9</v>
      </c>
      <c r="B19" s="30" t="s">
        <v>10</v>
      </c>
      <c r="C19" s="31" t="s">
        <v>0</v>
      </c>
      <c r="D19" s="31" t="s">
        <v>11</v>
      </c>
      <c r="E19" s="31" t="s">
        <v>12</v>
      </c>
      <c r="F19" s="31" t="s">
        <v>13</v>
      </c>
      <c r="G19" s="31" t="s">
        <v>14</v>
      </c>
      <c r="H19" s="31" t="s">
        <v>15</v>
      </c>
      <c r="I19" s="31" t="s">
        <v>16</v>
      </c>
      <c r="J19" s="31" t="s">
        <v>17</v>
      </c>
      <c r="K19" s="31" t="s">
        <v>18</v>
      </c>
      <c r="L19" s="31" t="s">
        <v>19</v>
      </c>
      <c r="M19" s="31" t="s">
        <v>20</v>
      </c>
      <c r="N19" s="31" t="s">
        <v>21</v>
      </c>
      <c r="O19" s="31" t="s">
        <v>22</v>
      </c>
      <c r="P19" s="31" t="s">
        <v>23</v>
      </c>
      <c r="Q19" s="31" t="s">
        <v>24</v>
      </c>
      <c r="R19" s="31" t="s">
        <v>25</v>
      </c>
      <c r="S19" s="31" t="s">
        <v>26</v>
      </c>
      <c r="T19" s="31" t="s">
        <v>27</v>
      </c>
      <c r="U19" s="31" t="s">
        <v>28</v>
      </c>
      <c r="V19" s="31" t="s">
        <v>29</v>
      </c>
      <c r="W19" s="31" t="s">
        <v>160</v>
      </c>
      <c r="X19" s="31" t="s">
        <v>30</v>
      </c>
      <c r="Y19" s="31" t="s">
        <v>31</v>
      </c>
      <c r="Z19" s="31" t="s">
        <v>32</v>
      </c>
      <c r="AA19" s="31" t="s">
        <v>33</v>
      </c>
      <c r="AB19" s="32" t="s">
        <v>8</v>
      </c>
    </row>
    <row r="20" spans="1:28" ht="17.25" x14ac:dyDescent="0.25">
      <c r="A20" s="6">
        <v>1</v>
      </c>
      <c r="B20" s="25" t="s">
        <v>34</v>
      </c>
      <c r="C20" s="6" t="s">
        <v>35</v>
      </c>
      <c r="D20" s="6" t="s">
        <v>36</v>
      </c>
      <c r="E20" s="6" t="s">
        <v>37</v>
      </c>
      <c r="F20" s="6" t="s">
        <v>38</v>
      </c>
      <c r="G20" s="6" t="s">
        <v>39</v>
      </c>
      <c r="H20" s="6" t="s">
        <v>39</v>
      </c>
      <c r="I20" s="6" t="s">
        <v>40</v>
      </c>
      <c r="J20" s="6" t="s">
        <v>41</v>
      </c>
      <c r="K20" s="6" t="s">
        <v>42</v>
      </c>
      <c r="L20" s="6" t="s">
        <v>43</v>
      </c>
      <c r="M20" s="6" t="s">
        <v>44</v>
      </c>
      <c r="N20" s="6" t="s">
        <v>45</v>
      </c>
      <c r="O20" s="6" t="s">
        <v>39</v>
      </c>
      <c r="P20" s="6">
        <v>8</v>
      </c>
      <c r="Q20" s="6">
        <v>128</v>
      </c>
      <c r="R20" s="6" t="s">
        <v>46</v>
      </c>
      <c r="S20" s="6" t="s">
        <v>47</v>
      </c>
      <c r="T20" s="6" t="s">
        <v>48</v>
      </c>
      <c r="U20" s="6" t="s">
        <v>49</v>
      </c>
      <c r="V20" s="6" t="s">
        <v>50</v>
      </c>
      <c r="W20" s="6" t="s">
        <v>51</v>
      </c>
      <c r="X20" s="6" t="s">
        <v>52</v>
      </c>
      <c r="Y20" s="6" t="s">
        <v>53</v>
      </c>
      <c r="Z20" s="6" t="s">
        <v>54</v>
      </c>
      <c r="AA20" s="6" t="s">
        <v>39</v>
      </c>
      <c r="AB20" s="7">
        <v>8999000</v>
      </c>
    </row>
    <row r="21" spans="1:28" ht="17.25" x14ac:dyDescent="0.25">
      <c r="A21" s="6">
        <v>2</v>
      </c>
      <c r="B21" s="25" t="s">
        <v>34</v>
      </c>
      <c r="C21" s="6" t="s">
        <v>35</v>
      </c>
      <c r="D21" s="6" t="s">
        <v>36</v>
      </c>
      <c r="E21" s="6" t="s">
        <v>37</v>
      </c>
      <c r="F21" s="6" t="s">
        <v>38</v>
      </c>
      <c r="G21" s="6" t="s">
        <v>39</v>
      </c>
      <c r="H21" s="6" t="s">
        <v>39</v>
      </c>
      <c r="I21" s="6" t="s">
        <v>40</v>
      </c>
      <c r="J21" s="6" t="s">
        <v>41</v>
      </c>
      <c r="K21" s="6" t="s">
        <v>42</v>
      </c>
      <c r="L21" s="6" t="s">
        <v>43</v>
      </c>
      <c r="M21" s="6" t="s">
        <v>44</v>
      </c>
      <c r="N21" s="6" t="s">
        <v>45</v>
      </c>
      <c r="O21" s="6" t="s">
        <v>39</v>
      </c>
      <c r="P21" s="6">
        <v>16</v>
      </c>
      <c r="Q21" s="6">
        <v>512</v>
      </c>
      <c r="R21" s="6" t="s">
        <v>46</v>
      </c>
      <c r="S21" s="6" t="s">
        <v>47</v>
      </c>
      <c r="T21" s="6" t="s">
        <v>48</v>
      </c>
      <c r="U21" s="6" t="s">
        <v>49</v>
      </c>
      <c r="V21" s="6" t="s">
        <v>50</v>
      </c>
      <c r="W21" s="6" t="s">
        <v>51</v>
      </c>
      <c r="X21" s="6" t="s">
        <v>52</v>
      </c>
      <c r="Y21" s="6" t="s">
        <v>53</v>
      </c>
      <c r="Z21" s="6" t="s">
        <v>54</v>
      </c>
      <c r="AA21" s="6" t="s">
        <v>39</v>
      </c>
      <c r="AB21" s="7">
        <v>11999000</v>
      </c>
    </row>
    <row r="22" spans="1:28" ht="17.25" x14ac:dyDescent="0.25">
      <c r="A22" s="6">
        <v>3</v>
      </c>
      <c r="B22" s="25" t="s">
        <v>34</v>
      </c>
      <c r="C22" s="6" t="s">
        <v>55</v>
      </c>
      <c r="D22" s="6" t="s">
        <v>56</v>
      </c>
      <c r="E22" s="6" t="s">
        <v>57</v>
      </c>
      <c r="F22" s="6" t="s">
        <v>58</v>
      </c>
      <c r="G22" s="6" t="s">
        <v>39</v>
      </c>
      <c r="H22" s="6" t="s">
        <v>39</v>
      </c>
      <c r="I22" s="6" t="s">
        <v>59</v>
      </c>
      <c r="J22" s="6" t="s">
        <v>60</v>
      </c>
      <c r="K22" s="6" t="s">
        <v>61</v>
      </c>
      <c r="L22" s="6" t="s">
        <v>43</v>
      </c>
      <c r="M22" s="6" t="s">
        <v>44</v>
      </c>
      <c r="N22" s="6" t="s">
        <v>45</v>
      </c>
      <c r="O22" s="6" t="s">
        <v>62</v>
      </c>
      <c r="P22" s="6">
        <v>16</v>
      </c>
      <c r="Q22" s="6">
        <v>512</v>
      </c>
      <c r="R22" s="6" t="s">
        <v>46</v>
      </c>
      <c r="S22" s="6" t="s">
        <v>63</v>
      </c>
      <c r="T22" s="6" t="s">
        <v>64</v>
      </c>
      <c r="U22" s="6" t="s">
        <v>49</v>
      </c>
      <c r="V22" s="6" t="s">
        <v>50</v>
      </c>
      <c r="W22" s="6" t="s">
        <v>65</v>
      </c>
      <c r="X22" s="6" t="s">
        <v>66</v>
      </c>
      <c r="Y22" s="6" t="s">
        <v>67</v>
      </c>
      <c r="Z22" s="6" t="s">
        <v>54</v>
      </c>
      <c r="AA22" s="6" t="s">
        <v>62</v>
      </c>
      <c r="AB22" s="7">
        <v>23499000</v>
      </c>
    </row>
    <row r="23" spans="1:28" ht="17.25" x14ac:dyDescent="0.25">
      <c r="A23" s="6">
        <v>4</v>
      </c>
      <c r="B23" s="25" t="s">
        <v>34</v>
      </c>
      <c r="C23" s="6" t="s">
        <v>68</v>
      </c>
      <c r="D23" s="6" t="s">
        <v>56</v>
      </c>
      <c r="E23" s="6" t="s">
        <v>57</v>
      </c>
      <c r="F23" s="6" t="s">
        <v>58</v>
      </c>
      <c r="G23" s="6" t="s">
        <v>39</v>
      </c>
      <c r="H23" s="6" t="s">
        <v>39</v>
      </c>
      <c r="I23" s="6" t="s">
        <v>59</v>
      </c>
      <c r="J23" s="6" t="s">
        <v>60</v>
      </c>
      <c r="K23" s="6" t="s">
        <v>61</v>
      </c>
      <c r="L23" s="6" t="s">
        <v>43</v>
      </c>
      <c r="M23" s="6" t="s">
        <v>44</v>
      </c>
      <c r="N23" s="6" t="s">
        <v>45</v>
      </c>
      <c r="O23" s="6" t="s">
        <v>62</v>
      </c>
      <c r="P23" s="6">
        <v>12</v>
      </c>
      <c r="Q23" s="6">
        <v>256</v>
      </c>
      <c r="R23" s="6" t="s">
        <v>46</v>
      </c>
      <c r="S23" s="6" t="s">
        <v>63</v>
      </c>
      <c r="T23" s="6" t="s">
        <v>64</v>
      </c>
      <c r="U23" s="6" t="s">
        <v>49</v>
      </c>
      <c r="V23" s="6" t="s">
        <v>50</v>
      </c>
      <c r="W23" s="6" t="s">
        <v>65</v>
      </c>
      <c r="X23" s="6" t="s">
        <v>66</v>
      </c>
      <c r="Y23" s="6" t="s">
        <v>67</v>
      </c>
      <c r="Z23" s="6" t="s">
        <v>54</v>
      </c>
      <c r="AA23" s="6" t="s">
        <v>62</v>
      </c>
      <c r="AB23" s="7">
        <v>13499000</v>
      </c>
    </row>
    <row r="24" spans="1:28" ht="17.25" x14ac:dyDescent="0.25">
      <c r="A24" s="6">
        <v>5</v>
      </c>
      <c r="B24" s="25" t="s">
        <v>34</v>
      </c>
      <c r="C24" s="6" t="s">
        <v>68</v>
      </c>
      <c r="D24" s="6" t="s">
        <v>56</v>
      </c>
      <c r="E24" s="6" t="s">
        <v>57</v>
      </c>
      <c r="F24" s="6" t="s">
        <v>58</v>
      </c>
      <c r="G24" s="6" t="s">
        <v>39</v>
      </c>
      <c r="H24" s="6" t="s">
        <v>39</v>
      </c>
      <c r="I24" s="6" t="s">
        <v>59</v>
      </c>
      <c r="J24" s="6" t="s">
        <v>60</v>
      </c>
      <c r="K24" s="6" t="s">
        <v>61</v>
      </c>
      <c r="L24" s="6" t="s">
        <v>43</v>
      </c>
      <c r="M24" s="6" t="s">
        <v>44</v>
      </c>
      <c r="N24" s="6" t="s">
        <v>45</v>
      </c>
      <c r="O24" s="6" t="s">
        <v>62</v>
      </c>
      <c r="P24" s="6">
        <v>16</v>
      </c>
      <c r="Q24" s="6">
        <v>512</v>
      </c>
      <c r="R24" s="6" t="s">
        <v>46</v>
      </c>
      <c r="S24" s="6" t="s">
        <v>63</v>
      </c>
      <c r="T24" s="6" t="s">
        <v>64</v>
      </c>
      <c r="U24" s="6" t="s">
        <v>49</v>
      </c>
      <c r="V24" s="6" t="s">
        <v>50</v>
      </c>
      <c r="W24" s="6" t="s">
        <v>65</v>
      </c>
      <c r="X24" s="6" t="s">
        <v>66</v>
      </c>
      <c r="Y24" s="6" t="s">
        <v>67</v>
      </c>
      <c r="Z24" s="6" t="s">
        <v>54</v>
      </c>
      <c r="AA24" s="6" t="s">
        <v>62</v>
      </c>
      <c r="AB24" s="7">
        <v>28070000</v>
      </c>
    </row>
    <row r="25" spans="1:28" ht="17.25" x14ac:dyDescent="0.25">
      <c r="A25" s="6">
        <v>6</v>
      </c>
      <c r="B25" s="25" t="s">
        <v>69</v>
      </c>
      <c r="C25" s="6" t="s">
        <v>70</v>
      </c>
      <c r="D25" s="8" t="s">
        <v>71</v>
      </c>
      <c r="E25" s="9" t="s">
        <v>72</v>
      </c>
      <c r="F25" s="6" t="s">
        <v>73</v>
      </c>
      <c r="G25" s="6" t="s">
        <v>39</v>
      </c>
      <c r="H25" s="6" t="s">
        <v>39</v>
      </c>
      <c r="I25" s="6" t="s">
        <v>74</v>
      </c>
      <c r="J25" s="6" t="s">
        <v>75</v>
      </c>
      <c r="K25" s="6" t="s">
        <v>76</v>
      </c>
      <c r="L25" s="6" t="s">
        <v>77</v>
      </c>
      <c r="M25" s="6" t="s">
        <v>78</v>
      </c>
      <c r="N25" s="6" t="s">
        <v>79</v>
      </c>
      <c r="O25" s="6" t="s">
        <v>62</v>
      </c>
      <c r="P25" s="6">
        <v>8</v>
      </c>
      <c r="Q25" s="6">
        <v>256</v>
      </c>
      <c r="R25" s="6" t="s">
        <v>80</v>
      </c>
      <c r="S25" s="6" t="s">
        <v>63</v>
      </c>
      <c r="T25" s="6" t="s">
        <v>81</v>
      </c>
      <c r="U25" s="6" t="s">
        <v>82</v>
      </c>
      <c r="V25" s="6" t="s">
        <v>50</v>
      </c>
      <c r="W25" s="6" t="s">
        <v>81</v>
      </c>
      <c r="X25" s="6" t="s">
        <v>83</v>
      </c>
      <c r="Y25" s="6" t="s">
        <v>84</v>
      </c>
      <c r="Z25" s="6" t="s">
        <v>85</v>
      </c>
      <c r="AA25" s="6" t="s">
        <v>39</v>
      </c>
      <c r="AB25" s="10">
        <v>22999000</v>
      </c>
    </row>
    <row r="26" spans="1:28" ht="17.25" x14ac:dyDescent="0.25">
      <c r="A26" s="6">
        <v>7</v>
      </c>
      <c r="B26" s="25" t="s">
        <v>69</v>
      </c>
      <c r="C26" s="6" t="s">
        <v>70</v>
      </c>
      <c r="D26" s="8" t="s">
        <v>71</v>
      </c>
      <c r="E26" s="9" t="s">
        <v>72</v>
      </c>
      <c r="F26" s="6" t="s">
        <v>73</v>
      </c>
      <c r="G26" s="6" t="s">
        <v>39</v>
      </c>
      <c r="H26" s="6" t="s">
        <v>39</v>
      </c>
      <c r="I26" s="6" t="s">
        <v>74</v>
      </c>
      <c r="J26" s="6" t="s">
        <v>75</v>
      </c>
      <c r="K26" s="6" t="s">
        <v>76</v>
      </c>
      <c r="L26" s="6" t="s">
        <v>77</v>
      </c>
      <c r="M26" s="6" t="s">
        <v>78</v>
      </c>
      <c r="N26" s="6" t="s">
        <v>79</v>
      </c>
      <c r="O26" s="6" t="s">
        <v>62</v>
      </c>
      <c r="P26" s="6">
        <v>8</v>
      </c>
      <c r="Q26" s="6">
        <v>512</v>
      </c>
      <c r="R26" s="6" t="s">
        <v>80</v>
      </c>
      <c r="S26" s="6" t="s">
        <v>63</v>
      </c>
      <c r="T26" s="6" t="s">
        <v>81</v>
      </c>
      <c r="U26" s="6" t="s">
        <v>82</v>
      </c>
      <c r="V26" s="6" t="s">
        <v>50</v>
      </c>
      <c r="W26" s="6" t="s">
        <v>81</v>
      </c>
      <c r="X26" s="6" t="s">
        <v>83</v>
      </c>
      <c r="Y26" s="6" t="s">
        <v>84</v>
      </c>
      <c r="Z26" s="6" t="s">
        <v>85</v>
      </c>
      <c r="AA26" s="6" t="s">
        <v>39</v>
      </c>
      <c r="AB26" s="7">
        <v>27999000</v>
      </c>
    </row>
    <row r="27" spans="1:28" ht="17.25" x14ac:dyDescent="0.25">
      <c r="A27" s="6">
        <v>8</v>
      </c>
      <c r="B27" s="25" t="s">
        <v>69</v>
      </c>
      <c r="C27" s="6" t="s">
        <v>70</v>
      </c>
      <c r="D27" s="8" t="s">
        <v>71</v>
      </c>
      <c r="E27" s="9" t="s">
        <v>72</v>
      </c>
      <c r="F27" s="6" t="s">
        <v>73</v>
      </c>
      <c r="G27" s="6" t="s">
        <v>39</v>
      </c>
      <c r="H27" s="6" t="s">
        <v>39</v>
      </c>
      <c r="I27" s="6" t="s">
        <v>74</v>
      </c>
      <c r="J27" s="6" t="s">
        <v>75</v>
      </c>
      <c r="K27" s="6" t="s">
        <v>76</v>
      </c>
      <c r="L27" s="6" t="s">
        <v>77</v>
      </c>
      <c r="M27" s="6" t="s">
        <v>78</v>
      </c>
      <c r="N27" s="6" t="s">
        <v>79</v>
      </c>
      <c r="O27" s="6" t="s">
        <v>62</v>
      </c>
      <c r="P27" s="6">
        <v>8</v>
      </c>
      <c r="Q27" s="6">
        <v>1000</v>
      </c>
      <c r="R27" s="6" t="s">
        <v>80</v>
      </c>
      <c r="S27" s="6" t="s">
        <v>63</v>
      </c>
      <c r="T27" s="6" t="s">
        <v>81</v>
      </c>
      <c r="U27" s="6" t="s">
        <v>82</v>
      </c>
      <c r="V27" s="6" t="s">
        <v>50</v>
      </c>
      <c r="W27" s="6" t="s">
        <v>81</v>
      </c>
      <c r="X27" s="6" t="s">
        <v>83</v>
      </c>
      <c r="Y27" s="6" t="s">
        <v>84</v>
      </c>
      <c r="Z27" s="6" t="s">
        <v>85</v>
      </c>
      <c r="AA27" s="6" t="s">
        <v>39</v>
      </c>
      <c r="AB27" s="7">
        <v>31999000</v>
      </c>
    </row>
    <row r="28" spans="1:28" ht="17.25" x14ac:dyDescent="0.25">
      <c r="A28" s="6">
        <v>9</v>
      </c>
      <c r="B28" s="25" t="s">
        <v>69</v>
      </c>
      <c r="C28" s="6" t="s">
        <v>86</v>
      </c>
      <c r="D28" s="6" t="s">
        <v>87</v>
      </c>
      <c r="E28" s="6" t="s">
        <v>88</v>
      </c>
      <c r="F28" s="6" t="s">
        <v>73</v>
      </c>
      <c r="G28" s="6" t="s">
        <v>39</v>
      </c>
      <c r="H28" s="6" t="s">
        <v>39</v>
      </c>
      <c r="I28" s="6" t="s">
        <v>74</v>
      </c>
      <c r="J28" s="6" t="s">
        <v>89</v>
      </c>
      <c r="K28" s="6" t="s">
        <v>90</v>
      </c>
      <c r="L28" s="6" t="s">
        <v>77</v>
      </c>
      <c r="M28" s="6" t="s">
        <v>78</v>
      </c>
      <c r="N28" s="6" t="s">
        <v>79</v>
      </c>
      <c r="O28" s="6" t="s">
        <v>62</v>
      </c>
      <c r="P28" s="6">
        <v>8</v>
      </c>
      <c r="Q28" s="6">
        <v>128</v>
      </c>
      <c r="R28" s="6" t="s">
        <v>80</v>
      </c>
      <c r="S28" s="6" t="s">
        <v>63</v>
      </c>
      <c r="T28" s="6" t="s">
        <v>81</v>
      </c>
      <c r="U28" s="6" t="s">
        <v>82</v>
      </c>
      <c r="V28" s="6" t="s">
        <v>50</v>
      </c>
      <c r="W28" s="6" t="s">
        <v>81</v>
      </c>
      <c r="X28" s="6" t="s">
        <v>83</v>
      </c>
      <c r="Y28" s="6" t="s">
        <v>91</v>
      </c>
      <c r="Z28" s="6" t="s">
        <v>85</v>
      </c>
      <c r="AA28" s="6" t="s">
        <v>39</v>
      </c>
      <c r="AB28" s="7">
        <v>18999000</v>
      </c>
    </row>
    <row r="29" spans="1:28" ht="17.25" x14ac:dyDescent="0.25">
      <c r="A29" s="6">
        <v>10</v>
      </c>
      <c r="B29" s="25" t="s">
        <v>69</v>
      </c>
      <c r="C29" s="6" t="s">
        <v>86</v>
      </c>
      <c r="D29" s="6" t="s">
        <v>87</v>
      </c>
      <c r="E29" s="6" t="s">
        <v>88</v>
      </c>
      <c r="F29" s="6" t="s">
        <v>73</v>
      </c>
      <c r="G29" s="6" t="s">
        <v>39</v>
      </c>
      <c r="H29" s="6" t="s">
        <v>39</v>
      </c>
      <c r="I29" s="6" t="s">
        <v>74</v>
      </c>
      <c r="J29" s="6" t="s">
        <v>89</v>
      </c>
      <c r="K29" s="6" t="s">
        <v>90</v>
      </c>
      <c r="L29" s="6" t="s">
        <v>77</v>
      </c>
      <c r="M29" s="6" t="s">
        <v>78</v>
      </c>
      <c r="N29" s="6" t="s">
        <v>79</v>
      </c>
      <c r="O29" s="6" t="s">
        <v>62</v>
      </c>
      <c r="P29" s="6">
        <v>8</v>
      </c>
      <c r="Q29" s="6">
        <v>256</v>
      </c>
      <c r="R29" s="6" t="s">
        <v>80</v>
      </c>
      <c r="S29" s="6" t="s">
        <v>63</v>
      </c>
      <c r="T29" s="6" t="s">
        <v>81</v>
      </c>
      <c r="U29" s="6" t="s">
        <v>82</v>
      </c>
      <c r="V29" s="6" t="s">
        <v>50</v>
      </c>
      <c r="W29" s="6" t="s">
        <v>81</v>
      </c>
      <c r="X29" s="6" t="s">
        <v>83</v>
      </c>
      <c r="Y29" s="6" t="s">
        <v>91</v>
      </c>
      <c r="Z29" s="6" t="s">
        <v>85</v>
      </c>
      <c r="AA29" s="6" t="s">
        <v>39</v>
      </c>
      <c r="AB29" s="7">
        <v>21999000</v>
      </c>
    </row>
    <row r="30" spans="1:28" ht="17.25" x14ac:dyDescent="0.25">
      <c r="A30" s="6">
        <v>11</v>
      </c>
      <c r="B30" s="25" t="s">
        <v>69</v>
      </c>
      <c r="C30" s="6" t="s">
        <v>86</v>
      </c>
      <c r="D30" s="6" t="s">
        <v>87</v>
      </c>
      <c r="E30" s="6" t="s">
        <v>88</v>
      </c>
      <c r="F30" s="6" t="s">
        <v>73</v>
      </c>
      <c r="G30" s="6" t="s">
        <v>39</v>
      </c>
      <c r="H30" s="6" t="s">
        <v>39</v>
      </c>
      <c r="I30" s="6" t="s">
        <v>74</v>
      </c>
      <c r="J30" s="6" t="s">
        <v>89</v>
      </c>
      <c r="K30" s="6" t="s">
        <v>90</v>
      </c>
      <c r="L30" s="6" t="s">
        <v>77</v>
      </c>
      <c r="M30" s="6" t="s">
        <v>78</v>
      </c>
      <c r="N30" s="6" t="s">
        <v>79</v>
      </c>
      <c r="O30" s="6" t="s">
        <v>62</v>
      </c>
      <c r="P30" s="6">
        <v>8</v>
      </c>
      <c r="Q30" s="6">
        <v>512</v>
      </c>
      <c r="R30" s="6" t="s">
        <v>80</v>
      </c>
      <c r="S30" s="6" t="s">
        <v>63</v>
      </c>
      <c r="T30" s="6" t="s">
        <v>81</v>
      </c>
      <c r="U30" s="6" t="s">
        <v>82</v>
      </c>
      <c r="V30" s="6" t="s">
        <v>50</v>
      </c>
      <c r="W30" s="6" t="s">
        <v>81</v>
      </c>
      <c r="X30" s="6" t="s">
        <v>83</v>
      </c>
      <c r="Y30" s="6" t="s">
        <v>91</v>
      </c>
      <c r="Z30" s="6" t="s">
        <v>85</v>
      </c>
      <c r="AA30" s="6" t="s">
        <v>39</v>
      </c>
      <c r="AB30" s="7">
        <v>25999000</v>
      </c>
    </row>
    <row r="31" spans="1:28" ht="17.25" x14ac:dyDescent="0.25">
      <c r="A31" s="6">
        <v>12</v>
      </c>
      <c r="B31" s="25" t="s">
        <v>69</v>
      </c>
      <c r="C31" s="6" t="s">
        <v>86</v>
      </c>
      <c r="D31" s="6" t="s">
        <v>87</v>
      </c>
      <c r="E31" s="6" t="s">
        <v>88</v>
      </c>
      <c r="F31" s="6" t="s">
        <v>73</v>
      </c>
      <c r="G31" s="6" t="s">
        <v>39</v>
      </c>
      <c r="H31" s="6" t="s">
        <v>39</v>
      </c>
      <c r="I31" s="6" t="s">
        <v>74</v>
      </c>
      <c r="J31" s="6" t="s">
        <v>89</v>
      </c>
      <c r="K31" s="6" t="s">
        <v>90</v>
      </c>
      <c r="L31" s="6" t="s">
        <v>77</v>
      </c>
      <c r="M31" s="6" t="s">
        <v>78</v>
      </c>
      <c r="N31" s="6" t="s">
        <v>79</v>
      </c>
      <c r="O31" s="6" t="s">
        <v>62</v>
      </c>
      <c r="P31" s="6">
        <v>8</v>
      </c>
      <c r="Q31" s="6">
        <v>1000</v>
      </c>
      <c r="R31" s="6" t="s">
        <v>80</v>
      </c>
      <c r="S31" s="6" t="s">
        <v>63</v>
      </c>
      <c r="T31" s="6" t="s">
        <v>81</v>
      </c>
      <c r="U31" s="6" t="s">
        <v>82</v>
      </c>
      <c r="V31" s="6" t="s">
        <v>50</v>
      </c>
      <c r="W31" s="6" t="s">
        <v>81</v>
      </c>
      <c r="X31" s="6" t="s">
        <v>83</v>
      </c>
      <c r="Y31" s="6" t="s">
        <v>91</v>
      </c>
      <c r="Z31" s="6" t="s">
        <v>85</v>
      </c>
      <c r="AA31" s="6" t="s">
        <v>39</v>
      </c>
      <c r="AB31" s="7">
        <v>29999000</v>
      </c>
    </row>
    <row r="32" spans="1:28" ht="17.25" x14ac:dyDescent="0.25">
      <c r="A32" s="6">
        <v>13</v>
      </c>
      <c r="B32" s="25" t="s">
        <v>69</v>
      </c>
      <c r="C32" s="6" t="s">
        <v>92</v>
      </c>
      <c r="D32" s="6" t="s">
        <v>93</v>
      </c>
      <c r="E32" s="6" t="s">
        <v>94</v>
      </c>
      <c r="F32" s="6" t="s">
        <v>58</v>
      </c>
      <c r="G32" s="6" t="s">
        <v>39</v>
      </c>
      <c r="H32" s="6" t="s">
        <v>39</v>
      </c>
      <c r="I32" s="6" t="s">
        <v>74</v>
      </c>
      <c r="J32" s="6" t="s">
        <v>75</v>
      </c>
      <c r="K32" s="6" t="s">
        <v>76</v>
      </c>
      <c r="L32" s="6" t="s">
        <v>77</v>
      </c>
      <c r="M32" s="6" t="s">
        <v>95</v>
      </c>
      <c r="N32" s="6" t="s">
        <v>79</v>
      </c>
      <c r="O32" s="6" t="s">
        <v>62</v>
      </c>
      <c r="P32" s="6">
        <v>8</v>
      </c>
      <c r="Q32" s="6">
        <v>128</v>
      </c>
      <c r="R32" s="6" t="s">
        <v>80</v>
      </c>
      <c r="S32" s="6" t="s">
        <v>47</v>
      </c>
      <c r="T32" s="6" t="s">
        <v>81</v>
      </c>
      <c r="U32" s="6" t="s">
        <v>82</v>
      </c>
      <c r="V32" s="6" t="s">
        <v>50</v>
      </c>
      <c r="W32" s="6" t="s">
        <v>96</v>
      </c>
      <c r="X32" s="6" t="s">
        <v>52</v>
      </c>
      <c r="Y32" s="6" t="s">
        <v>97</v>
      </c>
      <c r="Z32" s="6" t="s">
        <v>85</v>
      </c>
      <c r="AA32" s="6" t="s">
        <v>39</v>
      </c>
      <c r="AB32" s="7">
        <v>15999000</v>
      </c>
    </row>
    <row r="33" spans="1:28" ht="17.25" x14ac:dyDescent="0.25">
      <c r="A33" s="6">
        <v>14</v>
      </c>
      <c r="B33" s="25" t="s">
        <v>69</v>
      </c>
      <c r="C33" s="6" t="s">
        <v>92</v>
      </c>
      <c r="D33" s="6" t="s">
        <v>93</v>
      </c>
      <c r="E33" s="6" t="s">
        <v>94</v>
      </c>
      <c r="F33" s="6" t="s">
        <v>58</v>
      </c>
      <c r="G33" s="6" t="s">
        <v>39</v>
      </c>
      <c r="H33" s="6" t="s">
        <v>39</v>
      </c>
      <c r="I33" s="6" t="s">
        <v>74</v>
      </c>
      <c r="J33" s="6" t="s">
        <v>75</v>
      </c>
      <c r="K33" s="6" t="s">
        <v>76</v>
      </c>
      <c r="L33" s="6" t="s">
        <v>77</v>
      </c>
      <c r="M33" s="6" t="s">
        <v>95</v>
      </c>
      <c r="N33" s="6" t="s">
        <v>79</v>
      </c>
      <c r="O33" s="6" t="s">
        <v>62</v>
      </c>
      <c r="P33" s="6">
        <v>8</v>
      </c>
      <c r="Q33" s="6">
        <v>256</v>
      </c>
      <c r="R33" s="6" t="s">
        <v>80</v>
      </c>
      <c r="S33" s="6" t="s">
        <v>47</v>
      </c>
      <c r="T33" s="6" t="s">
        <v>81</v>
      </c>
      <c r="U33" s="6" t="s">
        <v>82</v>
      </c>
      <c r="V33" s="6" t="s">
        <v>50</v>
      </c>
      <c r="W33" s="6" t="s">
        <v>96</v>
      </c>
      <c r="X33" s="6" t="s">
        <v>52</v>
      </c>
      <c r="Y33" s="6" t="s">
        <v>97</v>
      </c>
      <c r="Z33" s="6" t="s">
        <v>85</v>
      </c>
      <c r="AA33" s="6" t="s">
        <v>39</v>
      </c>
      <c r="AB33" s="7">
        <v>18999000</v>
      </c>
    </row>
    <row r="34" spans="1:28" ht="17.25" x14ac:dyDescent="0.25">
      <c r="A34" s="6">
        <v>15</v>
      </c>
      <c r="B34" s="25" t="s">
        <v>69</v>
      </c>
      <c r="C34" s="6" t="s">
        <v>92</v>
      </c>
      <c r="D34" s="6" t="s">
        <v>93</v>
      </c>
      <c r="E34" s="6" t="s">
        <v>94</v>
      </c>
      <c r="F34" s="6" t="s">
        <v>73</v>
      </c>
      <c r="G34" s="6" t="s">
        <v>39</v>
      </c>
      <c r="H34" s="6" t="s">
        <v>39</v>
      </c>
      <c r="I34" s="6" t="s">
        <v>74</v>
      </c>
      <c r="J34" s="6" t="s">
        <v>75</v>
      </c>
      <c r="K34" s="6" t="s">
        <v>76</v>
      </c>
      <c r="L34" s="6" t="s">
        <v>77</v>
      </c>
      <c r="M34" s="6" t="s">
        <v>95</v>
      </c>
      <c r="N34" s="6" t="s">
        <v>79</v>
      </c>
      <c r="O34" s="6" t="s">
        <v>62</v>
      </c>
      <c r="P34" s="6">
        <v>8</v>
      </c>
      <c r="Q34" s="6">
        <v>512</v>
      </c>
      <c r="R34" s="6" t="s">
        <v>80</v>
      </c>
      <c r="S34" s="6" t="s">
        <v>47</v>
      </c>
      <c r="T34" s="6" t="s">
        <v>81</v>
      </c>
      <c r="U34" s="6" t="s">
        <v>82</v>
      </c>
      <c r="V34" s="6" t="s">
        <v>50</v>
      </c>
      <c r="W34" s="6" t="s">
        <v>96</v>
      </c>
      <c r="X34" s="6" t="s">
        <v>52</v>
      </c>
      <c r="Y34" s="6" t="s">
        <v>97</v>
      </c>
      <c r="Z34" s="6" t="s">
        <v>85</v>
      </c>
      <c r="AA34" s="6" t="s">
        <v>39</v>
      </c>
      <c r="AB34" s="7">
        <v>22999000</v>
      </c>
    </row>
    <row r="35" spans="1:28" ht="17.25" x14ac:dyDescent="0.25">
      <c r="A35" s="6">
        <v>16</v>
      </c>
      <c r="B35" s="25" t="s">
        <v>69</v>
      </c>
      <c r="C35" s="6" t="s">
        <v>98</v>
      </c>
      <c r="D35" s="6" t="s">
        <v>99</v>
      </c>
      <c r="E35" s="6" t="s">
        <v>100</v>
      </c>
      <c r="F35" s="6" t="s">
        <v>58</v>
      </c>
      <c r="G35" s="6" t="s">
        <v>39</v>
      </c>
      <c r="H35" s="6" t="s">
        <v>39</v>
      </c>
      <c r="I35" s="6" t="s">
        <v>74</v>
      </c>
      <c r="J35" s="6" t="s">
        <v>89</v>
      </c>
      <c r="K35" s="6" t="s">
        <v>90</v>
      </c>
      <c r="L35" s="6" t="s">
        <v>77</v>
      </c>
      <c r="M35" s="6" t="s">
        <v>95</v>
      </c>
      <c r="N35" s="6" t="s">
        <v>79</v>
      </c>
      <c r="O35" s="6" t="s">
        <v>62</v>
      </c>
      <c r="P35" s="6">
        <v>8</v>
      </c>
      <c r="Q35" s="6">
        <v>128</v>
      </c>
      <c r="R35" s="6" t="s">
        <v>80</v>
      </c>
      <c r="S35" s="6" t="s">
        <v>47</v>
      </c>
      <c r="T35" s="6" t="s">
        <v>81</v>
      </c>
      <c r="U35" s="6" t="s">
        <v>82</v>
      </c>
      <c r="V35" s="6" t="s">
        <v>50</v>
      </c>
      <c r="W35" s="6" t="s">
        <v>96</v>
      </c>
      <c r="X35" s="6" t="s">
        <v>52</v>
      </c>
      <c r="Y35" s="6" t="s">
        <v>101</v>
      </c>
      <c r="Z35" s="6" t="s">
        <v>85</v>
      </c>
      <c r="AA35" s="6" t="s">
        <v>39</v>
      </c>
      <c r="AB35" s="7">
        <v>15999000</v>
      </c>
    </row>
    <row r="36" spans="1:28" ht="17.25" x14ac:dyDescent="0.25">
      <c r="A36" s="6">
        <v>17</v>
      </c>
      <c r="B36" s="25" t="s">
        <v>69</v>
      </c>
      <c r="C36" s="6" t="s">
        <v>98</v>
      </c>
      <c r="D36" s="6" t="s">
        <v>99</v>
      </c>
      <c r="E36" s="6" t="s">
        <v>100</v>
      </c>
      <c r="F36" s="6" t="s">
        <v>58</v>
      </c>
      <c r="G36" s="6" t="s">
        <v>39</v>
      </c>
      <c r="H36" s="6" t="s">
        <v>39</v>
      </c>
      <c r="I36" s="6" t="s">
        <v>74</v>
      </c>
      <c r="J36" s="6" t="s">
        <v>89</v>
      </c>
      <c r="K36" s="6" t="s">
        <v>90</v>
      </c>
      <c r="L36" s="6" t="s">
        <v>77</v>
      </c>
      <c r="M36" s="6" t="s">
        <v>95</v>
      </c>
      <c r="N36" s="6" t="s">
        <v>79</v>
      </c>
      <c r="O36" s="6" t="s">
        <v>62</v>
      </c>
      <c r="P36" s="6">
        <v>8</v>
      </c>
      <c r="Q36" s="6">
        <v>256</v>
      </c>
      <c r="R36" s="6" t="s">
        <v>80</v>
      </c>
      <c r="S36" s="6" t="s">
        <v>47</v>
      </c>
      <c r="T36" s="6" t="s">
        <v>81</v>
      </c>
      <c r="U36" s="6" t="s">
        <v>82</v>
      </c>
      <c r="V36" s="6" t="s">
        <v>50</v>
      </c>
      <c r="W36" s="6" t="s">
        <v>96</v>
      </c>
      <c r="X36" s="6" t="s">
        <v>52</v>
      </c>
      <c r="Y36" s="6" t="s">
        <v>101</v>
      </c>
      <c r="Z36" s="6" t="s">
        <v>85</v>
      </c>
      <c r="AA36" s="6" t="s">
        <v>39</v>
      </c>
      <c r="AB36" s="7">
        <v>18999000</v>
      </c>
    </row>
    <row r="37" spans="1:28" ht="17.25" x14ac:dyDescent="0.25">
      <c r="A37" s="6">
        <v>18</v>
      </c>
      <c r="B37" s="25" t="s">
        <v>69</v>
      </c>
      <c r="C37" s="6" t="s">
        <v>98</v>
      </c>
      <c r="D37" s="6" t="s">
        <v>99</v>
      </c>
      <c r="E37" s="6" t="s">
        <v>100</v>
      </c>
      <c r="F37" s="6" t="s">
        <v>58</v>
      </c>
      <c r="G37" s="6" t="s">
        <v>39</v>
      </c>
      <c r="H37" s="6" t="s">
        <v>39</v>
      </c>
      <c r="I37" s="6" t="s">
        <v>74</v>
      </c>
      <c r="J37" s="6" t="s">
        <v>89</v>
      </c>
      <c r="K37" s="6" t="s">
        <v>90</v>
      </c>
      <c r="L37" s="6" t="s">
        <v>77</v>
      </c>
      <c r="M37" s="6" t="s">
        <v>95</v>
      </c>
      <c r="N37" s="6" t="s">
        <v>79</v>
      </c>
      <c r="O37" s="6" t="s">
        <v>62</v>
      </c>
      <c r="P37" s="6">
        <v>8</v>
      </c>
      <c r="Q37" s="6">
        <v>512</v>
      </c>
      <c r="R37" s="6" t="s">
        <v>80</v>
      </c>
      <c r="S37" s="6" t="s">
        <v>47</v>
      </c>
      <c r="T37" s="6" t="s">
        <v>81</v>
      </c>
      <c r="U37" s="6" t="s">
        <v>82</v>
      </c>
      <c r="V37" s="6" t="s">
        <v>50</v>
      </c>
      <c r="W37" s="6" t="s">
        <v>96</v>
      </c>
      <c r="X37" s="6" t="s">
        <v>52</v>
      </c>
      <c r="Y37" s="6" t="s">
        <v>101</v>
      </c>
      <c r="Z37" s="6" t="s">
        <v>85</v>
      </c>
      <c r="AA37" s="6" t="s">
        <v>39</v>
      </c>
      <c r="AB37" s="7">
        <v>22999000</v>
      </c>
    </row>
    <row r="38" spans="1:28" ht="17.25" x14ac:dyDescent="0.25">
      <c r="A38" s="6">
        <v>19</v>
      </c>
      <c r="B38" s="25" t="s">
        <v>102</v>
      </c>
      <c r="C38" s="6" t="s">
        <v>103</v>
      </c>
      <c r="D38" s="6" t="s">
        <v>104</v>
      </c>
      <c r="E38" s="6" t="s">
        <v>105</v>
      </c>
      <c r="F38" s="6" t="s">
        <v>73</v>
      </c>
      <c r="G38" s="6" t="s">
        <v>39</v>
      </c>
      <c r="H38" s="6" t="s">
        <v>39</v>
      </c>
      <c r="I38" s="6" t="s">
        <v>106</v>
      </c>
      <c r="J38" s="6" t="s">
        <v>107</v>
      </c>
      <c r="K38" s="6" t="s">
        <v>108</v>
      </c>
      <c r="L38" s="6" t="s">
        <v>109</v>
      </c>
      <c r="M38" s="6" t="s">
        <v>110</v>
      </c>
      <c r="N38" s="6" t="s">
        <v>45</v>
      </c>
      <c r="O38" s="6" t="s">
        <v>62</v>
      </c>
      <c r="P38" s="6">
        <v>8</v>
      </c>
      <c r="Q38" s="6">
        <v>512</v>
      </c>
      <c r="R38" s="6" t="s">
        <v>46</v>
      </c>
      <c r="S38" s="6" t="s">
        <v>63</v>
      </c>
      <c r="T38" s="6" t="s">
        <v>64</v>
      </c>
      <c r="U38" s="6" t="s">
        <v>82</v>
      </c>
      <c r="V38" s="6" t="s">
        <v>50</v>
      </c>
      <c r="W38" s="6" t="s">
        <v>111</v>
      </c>
      <c r="X38" s="6" t="s">
        <v>83</v>
      </c>
      <c r="Y38" s="6" t="s">
        <v>112</v>
      </c>
      <c r="Z38" s="6" t="s">
        <v>85</v>
      </c>
      <c r="AA38" s="6" t="s">
        <v>39</v>
      </c>
      <c r="AB38" s="7">
        <v>15999000</v>
      </c>
    </row>
    <row r="39" spans="1:28" ht="17.25" x14ac:dyDescent="0.25">
      <c r="A39" s="6">
        <v>20</v>
      </c>
      <c r="B39" s="25" t="s">
        <v>102</v>
      </c>
      <c r="C39" s="6" t="s">
        <v>113</v>
      </c>
      <c r="D39" s="6" t="s">
        <v>114</v>
      </c>
      <c r="E39" s="6" t="s">
        <v>115</v>
      </c>
      <c r="F39" s="6" t="s">
        <v>73</v>
      </c>
      <c r="G39" s="6" t="s">
        <v>39</v>
      </c>
      <c r="H39" s="6" t="s">
        <v>39</v>
      </c>
      <c r="I39" s="6" t="s">
        <v>106</v>
      </c>
      <c r="J39" s="6" t="s">
        <v>116</v>
      </c>
      <c r="K39" s="6" t="s">
        <v>117</v>
      </c>
      <c r="L39" s="6" t="s">
        <v>109</v>
      </c>
      <c r="M39" s="6" t="s">
        <v>110</v>
      </c>
      <c r="N39" s="6" t="s">
        <v>45</v>
      </c>
      <c r="O39" s="6" t="s">
        <v>62</v>
      </c>
      <c r="P39" s="6">
        <v>12</v>
      </c>
      <c r="Q39" s="6">
        <v>512</v>
      </c>
      <c r="R39" s="6" t="s">
        <v>118</v>
      </c>
      <c r="S39" s="6" t="s">
        <v>119</v>
      </c>
      <c r="T39" s="6" t="s">
        <v>120</v>
      </c>
      <c r="U39" s="6" t="s">
        <v>82</v>
      </c>
      <c r="V39" s="6" t="s">
        <v>50</v>
      </c>
      <c r="W39" s="6" t="s">
        <v>111</v>
      </c>
      <c r="X39" s="6" t="s">
        <v>83</v>
      </c>
      <c r="Y39" s="6" t="s">
        <v>121</v>
      </c>
      <c r="Z39" s="6" t="s">
        <v>85</v>
      </c>
      <c r="AA39" s="6" t="s">
        <v>39</v>
      </c>
      <c r="AB39" s="7">
        <v>23999000</v>
      </c>
    </row>
    <row r="40" spans="1:28" ht="17.25" x14ac:dyDescent="0.25">
      <c r="A40" s="6">
        <v>21</v>
      </c>
      <c r="B40" s="25" t="s">
        <v>102</v>
      </c>
      <c r="C40" s="6" t="s">
        <v>113</v>
      </c>
      <c r="D40" s="6" t="s">
        <v>114</v>
      </c>
      <c r="E40" s="6" t="s">
        <v>115</v>
      </c>
      <c r="F40" s="6" t="s">
        <v>73</v>
      </c>
      <c r="G40" s="6" t="s">
        <v>39</v>
      </c>
      <c r="H40" s="6" t="s">
        <v>39</v>
      </c>
      <c r="I40" s="6" t="s">
        <v>106</v>
      </c>
      <c r="J40" s="6" t="s">
        <v>116</v>
      </c>
      <c r="K40" s="6" t="s">
        <v>117</v>
      </c>
      <c r="L40" s="6" t="s">
        <v>109</v>
      </c>
      <c r="M40" s="6" t="s">
        <v>110</v>
      </c>
      <c r="N40" s="6" t="s">
        <v>45</v>
      </c>
      <c r="O40" s="6" t="s">
        <v>62</v>
      </c>
      <c r="P40" s="6">
        <v>12</v>
      </c>
      <c r="Q40" s="6">
        <v>1000</v>
      </c>
      <c r="R40" s="6" t="s">
        <v>118</v>
      </c>
      <c r="S40" s="6" t="s">
        <v>119</v>
      </c>
      <c r="T40" s="6" t="s">
        <v>120</v>
      </c>
      <c r="U40" s="6" t="s">
        <v>82</v>
      </c>
      <c r="V40" s="6" t="s">
        <v>50</v>
      </c>
      <c r="W40" s="6" t="s">
        <v>111</v>
      </c>
      <c r="X40" s="6" t="s">
        <v>83</v>
      </c>
      <c r="Y40" s="6" t="s">
        <v>121</v>
      </c>
      <c r="Z40" s="6" t="s">
        <v>85</v>
      </c>
      <c r="AA40" s="6" t="s">
        <v>39</v>
      </c>
      <c r="AB40" s="7">
        <v>27999000</v>
      </c>
    </row>
    <row r="41" spans="1:28" ht="17.25" x14ac:dyDescent="0.25">
      <c r="A41" s="6">
        <v>22</v>
      </c>
      <c r="B41" s="25" t="s">
        <v>102</v>
      </c>
      <c r="C41" s="6" t="s">
        <v>122</v>
      </c>
      <c r="D41" s="6" t="s">
        <v>123</v>
      </c>
      <c r="E41" s="6" t="s">
        <v>124</v>
      </c>
      <c r="F41" s="6" t="s">
        <v>58</v>
      </c>
      <c r="G41" s="6" t="s">
        <v>39</v>
      </c>
      <c r="H41" s="6" t="s">
        <v>39</v>
      </c>
      <c r="I41" s="6" t="s">
        <v>106</v>
      </c>
      <c r="J41" s="6" t="s">
        <v>75</v>
      </c>
      <c r="K41" s="6" t="s">
        <v>117</v>
      </c>
      <c r="L41" s="6" t="s">
        <v>109</v>
      </c>
      <c r="M41" s="6" t="s">
        <v>110</v>
      </c>
      <c r="N41" s="6" t="s">
        <v>125</v>
      </c>
      <c r="O41" s="6" t="s">
        <v>62</v>
      </c>
      <c r="P41" s="6">
        <v>12</v>
      </c>
      <c r="Q41" s="6">
        <v>512</v>
      </c>
      <c r="R41" s="6" t="s">
        <v>46</v>
      </c>
      <c r="S41" s="6" t="s">
        <v>63</v>
      </c>
      <c r="T41" s="6" t="s">
        <v>126</v>
      </c>
      <c r="U41" s="6" t="s">
        <v>82</v>
      </c>
      <c r="V41" s="6" t="s">
        <v>50</v>
      </c>
      <c r="W41" s="6" t="s">
        <v>111</v>
      </c>
      <c r="X41" s="6" t="s">
        <v>83</v>
      </c>
      <c r="Y41" s="6" t="s">
        <v>127</v>
      </c>
      <c r="Z41" s="6" t="s">
        <v>85</v>
      </c>
      <c r="AA41" s="6" t="s">
        <v>39</v>
      </c>
      <c r="AB41" s="7">
        <v>18999000</v>
      </c>
    </row>
    <row r="42" spans="1:28" ht="17.25" x14ac:dyDescent="0.25">
      <c r="A42" s="6">
        <v>23</v>
      </c>
      <c r="B42" s="25" t="s">
        <v>102</v>
      </c>
      <c r="C42" s="6" t="s">
        <v>113</v>
      </c>
      <c r="D42" s="6" t="s">
        <v>114</v>
      </c>
      <c r="E42" s="6" t="s">
        <v>115</v>
      </c>
      <c r="F42" s="6" t="s">
        <v>73</v>
      </c>
      <c r="G42" s="6" t="s">
        <v>39</v>
      </c>
      <c r="H42" s="6" t="s">
        <v>39</v>
      </c>
      <c r="I42" s="6" t="s">
        <v>106</v>
      </c>
      <c r="J42" s="6" t="s">
        <v>116</v>
      </c>
      <c r="K42" s="6" t="s">
        <v>117</v>
      </c>
      <c r="L42" s="6" t="s">
        <v>109</v>
      </c>
      <c r="M42" s="6" t="s">
        <v>110</v>
      </c>
      <c r="N42" s="6" t="s">
        <v>45</v>
      </c>
      <c r="O42" s="6" t="s">
        <v>62</v>
      </c>
      <c r="P42" s="6">
        <v>12</v>
      </c>
      <c r="Q42" s="6">
        <v>1000</v>
      </c>
      <c r="R42" s="6" t="s">
        <v>118</v>
      </c>
      <c r="S42" s="6" t="s">
        <v>119</v>
      </c>
      <c r="T42" s="6" t="s">
        <v>120</v>
      </c>
      <c r="U42" s="6" t="s">
        <v>82</v>
      </c>
      <c r="V42" s="6" t="s">
        <v>50</v>
      </c>
      <c r="W42" s="6" t="s">
        <v>111</v>
      </c>
      <c r="X42" s="6" t="s">
        <v>83</v>
      </c>
      <c r="Y42" s="6" t="s">
        <v>121</v>
      </c>
      <c r="Z42" s="6" t="s">
        <v>85</v>
      </c>
      <c r="AA42" s="6" t="s">
        <v>39</v>
      </c>
      <c r="AB42" s="7">
        <v>21999000</v>
      </c>
    </row>
    <row r="43" spans="1:28" ht="17.25" x14ac:dyDescent="0.25">
      <c r="A43" s="6">
        <v>24</v>
      </c>
      <c r="B43" s="25" t="s">
        <v>102</v>
      </c>
      <c r="C43" s="6" t="s">
        <v>128</v>
      </c>
      <c r="D43" s="6" t="s">
        <v>129</v>
      </c>
      <c r="E43" s="6" t="s">
        <v>130</v>
      </c>
      <c r="F43" s="6" t="s">
        <v>131</v>
      </c>
      <c r="G43" s="6" t="s">
        <v>39</v>
      </c>
      <c r="H43" s="6" t="s">
        <v>39</v>
      </c>
      <c r="I43" s="6" t="s">
        <v>132</v>
      </c>
      <c r="J43" s="6" t="s">
        <v>133</v>
      </c>
      <c r="K43" s="6" t="s">
        <v>108</v>
      </c>
      <c r="L43" s="6" t="s">
        <v>43</v>
      </c>
      <c r="M43" s="6" t="s">
        <v>134</v>
      </c>
      <c r="N43" s="6" t="s">
        <v>45</v>
      </c>
      <c r="O43" s="6" t="s">
        <v>62</v>
      </c>
      <c r="P43" s="6">
        <v>8</v>
      </c>
      <c r="Q43" s="6">
        <v>256</v>
      </c>
      <c r="R43" s="6" t="s">
        <v>46</v>
      </c>
      <c r="S43" s="6" t="s">
        <v>63</v>
      </c>
      <c r="T43" s="6" t="s">
        <v>64</v>
      </c>
      <c r="U43" s="6" t="s">
        <v>135</v>
      </c>
      <c r="V43" s="6" t="s">
        <v>50</v>
      </c>
      <c r="W43" s="6" t="s">
        <v>136</v>
      </c>
      <c r="X43" s="6" t="s">
        <v>137</v>
      </c>
      <c r="Y43" s="6" t="s">
        <v>138</v>
      </c>
      <c r="Z43" s="6" t="s">
        <v>85</v>
      </c>
      <c r="AA43" s="6" t="s">
        <v>39</v>
      </c>
      <c r="AB43" s="7">
        <v>9999000</v>
      </c>
    </row>
    <row r="44" spans="1:28" ht="17.25" x14ac:dyDescent="0.25">
      <c r="A44" s="6">
        <v>25</v>
      </c>
      <c r="B44" s="25" t="s">
        <v>102</v>
      </c>
      <c r="C44" s="6" t="s">
        <v>128</v>
      </c>
      <c r="D44" s="6" t="s">
        <v>129</v>
      </c>
      <c r="E44" s="6" t="s">
        <v>130</v>
      </c>
      <c r="F44" s="6" t="s">
        <v>131</v>
      </c>
      <c r="G44" s="6" t="s">
        <v>39</v>
      </c>
      <c r="H44" s="6" t="s">
        <v>39</v>
      </c>
      <c r="I44" s="6" t="s">
        <v>132</v>
      </c>
      <c r="J44" s="6" t="s">
        <v>133</v>
      </c>
      <c r="K44" s="6" t="s">
        <v>108</v>
      </c>
      <c r="L44" s="6" t="s">
        <v>43</v>
      </c>
      <c r="M44" s="6" t="s">
        <v>134</v>
      </c>
      <c r="N44" s="6" t="s">
        <v>45</v>
      </c>
      <c r="O44" s="6" t="s">
        <v>62</v>
      </c>
      <c r="P44" s="6">
        <v>8</v>
      </c>
      <c r="Q44" s="6">
        <v>128</v>
      </c>
      <c r="R44" s="6" t="s">
        <v>46</v>
      </c>
      <c r="S44" s="6" t="s">
        <v>63</v>
      </c>
      <c r="T44" s="6" t="s">
        <v>64</v>
      </c>
      <c r="U44" s="6" t="s">
        <v>135</v>
      </c>
      <c r="V44" s="6" t="s">
        <v>50</v>
      </c>
      <c r="W44" s="6" t="s">
        <v>136</v>
      </c>
      <c r="X44" s="6" t="s">
        <v>137</v>
      </c>
      <c r="Y44" s="6" t="s">
        <v>138</v>
      </c>
      <c r="Z44" s="6" t="s">
        <v>85</v>
      </c>
      <c r="AA44" s="6" t="s">
        <v>39</v>
      </c>
      <c r="AB44" s="7">
        <v>8999000</v>
      </c>
    </row>
    <row r="45" spans="1:28" ht="17.25" x14ac:dyDescent="0.25">
      <c r="A45" s="6">
        <v>26</v>
      </c>
      <c r="B45" s="25" t="s">
        <v>102</v>
      </c>
      <c r="C45" s="6" t="s">
        <v>139</v>
      </c>
      <c r="D45" s="6" t="s">
        <v>140</v>
      </c>
      <c r="E45" s="6" t="s">
        <v>141</v>
      </c>
      <c r="F45" s="6" t="s">
        <v>131</v>
      </c>
      <c r="G45" s="6" t="s">
        <v>39</v>
      </c>
      <c r="H45" s="6" t="s">
        <v>39</v>
      </c>
      <c r="I45" s="6" t="s">
        <v>132</v>
      </c>
      <c r="J45" s="6" t="s">
        <v>142</v>
      </c>
      <c r="K45" s="6" t="s">
        <v>143</v>
      </c>
      <c r="L45" s="6" t="s">
        <v>43</v>
      </c>
      <c r="M45" s="6" t="s">
        <v>44</v>
      </c>
      <c r="N45" s="6" t="s">
        <v>45</v>
      </c>
      <c r="O45" s="6" t="s">
        <v>62</v>
      </c>
      <c r="P45" s="6">
        <v>12</v>
      </c>
      <c r="Q45" s="6">
        <v>512</v>
      </c>
      <c r="R45" s="6" t="s">
        <v>118</v>
      </c>
      <c r="S45" s="6" t="s">
        <v>119</v>
      </c>
      <c r="T45" s="6" t="s">
        <v>144</v>
      </c>
      <c r="U45" s="6" t="s">
        <v>82</v>
      </c>
      <c r="V45" s="6" t="s">
        <v>50</v>
      </c>
      <c r="W45" s="6" t="s">
        <v>111</v>
      </c>
      <c r="X45" s="6" t="s">
        <v>145</v>
      </c>
      <c r="Y45" s="6" t="s">
        <v>121</v>
      </c>
      <c r="Z45" s="6" t="s">
        <v>85</v>
      </c>
      <c r="AA45" s="6" t="s">
        <v>39</v>
      </c>
      <c r="AB45" s="7">
        <v>19999000</v>
      </c>
    </row>
    <row r="46" spans="1:28" ht="17.25" x14ac:dyDescent="0.25">
      <c r="A46" s="6">
        <v>27</v>
      </c>
      <c r="B46" s="25" t="s">
        <v>102</v>
      </c>
      <c r="C46" s="6" t="s">
        <v>146</v>
      </c>
      <c r="D46" s="6" t="s">
        <v>147</v>
      </c>
      <c r="E46" s="6" t="s">
        <v>124</v>
      </c>
      <c r="F46" s="6" t="s">
        <v>131</v>
      </c>
      <c r="G46" s="6" t="s">
        <v>39</v>
      </c>
      <c r="H46" s="6" t="s">
        <v>39</v>
      </c>
      <c r="I46" s="6" t="s">
        <v>132</v>
      </c>
      <c r="J46" s="6" t="s">
        <v>148</v>
      </c>
      <c r="K46" s="6" t="s">
        <v>108</v>
      </c>
      <c r="L46" s="6" t="s">
        <v>43</v>
      </c>
      <c r="M46" s="6" t="s">
        <v>44</v>
      </c>
      <c r="N46" s="6" t="s">
        <v>45</v>
      </c>
      <c r="O46" s="6" t="s">
        <v>62</v>
      </c>
      <c r="P46" s="6">
        <v>8</v>
      </c>
      <c r="Q46" s="6">
        <v>256</v>
      </c>
      <c r="R46" s="6" t="s">
        <v>46</v>
      </c>
      <c r="S46" s="6" t="s">
        <v>63</v>
      </c>
      <c r="T46" s="6" t="s">
        <v>144</v>
      </c>
      <c r="U46" s="6" t="s">
        <v>82</v>
      </c>
      <c r="V46" s="6" t="s">
        <v>50</v>
      </c>
      <c r="W46" s="6" t="s">
        <v>111</v>
      </c>
      <c r="X46" s="6" t="s">
        <v>145</v>
      </c>
      <c r="Y46" s="6" t="s">
        <v>149</v>
      </c>
      <c r="Z46" s="6" t="s">
        <v>85</v>
      </c>
      <c r="AA46" s="6" t="s">
        <v>39</v>
      </c>
      <c r="AB46" s="7">
        <v>15999000</v>
      </c>
    </row>
    <row r="47" spans="1:28" ht="17.25" x14ac:dyDescent="0.25">
      <c r="A47" s="6">
        <v>28</v>
      </c>
      <c r="B47" s="26" t="s">
        <v>102</v>
      </c>
      <c r="C47" s="27" t="s">
        <v>150</v>
      </c>
      <c r="D47" s="27" t="s">
        <v>151</v>
      </c>
      <c r="E47" s="28" t="s">
        <v>152</v>
      </c>
      <c r="F47" s="27" t="s">
        <v>131</v>
      </c>
      <c r="G47" s="27" t="s">
        <v>39</v>
      </c>
      <c r="H47" s="27" t="s">
        <v>39</v>
      </c>
      <c r="I47" s="27" t="s">
        <v>132</v>
      </c>
      <c r="J47" s="27" t="s">
        <v>153</v>
      </c>
      <c r="K47" s="27" t="s">
        <v>108</v>
      </c>
      <c r="L47" s="27" t="s">
        <v>43</v>
      </c>
      <c r="M47" s="27" t="s">
        <v>44</v>
      </c>
      <c r="N47" s="27" t="s">
        <v>45</v>
      </c>
      <c r="O47" s="27" t="s">
        <v>62</v>
      </c>
      <c r="P47" s="27">
        <v>8</v>
      </c>
      <c r="Q47" s="27">
        <v>256</v>
      </c>
      <c r="R47" s="27" t="s">
        <v>46</v>
      </c>
      <c r="S47" s="27" t="s">
        <v>63</v>
      </c>
      <c r="T47" s="27" t="s">
        <v>144</v>
      </c>
      <c r="U47" s="27" t="s">
        <v>82</v>
      </c>
      <c r="V47" s="27" t="s">
        <v>50</v>
      </c>
      <c r="W47" s="27" t="s">
        <v>111</v>
      </c>
      <c r="X47" s="27" t="s">
        <v>145</v>
      </c>
      <c r="Y47" s="27" t="s">
        <v>154</v>
      </c>
      <c r="Z47" s="27" t="s">
        <v>85</v>
      </c>
      <c r="AA47" s="27" t="s">
        <v>39</v>
      </c>
      <c r="AB47" s="29">
        <v>13999000</v>
      </c>
    </row>
    <row r="50" spans="1:28" x14ac:dyDescent="0.25">
      <c r="A50" s="1"/>
      <c r="B50" s="1"/>
      <c r="C50" s="1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2"/>
    </row>
    <row r="51" spans="1:28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5"/>
    </row>
    <row r="52" spans="1:28" x14ac:dyDescent="0.25">
      <c r="A52" s="6"/>
      <c r="B52" s="6"/>
      <c r="C52" s="6"/>
      <c r="D52" s="2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7"/>
    </row>
    <row r="53" spans="1:28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7"/>
    </row>
    <row r="54" spans="1:2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7"/>
    </row>
    <row r="55" spans="1:2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7"/>
    </row>
    <row r="56" spans="1:28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7"/>
    </row>
    <row r="57" spans="1:28" x14ac:dyDescent="0.25">
      <c r="A57" s="6"/>
      <c r="B57" s="6"/>
      <c r="C57" s="6"/>
      <c r="D57" s="8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10"/>
    </row>
    <row r="58" spans="1:28" x14ac:dyDescent="0.25">
      <c r="A58" s="6"/>
      <c r="B58" s="6"/>
      <c r="C58" s="6"/>
      <c r="D58" s="8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7"/>
    </row>
    <row r="59" spans="1:28" x14ac:dyDescent="0.25">
      <c r="A59" s="6"/>
      <c r="B59" s="6"/>
      <c r="C59" s="6"/>
      <c r="D59" s="8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7"/>
    </row>
    <row r="60" spans="1:28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7"/>
    </row>
    <row r="61" spans="1:28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7"/>
    </row>
    <row r="62" spans="1:28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7"/>
    </row>
    <row r="63" spans="1:28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7"/>
    </row>
    <row r="64" spans="1:2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7"/>
    </row>
    <row r="65" spans="1:28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7"/>
    </row>
    <row r="66" spans="1:28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7"/>
    </row>
    <row r="67" spans="1:28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7"/>
    </row>
    <row r="68" spans="1:28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7"/>
    </row>
    <row r="69" spans="1:28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7"/>
    </row>
    <row r="70" spans="1:28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7"/>
    </row>
    <row r="71" spans="1:28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7"/>
    </row>
    <row r="72" spans="1:28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7"/>
    </row>
    <row r="73" spans="1:28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7"/>
    </row>
    <row r="74" spans="1:28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7"/>
    </row>
    <row r="75" spans="1:28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7"/>
    </row>
    <row r="76" spans="1:28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7"/>
    </row>
    <row r="77" spans="1:28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7"/>
    </row>
    <row r="78" spans="1:28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7"/>
    </row>
    <row r="79" spans="1:28" x14ac:dyDescent="0.25">
      <c r="A79" s="6"/>
      <c r="B79" s="6"/>
      <c r="C79" s="6"/>
      <c r="D79" s="6"/>
      <c r="E79" s="11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7"/>
    </row>
  </sheetData>
  <mergeCells count="16">
    <mergeCell ref="D2:E2"/>
    <mergeCell ref="D18:H18"/>
    <mergeCell ref="I18:K18"/>
    <mergeCell ref="L18:N18"/>
    <mergeCell ref="O18:Q18"/>
    <mergeCell ref="C14:D14"/>
    <mergeCell ref="U18:W18"/>
    <mergeCell ref="X18:AA18"/>
    <mergeCell ref="D50:H50"/>
    <mergeCell ref="I50:K50"/>
    <mergeCell ref="L50:N50"/>
    <mergeCell ref="O50:Q50"/>
    <mergeCell ref="R50:T50"/>
    <mergeCell ref="U50:W50"/>
    <mergeCell ref="X50:AA50"/>
    <mergeCell ref="R18:T18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BE33-F9FC-4454-8158-017893CFA405}">
  <dimension ref="B5:K38"/>
  <sheetViews>
    <sheetView topLeftCell="A29" workbookViewId="0">
      <selection activeCell="B31" sqref="B31:C38"/>
    </sheetView>
  </sheetViews>
  <sheetFormatPr defaultRowHeight="15" x14ac:dyDescent="0.25"/>
  <cols>
    <col min="2" max="2" width="22.7109375" bestFit="1" customWidth="1"/>
    <col min="3" max="3" width="17.5703125" bestFit="1" customWidth="1"/>
    <col min="4" max="4" width="24.5703125" bestFit="1" customWidth="1"/>
    <col min="5" max="5" width="11.5703125" bestFit="1" customWidth="1"/>
    <col min="6" max="6" width="19.7109375" bestFit="1" customWidth="1"/>
    <col min="7" max="7" width="17.5703125" bestFit="1" customWidth="1"/>
    <col min="8" max="8" width="22.28515625" bestFit="1" customWidth="1"/>
    <col min="9" max="9" width="15.7109375" customWidth="1"/>
    <col min="10" max="10" width="28.28515625" bestFit="1" customWidth="1"/>
  </cols>
  <sheetData>
    <row r="5" spans="4:11" x14ac:dyDescent="0.25">
      <c r="D5" s="36" t="s">
        <v>220</v>
      </c>
      <c r="E5" t="s">
        <v>269</v>
      </c>
      <c r="F5" s="36" t="s">
        <v>265</v>
      </c>
      <c r="G5" t="s">
        <v>269</v>
      </c>
      <c r="H5" s="36" t="s">
        <v>266</v>
      </c>
      <c r="J5" s="36" t="s">
        <v>19</v>
      </c>
      <c r="K5" t="s">
        <v>269</v>
      </c>
    </row>
    <row r="6" spans="4:11" x14ac:dyDescent="0.25">
      <c r="D6" s="37" t="s">
        <v>199</v>
      </c>
      <c r="E6" s="37">
        <v>80</v>
      </c>
      <c r="F6" s="37" t="s">
        <v>187</v>
      </c>
      <c r="G6" s="37">
        <v>70</v>
      </c>
      <c r="H6" s="37" t="s">
        <v>59</v>
      </c>
      <c r="I6">
        <v>70</v>
      </c>
      <c r="J6" s="37" t="s">
        <v>43</v>
      </c>
      <c r="K6">
        <v>70</v>
      </c>
    </row>
    <row r="7" spans="4:11" x14ac:dyDescent="0.25">
      <c r="D7" s="37" t="s">
        <v>191</v>
      </c>
      <c r="E7" s="37">
        <v>90</v>
      </c>
      <c r="F7" s="37" t="s">
        <v>184</v>
      </c>
      <c r="G7" s="37">
        <v>50</v>
      </c>
      <c r="H7" s="37" t="s">
        <v>132</v>
      </c>
      <c r="I7">
        <v>80</v>
      </c>
      <c r="J7" s="37" t="s">
        <v>109</v>
      </c>
      <c r="K7">
        <v>80</v>
      </c>
    </row>
    <row r="8" spans="4:11" x14ac:dyDescent="0.25">
      <c r="D8" s="37" t="s">
        <v>264</v>
      </c>
      <c r="F8" s="37" t="s">
        <v>264</v>
      </c>
      <c r="H8" s="37" t="s">
        <v>106</v>
      </c>
      <c r="I8">
        <v>85</v>
      </c>
      <c r="J8" s="37" t="s">
        <v>77</v>
      </c>
      <c r="K8">
        <v>90</v>
      </c>
    </row>
    <row r="9" spans="4:11" x14ac:dyDescent="0.25">
      <c r="H9" s="37" t="s">
        <v>40</v>
      </c>
      <c r="I9">
        <v>75</v>
      </c>
      <c r="J9" s="37" t="s">
        <v>264</v>
      </c>
    </row>
    <row r="10" spans="4:11" x14ac:dyDescent="0.25">
      <c r="H10" s="37" t="s">
        <v>74</v>
      </c>
      <c r="I10">
        <v>90</v>
      </c>
    </row>
    <row r="11" spans="4:11" x14ac:dyDescent="0.25">
      <c r="H11" s="37" t="s">
        <v>264</v>
      </c>
    </row>
    <row r="19" spans="2:9" x14ac:dyDescent="0.25">
      <c r="D19" s="36" t="s">
        <v>267</v>
      </c>
      <c r="E19" t="s">
        <v>270</v>
      </c>
      <c r="F19" s="36" t="s">
        <v>21</v>
      </c>
      <c r="G19" t="s">
        <v>269</v>
      </c>
      <c r="H19" s="36" t="s">
        <v>268</v>
      </c>
      <c r="I19" s="37" t="s">
        <v>269</v>
      </c>
    </row>
    <row r="20" spans="2:9" x14ac:dyDescent="0.25">
      <c r="D20" s="37" t="s">
        <v>95</v>
      </c>
      <c r="E20">
        <v>78</v>
      </c>
      <c r="F20" s="37" t="s">
        <v>125</v>
      </c>
      <c r="G20" s="37">
        <v>6</v>
      </c>
      <c r="H20" s="37" t="s">
        <v>47</v>
      </c>
      <c r="I20" s="37">
        <v>20</v>
      </c>
    </row>
    <row r="21" spans="2:9" x14ac:dyDescent="0.25">
      <c r="D21" s="37" t="s">
        <v>78</v>
      </c>
      <c r="E21">
        <v>79</v>
      </c>
      <c r="F21" s="37" t="s">
        <v>79</v>
      </c>
      <c r="G21" s="37">
        <v>8</v>
      </c>
      <c r="H21" s="37" t="s">
        <v>119</v>
      </c>
      <c r="I21" s="37">
        <v>60</v>
      </c>
    </row>
    <row r="22" spans="2:9" x14ac:dyDescent="0.25">
      <c r="D22" s="37" t="s">
        <v>134</v>
      </c>
      <c r="E22">
        <v>92</v>
      </c>
      <c r="F22" s="37" t="s">
        <v>45</v>
      </c>
      <c r="G22" s="37">
        <v>10</v>
      </c>
      <c r="H22" s="37" t="s">
        <v>63</v>
      </c>
      <c r="I22" s="37">
        <v>40</v>
      </c>
    </row>
    <row r="23" spans="2:9" x14ac:dyDescent="0.25">
      <c r="D23" s="37" t="s">
        <v>44</v>
      </c>
      <c r="E23">
        <v>85</v>
      </c>
      <c r="F23" s="37" t="s">
        <v>264</v>
      </c>
      <c r="H23" s="37" t="s">
        <v>264</v>
      </c>
    </row>
    <row r="24" spans="2:9" x14ac:dyDescent="0.25">
      <c r="D24" s="37" t="s">
        <v>110</v>
      </c>
      <c r="E24">
        <v>85</v>
      </c>
    </row>
    <row r="25" spans="2:9" x14ac:dyDescent="0.25">
      <c r="D25" s="37" t="s">
        <v>264</v>
      </c>
    </row>
    <row r="27" spans="2:9" x14ac:dyDescent="0.25">
      <c r="H27" s="41" t="s">
        <v>5</v>
      </c>
      <c r="I27" s="41" t="s">
        <v>269</v>
      </c>
    </row>
    <row r="28" spans="2:9" x14ac:dyDescent="0.25">
      <c r="H28" s="42" t="s">
        <v>51</v>
      </c>
      <c r="I28" s="41">
        <v>60</v>
      </c>
    </row>
    <row r="29" spans="2:9" x14ac:dyDescent="0.25">
      <c r="H29" s="43" t="s">
        <v>192</v>
      </c>
      <c r="I29" s="41">
        <v>85</v>
      </c>
    </row>
    <row r="30" spans="2:9" x14ac:dyDescent="0.25">
      <c r="H30" s="42" t="s">
        <v>194</v>
      </c>
      <c r="I30" s="41">
        <v>80</v>
      </c>
    </row>
    <row r="31" spans="2:9" x14ac:dyDescent="0.25">
      <c r="B31" t="s">
        <v>271</v>
      </c>
      <c r="C31" t="s">
        <v>269</v>
      </c>
      <c r="H31" s="43" t="s">
        <v>190</v>
      </c>
      <c r="I31" s="41">
        <v>90</v>
      </c>
    </row>
    <row r="32" spans="2:9" x14ac:dyDescent="0.25">
      <c r="B32" s="38" t="s">
        <v>185</v>
      </c>
      <c r="C32">
        <v>75</v>
      </c>
      <c r="D32" s="36" t="s">
        <v>229</v>
      </c>
      <c r="E32" t="s">
        <v>269</v>
      </c>
      <c r="H32" s="46" t="s">
        <v>193</v>
      </c>
      <c r="I32" s="45">
        <v>75</v>
      </c>
    </row>
    <row r="33" spans="2:9" x14ac:dyDescent="0.25">
      <c r="B33" s="39" t="s">
        <v>192</v>
      </c>
      <c r="C33">
        <v>90</v>
      </c>
      <c r="D33" s="37" t="s">
        <v>52</v>
      </c>
      <c r="E33">
        <v>20</v>
      </c>
      <c r="H33" s="44" t="s">
        <v>200</v>
      </c>
      <c r="I33" s="40">
        <v>70</v>
      </c>
    </row>
    <row r="34" spans="2:9" x14ac:dyDescent="0.25">
      <c r="B34" s="39" t="s">
        <v>196</v>
      </c>
      <c r="C34">
        <v>85</v>
      </c>
      <c r="D34" s="37" t="s">
        <v>66</v>
      </c>
      <c r="E34">
        <v>40</v>
      </c>
      <c r="H34" s="38" t="s">
        <v>195</v>
      </c>
      <c r="I34" s="18">
        <v>60</v>
      </c>
    </row>
    <row r="35" spans="2:9" x14ac:dyDescent="0.25">
      <c r="B35" s="38" t="s">
        <v>186</v>
      </c>
      <c r="C35">
        <v>80</v>
      </c>
      <c r="D35" s="37" t="s">
        <v>145</v>
      </c>
      <c r="E35">
        <v>70</v>
      </c>
    </row>
    <row r="36" spans="2:9" x14ac:dyDescent="0.25">
      <c r="B36" s="39" t="s">
        <v>190</v>
      </c>
      <c r="C36">
        <v>85</v>
      </c>
      <c r="D36" s="37" t="s">
        <v>137</v>
      </c>
      <c r="E36">
        <v>70</v>
      </c>
    </row>
    <row r="37" spans="2:9" x14ac:dyDescent="0.25">
      <c r="B37" s="39" t="s">
        <v>197</v>
      </c>
      <c r="C37">
        <v>90</v>
      </c>
      <c r="D37" s="37" t="s">
        <v>83</v>
      </c>
      <c r="E37">
        <v>100</v>
      </c>
    </row>
    <row r="38" spans="2:9" x14ac:dyDescent="0.25">
      <c r="B38" s="39" t="s">
        <v>198</v>
      </c>
      <c r="C38">
        <v>80</v>
      </c>
      <c r="D38" s="37" t="s">
        <v>264</v>
      </c>
    </row>
  </sheetData>
  <pageMargins left="0.7" right="0.7" top="0.75" bottom="0.75" header="0.3" footer="0.3"/>
  <pageSetup orientation="portrait" horizontalDpi="360" verticalDpi="36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20A8-FBC4-4A6D-AADA-8E1283B77D48}">
  <dimension ref="C4:Z34"/>
  <sheetViews>
    <sheetView topLeftCell="A13" workbookViewId="0">
      <selection activeCell="Y6" sqref="Y6:Z14"/>
    </sheetView>
  </sheetViews>
  <sheetFormatPr defaultRowHeight="15.75" x14ac:dyDescent="0.25"/>
  <cols>
    <col min="1" max="2" width="9.140625" style="67"/>
    <col min="3" max="3" width="17.42578125" style="67" bestFit="1" customWidth="1"/>
    <col min="4" max="4" width="7.85546875" style="67" bestFit="1" customWidth="1"/>
    <col min="5" max="5" width="30.140625" style="67" bestFit="1" customWidth="1"/>
    <col min="6" max="6" width="5.85546875" style="67" bestFit="1" customWidth="1"/>
    <col min="7" max="7" width="5.28515625" style="67" bestFit="1" customWidth="1"/>
    <col min="8" max="8" width="5" style="67" bestFit="1" customWidth="1"/>
    <col min="9" max="9" width="5.7109375" style="67" bestFit="1" customWidth="1"/>
    <col min="10" max="10" width="5" style="67" bestFit="1" customWidth="1"/>
    <col min="11" max="11" width="12.42578125" style="67" bestFit="1" customWidth="1"/>
    <col min="12" max="12" width="5.28515625" style="67" bestFit="1" customWidth="1"/>
    <col min="13" max="13" width="5" style="67" bestFit="1" customWidth="1"/>
    <col min="14" max="15" width="9" style="67" bestFit="1" customWidth="1"/>
    <col min="16" max="16" width="5" style="67" bestFit="1" customWidth="1"/>
    <col min="17" max="17" width="5.28515625" style="67" bestFit="1" customWidth="1"/>
    <col min="18" max="18" width="5" style="67" bestFit="1" customWidth="1"/>
    <col min="19" max="19" width="5.5703125" style="67" bestFit="1" customWidth="1"/>
    <col min="20" max="20" width="5" style="67" bestFit="1" customWidth="1"/>
    <col min="21" max="21" width="8.5703125" style="67" bestFit="1" customWidth="1"/>
    <col min="22" max="22" width="5.5703125" style="67" bestFit="1" customWidth="1"/>
    <col min="23" max="23" width="5" style="67" bestFit="1" customWidth="1"/>
    <col min="24" max="24" width="10.140625" style="67" bestFit="1" customWidth="1"/>
    <col min="25" max="25" width="18.7109375" style="68" bestFit="1" customWidth="1"/>
    <col min="26" max="26" width="6" style="67" bestFit="1" customWidth="1"/>
    <col min="27" max="16384" width="9.140625" style="67"/>
  </cols>
  <sheetData>
    <row r="4" spans="3:26" x14ac:dyDescent="0.25">
      <c r="E4" s="67" t="s">
        <v>289</v>
      </c>
    </row>
    <row r="6" spans="3:26" x14ac:dyDescent="0.25">
      <c r="C6" s="69" t="s">
        <v>218</v>
      </c>
      <c r="D6" s="67" t="s">
        <v>287</v>
      </c>
      <c r="E6" s="67" t="s">
        <v>269</v>
      </c>
      <c r="F6" s="69" t="s">
        <v>219</v>
      </c>
      <c r="G6" s="67" t="s">
        <v>288</v>
      </c>
      <c r="H6" s="67" t="s">
        <v>270</v>
      </c>
      <c r="I6" s="70"/>
      <c r="K6" s="69" t="s">
        <v>222</v>
      </c>
      <c r="L6" s="67" t="s">
        <v>288</v>
      </c>
      <c r="M6" s="70" t="s">
        <v>270</v>
      </c>
      <c r="N6" s="69" t="s">
        <v>223</v>
      </c>
      <c r="O6" s="70" t="s">
        <v>288</v>
      </c>
      <c r="P6" s="67" t="s">
        <v>270</v>
      </c>
      <c r="Q6" s="69" t="s">
        <v>23</v>
      </c>
      <c r="R6" s="67" t="s">
        <v>270</v>
      </c>
      <c r="S6" s="69" t="s">
        <v>24</v>
      </c>
      <c r="T6" s="67" t="s">
        <v>270</v>
      </c>
      <c r="U6" s="69" t="s">
        <v>31</v>
      </c>
      <c r="V6" s="67" t="s">
        <v>288</v>
      </c>
      <c r="W6" s="67" t="s">
        <v>270</v>
      </c>
      <c r="X6" s="69" t="s">
        <v>159</v>
      </c>
      <c r="Y6" s="68" t="s">
        <v>288</v>
      </c>
      <c r="Z6" s="67" t="s">
        <v>291</v>
      </c>
    </row>
    <row r="7" spans="3:26" x14ac:dyDescent="0.25">
      <c r="C7" s="71">
        <v>78832.292000000016</v>
      </c>
      <c r="D7" s="67" t="s">
        <v>285</v>
      </c>
      <c r="E7" s="86">
        <v>0</v>
      </c>
      <c r="F7" s="67">
        <v>167</v>
      </c>
      <c r="G7" s="67">
        <v>170</v>
      </c>
      <c r="H7" s="67">
        <v>30</v>
      </c>
      <c r="K7" s="67">
        <v>84.6</v>
      </c>
      <c r="L7" s="67">
        <v>85</v>
      </c>
      <c r="M7" s="67">
        <v>30</v>
      </c>
      <c r="N7" s="67">
        <v>2527200</v>
      </c>
      <c r="O7" s="67">
        <v>3000000</v>
      </c>
      <c r="P7" s="67">
        <v>25</v>
      </c>
      <c r="Q7" s="67">
        <v>8</v>
      </c>
      <c r="R7" s="67">
        <v>50</v>
      </c>
      <c r="S7" s="67">
        <v>128</v>
      </c>
      <c r="T7" s="67">
        <v>25</v>
      </c>
      <c r="U7" s="67">
        <v>3274</v>
      </c>
      <c r="V7" s="67">
        <v>3500</v>
      </c>
      <c r="W7" s="67">
        <v>0</v>
      </c>
      <c r="X7" s="67">
        <v>8999000</v>
      </c>
      <c r="Y7" s="68">
        <v>10000000</v>
      </c>
      <c r="Z7" s="67">
        <v>30</v>
      </c>
    </row>
    <row r="8" spans="3:26" x14ac:dyDescent="0.25">
      <c r="C8" s="71">
        <v>78874.319999999992</v>
      </c>
      <c r="D8" s="67">
        <v>80000</v>
      </c>
      <c r="E8" s="86"/>
      <c r="F8" s="67">
        <v>168</v>
      </c>
      <c r="G8" s="67">
        <v>180</v>
      </c>
      <c r="H8" s="67">
        <v>40</v>
      </c>
      <c r="K8" s="67">
        <v>90.1</v>
      </c>
      <c r="L8" s="67">
        <v>90</v>
      </c>
      <c r="M8" s="67">
        <v>40</v>
      </c>
      <c r="N8" s="67">
        <v>2592000</v>
      </c>
      <c r="O8" s="67">
        <v>3500000</v>
      </c>
      <c r="P8" s="67">
        <v>50</v>
      </c>
      <c r="Q8" s="67">
        <v>12</v>
      </c>
      <c r="R8" s="67">
        <v>75</v>
      </c>
      <c r="S8" s="67">
        <v>256</v>
      </c>
      <c r="T8" s="67">
        <v>50</v>
      </c>
      <c r="U8" s="67">
        <v>3349</v>
      </c>
      <c r="V8" s="67">
        <v>4000</v>
      </c>
      <c r="W8" s="67">
        <v>20</v>
      </c>
      <c r="X8" s="67">
        <v>9999000</v>
      </c>
      <c r="Y8" s="68">
        <v>13000000</v>
      </c>
      <c r="Z8" s="67">
        <v>40</v>
      </c>
    </row>
    <row r="9" spans="3:26" x14ac:dyDescent="0.25">
      <c r="C9" s="71">
        <v>82431.647999999986</v>
      </c>
      <c r="D9" s="67">
        <v>80000</v>
      </c>
      <c r="E9" s="86">
        <v>20</v>
      </c>
      <c r="F9" s="67">
        <v>171</v>
      </c>
      <c r="G9" s="67">
        <v>190</v>
      </c>
      <c r="H9" s="67">
        <v>50</v>
      </c>
      <c r="K9" s="67">
        <v>91.3</v>
      </c>
      <c r="L9" s="67">
        <v>95</v>
      </c>
      <c r="M9" s="67">
        <v>50</v>
      </c>
      <c r="N9" s="67">
        <v>2643840</v>
      </c>
      <c r="O9" s="67">
        <v>4000000</v>
      </c>
      <c r="P9" s="67">
        <v>75</v>
      </c>
      <c r="Q9" s="67">
        <v>16</v>
      </c>
      <c r="R9" s="67">
        <v>100</v>
      </c>
      <c r="S9" s="67">
        <v>512</v>
      </c>
      <c r="T9" s="67">
        <v>75</v>
      </c>
      <c r="U9" s="67">
        <v>3900</v>
      </c>
      <c r="V9" s="67">
        <v>4500</v>
      </c>
      <c r="W9" s="67">
        <v>40</v>
      </c>
      <c r="X9" s="67">
        <v>11999000</v>
      </c>
      <c r="Y9" s="68">
        <v>16000000</v>
      </c>
      <c r="Z9" s="67">
        <v>50</v>
      </c>
    </row>
    <row r="10" spans="3:26" x14ac:dyDescent="0.25">
      <c r="C10" s="71">
        <v>85904.668000000005</v>
      </c>
      <c r="D10" s="67">
        <v>90000</v>
      </c>
      <c r="E10" s="86"/>
      <c r="F10" s="67">
        <v>172</v>
      </c>
      <c r="G10" s="67">
        <v>200</v>
      </c>
      <c r="H10" s="67">
        <v>60</v>
      </c>
      <c r="K10" s="67">
        <v>94.4</v>
      </c>
      <c r="L10" s="67">
        <v>100</v>
      </c>
      <c r="M10" s="67">
        <v>60</v>
      </c>
      <c r="N10" s="67">
        <v>3013524</v>
      </c>
      <c r="O10" s="67">
        <v>4000000</v>
      </c>
      <c r="P10" s="67">
        <v>100</v>
      </c>
      <c r="S10" s="67">
        <v>1000</v>
      </c>
      <c r="T10" s="67">
        <v>100</v>
      </c>
      <c r="U10" s="67">
        <v>4000</v>
      </c>
      <c r="V10" s="67">
        <v>5000</v>
      </c>
      <c r="W10" s="67">
        <v>60</v>
      </c>
      <c r="X10" s="67">
        <v>13499000</v>
      </c>
      <c r="Y10" s="68">
        <v>19000000</v>
      </c>
      <c r="Z10" s="67">
        <v>60</v>
      </c>
    </row>
    <row r="11" spans="3:26" x14ac:dyDescent="0.25">
      <c r="C11" s="71">
        <v>91385.135999999999</v>
      </c>
      <c r="D11" s="67">
        <v>90000</v>
      </c>
      <c r="E11" s="86">
        <v>40</v>
      </c>
      <c r="F11" s="67">
        <v>187</v>
      </c>
      <c r="G11" s="67">
        <v>210</v>
      </c>
      <c r="H11" s="67">
        <v>70</v>
      </c>
      <c r="K11" s="67">
        <v>100.5</v>
      </c>
      <c r="L11" s="67">
        <v>105</v>
      </c>
      <c r="M11" s="67">
        <v>70</v>
      </c>
      <c r="N11" s="67">
        <v>3606840</v>
      </c>
      <c r="U11" s="67">
        <v>4300</v>
      </c>
      <c r="V11" s="67">
        <v>6000</v>
      </c>
      <c r="W11" s="67">
        <v>80</v>
      </c>
      <c r="X11" s="67">
        <v>13999000</v>
      </c>
      <c r="Y11" s="68">
        <v>22000000</v>
      </c>
      <c r="Z11" s="67">
        <v>70</v>
      </c>
    </row>
    <row r="12" spans="3:26" x14ac:dyDescent="0.25">
      <c r="C12" s="71">
        <v>92632.155000000013</v>
      </c>
      <c r="E12" s="86"/>
      <c r="F12" s="67">
        <v>196</v>
      </c>
      <c r="G12" s="67">
        <v>220</v>
      </c>
      <c r="H12" s="67">
        <v>80</v>
      </c>
      <c r="K12" s="67">
        <v>105.3</v>
      </c>
      <c r="L12" s="67">
        <v>110</v>
      </c>
      <c r="M12" s="67">
        <v>80</v>
      </c>
      <c r="N12" s="67">
        <v>4446720</v>
      </c>
      <c r="U12" s="67">
        <v>4382</v>
      </c>
      <c r="V12" s="67">
        <v>6000</v>
      </c>
      <c r="W12" s="67">
        <v>100</v>
      </c>
      <c r="X12" s="67">
        <v>15999000</v>
      </c>
      <c r="Y12" s="68">
        <v>25000000</v>
      </c>
      <c r="Z12" s="67">
        <v>80</v>
      </c>
    </row>
    <row r="13" spans="3:26" x14ac:dyDescent="0.25">
      <c r="C13" s="71">
        <v>93780.51</v>
      </c>
      <c r="E13" s="86"/>
      <c r="F13" s="67">
        <v>201</v>
      </c>
      <c r="G13" s="67">
        <v>230</v>
      </c>
      <c r="H13" s="67">
        <v>90</v>
      </c>
      <c r="K13" s="67">
        <v>109.5</v>
      </c>
      <c r="L13" s="67">
        <v>115</v>
      </c>
      <c r="M13" s="67">
        <v>90</v>
      </c>
      <c r="N13" s="67">
        <v>4492800</v>
      </c>
      <c r="U13" s="67">
        <v>4441</v>
      </c>
      <c r="X13" s="67">
        <v>18999000</v>
      </c>
      <c r="Y13" s="68">
        <v>28000000</v>
      </c>
      <c r="Z13" s="67">
        <v>90</v>
      </c>
    </row>
    <row r="14" spans="3:26" x14ac:dyDescent="0.25">
      <c r="C14" s="71">
        <v>97640.555999999997</v>
      </c>
      <c r="E14" s="86"/>
      <c r="F14" s="67">
        <v>209</v>
      </c>
      <c r="G14" s="67" t="s">
        <v>290</v>
      </c>
      <c r="H14" s="67">
        <v>100</v>
      </c>
      <c r="K14" s="67">
        <v>110.2</v>
      </c>
      <c r="L14" s="67" t="s">
        <v>290</v>
      </c>
      <c r="M14" s="67">
        <v>100</v>
      </c>
      <c r="U14" s="67">
        <v>4500</v>
      </c>
      <c r="X14" s="67">
        <v>19999000</v>
      </c>
      <c r="Y14" s="68" t="s">
        <v>292</v>
      </c>
      <c r="Z14" s="67">
        <v>100</v>
      </c>
    </row>
    <row r="15" spans="3:26" x14ac:dyDescent="0.25">
      <c r="C15" s="71">
        <v>99113.4</v>
      </c>
      <c r="D15" s="67">
        <v>100000</v>
      </c>
      <c r="E15" s="86"/>
      <c r="F15" s="67">
        <v>221</v>
      </c>
      <c r="K15" s="67">
        <v>113.5</v>
      </c>
      <c r="U15" s="67">
        <v>4700</v>
      </c>
      <c r="X15" s="67">
        <v>21999000</v>
      </c>
    </row>
    <row r="16" spans="3:26" x14ac:dyDescent="0.25">
      <c r="C16" s="71">
        <v>101793.93900000003</v>
      </c>
      <c r="D16" s="67">
        <v>100000</v>
      </c>
      <c r="E16" s="87">
        <v>60</v>
      </c>
      <c r="F16" s="67">
        <v>232</v>
      </c>
      <c r="K16" s="67">
        <v>114.7</v>
      </c>
      <c r="U16" s="67">
        <v>4900</v>
      </c>
      <c r="X16" s="67">
        <v>22999000</v>
      </c>
    </row>
    <row r="17" spans="3:24" x14ac:dyDescent="0.25">
      <c r="D17" s="67">
        <v>110000</v>
      </c>
      <c r="E17" s="87"/>
      <c r="F17" s="67">
        <v>234</v>
      </c>
      <c r="U17" s="67">
        <v>5000</v>
      </c>
      <c r="X17" s="67">
        <v>23499000</v>
      </c>
    </row>
    <row r="18" spans="3:24" x14ac:dyDescent="0.25">
      <c r="C18" s="71">
        <v>110266.62</v>
      </c>
      <c r="D18" s="67">
        <v>110000</v>
      </c>
      <c r="E18" s="87">
        <v>80</v>
      </c>
      <c r="F18" s="67">
        <v>239</v>
      </c>
      <c r="K18" s="67" t="s">
        <v>308</v>
      </c>
      <c r="L18" s="67" t="s">
        <v>269</v>
      </c>
      <c r="N18" s="67" t="s">
        <v>223</v>
      </c>
      <c r="O18" s="67" t="s">
        <v>269</v>
      </c>
      <c r="U18" s="67">
        <v>6000</v>
      </c>
      <c r="X18" s="67">
        <v>23999000</v>
      </c>
    </row>
    <row r="19" spans="3:24" x14ac:dyDescent="0.25">
      <c r="C19" s="71">
        <v>113577.70599999999</v>
      </c>
      <c r="D19" s="67">
        <v>120000</v>
      </c>
      <c r="E19" s="87"/>
      <c r="K19" s="67" t="s">
        <v>309</v>
      </c>
      <c r="L19" s="67">
        <v>30</v>
      </c>
      <c r="N19" s="67" t="s">
        <v>317</v>
      </c>
      <c r="O19" s="67">
        <v>25</v>
      </c>
      <c r="X19" s="67">
        <v>25999000</v>
      </c>
    </row>
    <row r="20" spans="3:24" x14ac:dyDescent="0.25">
      <c r="C20" s="71">
        <v>137206.30000000002</v>
      </c>
      <c r="D20" s="67">
        <v>120000</v>
      </c>
      <c r="E20" s="72">
        <v>90</v>
      </c>
      <c r="K20" s="67" t="s">
        <v>310</v>
      </c>
      <c r="L20" s="67">
        <v>40</v>
      </c>
      <c r="N20" s="67" t="s">
        <v>318</v>
      </c>
      <c r="O20" s="67">
        <v>50</v>
      </c>
      <c r="X20" s="67">
        <v>27999000</v>
      </c>
    </row>
    <row r="21" spans="3:24" x14ac:dyDescent="0.25">
      <c r="D21" s="67">
        <v>130000</v>
      </c>
      <c r="K21" s="67" t="s">
        <v>311</v>
      </c>
      <c r="L21" s="67">
        <v>50</v>
      </c>
      <c r="N21" s="67" t="s">
        <v>319</v>
      </c>
      <c r="O21" s="67">
        <v>75</v>
      </c>
      <c r="X21" s="67">
        <v>28070000</v>
      </c>
    </row>
    <row r="22" spans="3:24" x14ac:dyDescent="0.25">
      <c r="D22" s="67" t="s">
        <v>286</v>
      </c>
      <c r="E22" s="86">
        <v>100</v>
      </c>
      <c r="K22" s="67" t="s">
        <v>312</v>
      </c>
      <c r="L22" s="67">
        <v>60</v>
      </c>
      <c r="N22" s="67" t="s">
        <v>320</v>
      </c>
      <c r="O22" s="67">
        <v>100</v>
      </c>
      <c r="X22" s="67">
        <v>29999000</v>
      </c>
    </row>
    <row r="23" spans="3:24" x14ac:dyDescent="0.25">
      <c r="D23" s="67">
        <v>130000</v>
      </c>
      <c r="E23" s="86"/>
      <c r="K23" s="67" t="s">
        <v>313</v>
      </c>
      <c r="L23" s="67">
        <v>70</v>
      </c>
      <c r="X23" s="67">
        <v>31999000</v>
      </c>
    </row>
    <row r="24" spans="3:24" x14ac:dyDescent="0.25">
      <c r="K24" s="67" t="s">
        <v>314</v>
      </c>
      <c r="L24" s="67">
        <v>80</v>
      </c>
    </row>
    <row r="25" spans="3:24" x14ac:dyDescent="0.25">
      <c r="K25" s="67" t="s">
        <v>315</v>
      </c>
      <c r="L25" s="67">
        <v>90</v>
      </c>
    </row>
    <row r="26" spans="3:24" x14ac:dyDescent="0.25">
      <c r="C26" s="67" t="s">
        <v>218</v>
      </c>
      <c r="D26" s="67" t="s">
        <v>269</v>
      </c>
      <c r="F26" s="67" t="s">
        <v>219</v>
      </c>
      <c r="G26" s="67" t="s">
        <v>269</v>
      </c>
      <c r="I26" s="67" t="s">
        <v>272</v>
      </c>
      <c r="K26" s="67" t="s">
        <v>316</v>
      </c>
      <c r="L26" s="67">
        <v>100</v>
      </c>
    </row>
    <row r="27" spans="3:24" x14ac:dyDescent="0.25">
      <c r="C27" s="67" t="s">
        <v>294</v>
      </c>
      <c r="D27" s="67">
        <v>0</v>
      </c>
      <c r="F27" s="67" t="s">
        <v>301</v>
      </c>
      <c r="G27" s="67">
        <v>30</v>
      </c>
    </row>
    <row r="28" spans="3:24" x14ac:dyDescent="0.25">
      <c r="C28" s="67" t="s">
        <v>295</v>
      </c>
      <c r="D28" s="67">
        <v>20</v>
      </c>
      <c r="F28" s="67" t="s">
        <v>302</v>
      </c>
      <c r="G28" s="67">
        <v>40</v>
      </c>
    </row>
    <row r="29" spans="3:24" x14ac:dyDescent="0.25">
      <c r="C29" s="67" t="s">
        <v>296</v>
      </c>
      <c r="D29" s="67">
        <v>40</v>
      </c>
      <c r="F29" s="67" t="s">
        <v>303</v>
      </c>
      <c r="G29" s="67">
        <v>50</v>
      </c>
    </row>
    <row r="30" spans="3:24" x14ac:dyDescent="0.25">
      <c r="C30" s="67" t="s">
        <v>297</v>
      </c>
      <c r="D30" s="67">
        <v>60</v>
      </c>
      <c r="F30" s="67" t="s">
        <v>304</v>
      </c>
      <c r="G30" s="67">
        <v>60</v>
      </c>
    </row>
    <row r="31" spans="3:24" x14ac:dyDescent="0.25">
      <c r="C31" s="67" t="s">
        <v>298</v>
      </c>
      <c r="D31" s="67">
        <v>80</v>
      </c>
      <c r="F31" s="67" t="s">
        <v>305</v>
      </c>
      <c r="G31" s="67">
        <v>70</v>
      </c>
    </row>
    <row r="32" spans="3:24" x14ac:dyDescent="0.25">
      <c r="C32" s="67" t="s">
        <v>299</v>
      </c>
      <c r="D32" s="67">
        <v>100</v>
      </c>
      <c r="F32" s="67" t="s">
        <v>306</v>
      </c>
      <c r="G32" s="67">
        <v>80</v>
      </c>
    </row>
    <row r="33" spans="6:7" x14ac:dyDescent="0.25">
      <c r="F33" s="67" t="s">
        <v>307</v>
      </c>
      <c r="G33" s="67">
        <v>90</v>
      </c>
    </row>
    <row r="34" spans="6:7" x14ac:dyDescent="0.25">
      <c r="F34" s="67" t="s">
        <v>300</v>
      </c>
      <c r="G34" s="67">
        <v>100</v>
      </c>
    </row>
  </sheetData>
  <sortState ref="N7:N12">
    <sortCondition ref="N7:N12"/>
  </sortState>
  <mergeCells count="6">
    <mergeCell ref="E7:E8"/>
    <mergeCell ref="E9:E10"/>
    <mergeCell ref="E11:E15"/>
    <mergeCell ref="E18:E19"/>
    <mergeCell ref="E22:E23"/>
    <mergeCell ref="E16:E17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8000-14CD-4E34-AF28-C10DC4CA4115}">
  <dimension ref="C4:L15"/>
  <sheetViews>
    <sheetView tabSelected="1" topLeftCell="A5" workbookViewId="0">
      <selection activeCell="I5" sqref="I5:L14"/>
    </sheetView>
  </sheetViews>
  <sheetFormatPr defaultRowHeight="15" x14ac:dyDescent="0.25"/>
  <cols>
    <col min="3" max="3" width="8.42578125" bestFit="1" customWidth="1"/>
    <col min="4" max="4" width="13.140625" bestFit="1" customWidth="1"/>
    <col min="5" max="5" width="11.28515625" bestFit="1" customWidth="1"/>
    <col min="6" max="6" width="17" bestFit="1" customWidth="1"/>
    <col min="9" max="9" width="9.5703125" style="90" bestFit="1" customWidth="1"/>
    <col min="10" max="10" width="13.140625" bestFit="1" customWidth="1"/>
    <col min="11" max="11" width="11.28515625" bestFit="1" customWidth="1"/>
    <col min="12" max="12" width="13.28515625" bestFit="1" customWidth="1"/>
  </cols>
  <sheetData>
    <row r="4" spans="3:12" x14ac:dyDescent="0.25">
      <c r="C4" s="48" t="s">
        <v>281</v>
      </c>
      <c r="D4" s="48"/>
      <c r="E4" s="48"/>
    </row>
    <row r="5" spans="3:12" ht="16.5" thickBot="1" x14ac:dyDescent="0.3">
      <c r="C5" s="59" t="s">
        <v>9</v>
      </c>
      <c r="D5" s="59" t="s">
        <v>155</v>
      </c>
      <c r="E5" s="59" t="s">
        <v>156</v>
      </c>
      <c r="F5" s="59" t="s">
        <v>157</v>
      </c>
      <c r="I5" s="91" t="s">
        <v>9</v>
      </c>
      <c r="J5" s="59" t="s">
        <v>155</v>
      </c>
      <c r="K5" s="59" t="s">
        <v>156</v>
      </c>
      <c r="L5" s="59" t="s">
        <v>157</v>
      </c>
    </row>
    <row r="6" spans="3:12" ht="16.5" thickBot="1" x14ac:dyDescent="0.3">
      <c r="C6" s="51">
        <v>4.1666666666666664E-2</v>
      </c>
      <c r="D6" s="52" t="s">
        <v>278</v>
      </c>
      <c r="E6" s="52">
        <v>10</v>
      </c>
      <c r="F6" s="63">
        <f t="shared" ref="F6:F14" si="0">SUM(E6/$E$15)</f>
        <v>2.1276595744680851E-2</v>
      </c>
      <c r="I6" s="92">
        <v>1</v>
      </c>
      <c r="J6" s="54" t="s">
        <v>1</v>
      </c>
      <c r="K6" s="55">
        <v>50</v>
      </c>
      <c r="L6" s="63">
        <f t="shared" ref="L6:L13" si="1">SUM(K6/$K$14)</f>
        <v>0.10869565217391304</v>
      </c>
    </row>
    <row r="7" spans="3:12" ht="16.5" thickBot="1" x14ac:dyDescent="0.3">
      <c r="C7" s="53">
        <v>8.3333333333333329E-2</v>
      </c>
      <c r="D7" s="54" t="s">
        <v>1</v>
      </c>
      <c r="E7" s="55">
        <v>50</v>
      </c>
      <c r="F7" s="63">
        <f t="shared" si="0"/>
        <v>0.10638297872340426</v>
      </c>
      <c r="I7" s="93">
        <v>2</v>
      </c>
      <c r="J7" s="57" t="s">
        <v>2</v>
      </c>
      <c r="K7" s="58">
        <v>70</v>
      </c>
      <c r="L7" s="63">
        <f t="shared" si="1"/>
        <v>0.15217391304347827</v>
      </c>
    </row>
    <row r="8" spans="3:12" ht="16.5" thickBot="1" x14ac:dyDescent="0.3">
      <c r="C8" s="56">
        <v>0.125</v>
      </c>
      <c r="D8" s="57" t="s">
        <v>2</v>
      </c>
      <c r="E8" s="58">
        <v>70</v>
      </c>
      <c r="F8" s="63">
        <f t="shared" si="0"/>
        <v>0.14893617021276595</v>
      </c>
      <c r="I8" s="92">
        <v>3</v>
      </c>
      <c r="J8" s="54" t="s">
        <v>279</v>
      </c>
      <c r="K8" s="55">
        <v>80</v>
      </c>
      <c r="L8" s="63">
        <f t="shared" si="1"/>
        <v>0.17391304347826086</v>
      </c>
    </row>
    <row r="9" spans="3:12" ht="16.5" thickBot="1" x14ac:dyDescent="0.3">
      <c r="C9" s="53">
        <v>0.16666666666666666</v>
      </c>
      <c r="D9" s="54" t="s">
        <v>279</v>
      </c>
      <c r="E9" s="55">
        <v>80</v>
      </c>
      <c r="F9" s="63">
        <f t="shared" si="0"/>
        <v>0.1702127659574468</v>
      </c>
      <c r="I9" s="93">
        <v>4</v>
      </c>
      <c r="J9" s="57" t="s">
        <v>4</v>
      </c>
      <c r="K9" s="58">
        <v>80</v>
      </c>
      <c r="L9" s="63">
        <f t="shared" si="1"/>
        <v>0.17391304347826086</v>
      </c>
    </row>
    <row r="10" spans="3:12" ht="32.25" thickBot="1" x14ac:dyDescent="0.3">
      <c r="C10" s="56">
        <v>0.20833333333333334</v>
      </c>
      <c r="D10" s="57" t="s">
        <v>4</v>
      </c>
      <c r="E10" s="58">
        <v>80</v>
      </c>
      <c r="F10" s="63">
        <f t="shared" si="0"/>
        <v>0.1702127659574468</v>
      </c>
      <c r="I10" s="92">
        <v>5</v>
      </c>
      <c r="J10" s="54" t="s">
        <v>280</v>
      </c>
      <c r="K10" s="55">
        <v>10</v>
      </c>
      <c r="L10" s="63">
        <f t="shared" si="1"/>
        <v>2.1739130434782608E-2</v>
      </c>
    </row>
    <row r="11" spans="3:12" ht="32.25" thickBot="1" x14ac:dyDescent="0.3">
      <c r="C11" s="53">
        <v>0.25</v>
      </c>
      <c r="D11" s="54" t="s">
        <v>280</v>
      </c>
      <c r="E11" s="55">
        <v>10</v>
      </c>
      <c r="F11" s="63">
        <f t="shared" si="0"/>
        <v>2.1276595744680851E-2</v>
      </c>
      <c r="I11" s="93">
        <v>6</v>
      </c>
      <c r="J11" s="57" t="s">
        <v>5</v>
      </c>
      <c r="K11" s="58">
        <v>10</v>
      </c>
      <c r="L11" s="63">
        <f t="shared" si="1"/>
        <v>2.1739130434782608E-2</v>
      </c>
    </row>
    <row r="12" spans="3:12" ht="32.25" thickBot="1" x14ac:dyDescent="0.3">
      <c r="C12" s="56">
        <v>0.29166666666666669</v>
      </c>
      <c r="D12" s="57" t="s">
        <v>5</v>
      </c>
      <c r="E12" s="58">
        <v>10</v>
      </c>
      <c r="F12" s="63">
        <f t="shared" si="0"/>
        <v>2.1276595744680851E-2</v>
      </c>
      <c r="I12" s="92">
        <v>7</v>
      </c>
      <c r="J12" s="54" t="s">
        <v>7</v>
      </c>
      <c r="K12" s="55">
        <v>70</v>
      </c>
      <c r="L12" s="63">
        <f t="shared" si="1"/>
        <v>0.15217391304347827</v>
      </c>
    </row>
    <row r="13" spans="3:12" ht="16.5" thickBot="1" x14ac:dyDescent="0.3">
      <c r="C13" s="53">
        <v>0.33333333333333331</v>
      </c>
      <c r="D13" s="54" t="s">
        <v>7</v>
      </c>
      <c r="E13" s="55">
        <v>70</v>
      </c>
      <c r="F13" s="63">
        <f t="shared" si="0"/>
        <v>0.14893617021276595</v>
      </c>
      <c r="I13" s="93">
        <v>8</v>
      </c>
      <c r="J13" s="61" t="s">
        <v>8</v>
      </c>
      <c r="K13" s="62">
        <v>90</v>
      </c>
      <c r="L13" s="63">
        <f t="shared" si="1"/>
        <v>0.19565217391304349</v>
      </c>
    </row>
    <row r="14" spans="3:12" ht="15.75" x14ac:dyDescent="0.25">
      <c r="C14" s="60">
        <v>0.375</v>
      </c>
      <c r="D14" s="61" t="s">
        <v>8</v>
      </c>
      <c r="E14" s="62">
        <v>90</v>
      </c>
      <c r="F14" s="63">
        <f t="shared" si="0"/>
        <v>0.19148936170212766</v>
      </c>
      <c r="I14" s="88" t="s">
        <v>161</v>
      </c>
      <c r="J14" s="88"/>
      <c r="K14" s="48">
        <f>SUM(Table710[Bobot])</f>
        <v>460</v>
      </c>
      <c r="L14" s="64">
        <f>SUM(Table710[Normalisasi])</f>
        <v>1</v>
      </c>
    </row>
    <row r="15" spans="3:12" x14ac:dyDescent="0.25">
      <c r="C15" s="88" t="s">
        <v>161</v>
      </c>
      <c r="D15" s="88"/>
      <c r="E15" s="48">
        <f>SUM(Table7[Bobot])</f>
        <v>470</v>
      </c>
      <c r="F15" s="64">
        <f>SUM(Table7[Normalisasi])</f>
        <v>1</v>
      </c>
    </row>
  </sheetData>
  <mergeCells count="2">
    <mergeCell ref="C15:D15"/>
    <mergeCell ref="I14:J14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84CC-5B76-4890-B374-BEE54A6547CA}">
  <dimension ref="A3:AF199"/>
  <sheetViews>
    <sheetView topLeftCell="I73" zoomScale="85" zoomScaleNormal="85" workbookViewId="0">
      <selection activeCell="M70" sqref="M70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28" bestFit="1" customWidth="1"/>
    <col min="4" max="6" width="14.42578125" bestFit="1" customWidth="1"/>
    <col min="7" max="7" width="12.5703125" customWidth="1"/>
    <col min="8" max="8" width="17.7109375" bestFit="1" customWidth="1"/>
    <col min="9" max="9" width="11.7109375" bestFit="1" customWidth="1"/>
    <col min="10" max="10" width="22.42578125" bestFit="1" customWidth="1"/>
    <col min="11" max="11" width="10.140625" customWidth="1"/>
    <col min="12" max="13" width="14.42578125" bestFit="1" customWidth="1"/>
    <col min="14" max="14" width="10.7109375" bestFit="1" customWidth="1"/>
    <col min="15" max="15" width="18.7109375" bestFit="1" customWidth="1"/>
    <col min="16" max="16" width="12.42578125" customWidth="1"/>
    <col min="17" max="17" width="13.7109375" customWidth="1"/>
    <col min="18" max="18" width="11.28515625" customWidth="1"/>
    <col min="19" max="19" width="13.7109375" customWidth="1"/>
    <col min="20" max="20" width="11.42578125" customWidth="1"/>
    <col min="21" max="21" width="17.140625" bestFit="1" customWidth="1"/>
    <col min="22" max="23" width="22.85546875" bestFit="1" customWidth="1"/>
    <col min="24" max="24" width="12.85546875" bestFit="1" customWidth="1"/>
    <col min="25" max="25" width="11" bestFit="1" customWidth="1"/>
    <col min="26" max="26" width="8.5703125" bestFit="1" customWidth="1"/>
    <col min="27" max="27" width="17.140625" bestFit="1" customWidth="1"/>
    <col min="28" max="28" width="22.85546875" bestFit="1" customWidth="1"/>
    <col min="29" max="29" width="19.85546875" bestFit="1" customWidth="1"/>
    <col min="30" max="30" width="10.7109375" bestFit="1" customWidth="1"/>
    <col min="31" max="31" width="8.5703125" bestFit="1" customWidth="1"/>
    <col min="32" max="32" width="9.140625" bestFit="1" customWidth="1"/>
    <col min="33" max="33" width="19.7109375" bestFit="1" customWidth="1"/>
    <col min="34" max="34" width="10.7109375" bestFit="1" customWidth="1"/>
    <col min="35" max="35" width="8.5703125" bestFit="1" customWidth="1"/>
    <col min="36" max="36" width="11.140625" bestFit="1" customWidth="1"/>
    <col min="37" max="37" width="9" bestFit="1" customWidth="1"/>
    <col min="38" max="38" width="19.7109375" bestFit="1" customWidth="1"/>
    <col min="39" max="39" width="5" bestFit="1" customWidth="1"/>
    <col min="40" max="40" width="12.7109375" bestFit="1" customWidth="1"/>
    <col min="41" max="41" width="6" bestFit="1" customWidth="1"/>
    <col min="42" max="42" width="4" bestFit="1" customWidth="1"/>
    <col min="43" max="43" width="9" bestFit="1" customWidth="1"/>
    <col min="44" max="44" width="17" bestFit="1" customWidth="1"/>
    <col min="45" max="45" width="22.7109375" bestFit="1" customWidth="1"/>
    <col min="46" max="46" width="19.7109375" bestFit="1" customWidth="1"/>
    <col min="47" max="48" width="12.28515625" bestFit="1" customWidth="1"/>
    <col min="49" max="49" width="8.5703125" bestFit="1" customWidth="1"/>
    <col min="50" max="50" width="11.140625" bestFit="1" customWidth="1"/>
    <col min="51" max="51" width="9" bestFit="1" customWidth="1"/>
  </cols>
  <sheetData>
    <row r="3" spans="1:32" x14ac:dyDescent="0.25">
      <c r="J3">
        <f>SUM(K6/K7)</f>
        <v>1</v>
      </c>
    </row>
    <row r="4" spans="1:32" x14ac:dyDescent="0.25">
      <c r="A4" s="33"/>
      <c r="B4" s="33"/>
      <c r="C4" s="88" t="s">
        <v>276</v>
      </c>
      <c r="D4" s="88"/>
      <c r="E4" s="88"/>
      <c r="G4" s="33"/>
      <c r="H4" s="33"/>
      <c r="I4" s="33"/>
      <c r="M4" s="33"/>
      <c r="N4" s="33"/>
      <c r="O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 spans="1:32" x14ac:dyDescent="0.25">
      <c r="A5" s="33"/>
      <c r="B5" s="33" t="s">
        <v>10</v>
      </c>
      <c r="C5" s="33" t="s">
        <v>0</v>
      </c>
      <c r="D5" s="33" t="s">
        <v>170</v>
      </c>
      <c r="E5" s="33" t="s">
        <v>171</v>
      </c>
      <c r="F5" s="33" t="s">
        <v>172</v>
      </c>
      <c r="G5" s="33" t="s">
        <v>173</v>
      </c>
      <c r="H5" s="33" t="s">
        <v>174</v>
      </c>
      <c r="I5" s="33" t="s">
        <v>175</v>
      </c>
      <c r="J5" s="33" t="s">
        <v>16</v>
      </c>
      <c r="K5" s="33" t="s">
        <v>216</v>
      </c>
      <c r="L5" s="33" t="s">
        <v>176</v>
      </c>
      <c r="M5" s="33" t="s">
        <v>177</v>
      </c>
      <c r="N5" s="33" t="s">
        <v>19</v>
      </c>
      <c r="O5" s="33" t="s">
        <v>20</v>
      </c>
      <c r="P5" s="33" t="s">
        <v>21</v>
      </c>
      <c r="Q5" s="33" t="s">
        <v>23</v>
      </c>
      <c r="R5" s="33" t="s">
        <v>24</v>
      </c>
      <c r="S5" s="33" t="s">
        <v>25</v>
      </c>
      <c r="T5" s="33" t="s">
        <v>26</v>
      </c>
      <c r="U5" s="33" t="s">
        <v>178</v>
      </c>
      <c r="V5" s="33" t="s">
        <v>179</v>
      </c>
      <c r="W5" s="33" t="s">
        <v>180</v>
      </c>
      <c r="X5" s="33" t="s">
        <v>181</v>
      </c>
      <c r="Y5" s="33" t="s">
        <v>28</v>
      </c>
      <c r="Z5" s="33" t="s">
        <v>29</v>
      </c>
      <c r="AA5" s="33" t="s">
        <v>182</v>
      </c>
      <c r="AB5" s="33" t="s">
        <v>183</v>
      </c>
      <c r="AC5" s="33" t="s">
        <v>30</v>
      </c>
      <c r="AD5" s="33" t="s">
        <v>31</v>
      </c>
      <c r="AE5" s="33" t="s">
        <v>32</v>
      </c>
      <c r="AF5" s="33" t="s">
        <v>8</v>
      </c>
    </row>
    <row r="6" spans="1:32" x14ac:dyDescent="0.25">
      <c r="A6" s="33"/>
      <c r="B6" s="33" t="s">
        <v>34</v>
      </c>
      <c r="C6" t="s">
        <v>35</v>
      </c>
      <c r="D6" s="35" t="s">
        <v>230</v>
      </c>
      <c r="E6" t="s">
        <v>231</v>
      </c>
      <c r="F6" t="s">
        <v>232</v>
      </c>
      <c r="G6" s="33">
        <v>172</v>
      </c>
      <c r="H6" s="33" t="s">
        <v>273</v>
      </c>
      <c r="I6" s="33" t="s">
        <v>184</v>
      </c>
      <c r="J6" t="s">
        <v>40</v>
      </c>
      <c r="K6">
        <v>84.6</v>
      </c>
      <c r="L6">
        <v>1080</v>
      </c>
      <c r="M6" s="33">
        <v>2400</v>
      </c>
      <c r="N6" s="33" t="s">
        <v>43</v>
      </c>
      <c r="O6" s="33" t="s">
        <v>44</v>
      </c>
      <c r="P6" t="s">
        <v>45</v>
      </c>
      <c r="Q6">
        <v>8</v>
      </c>
      <c r="R6" s="33">
        <v>128</v>
      </c>
      <c r="S6" s="33">
        <v>50</v>
      </c>
      <c r="T6" s="33" t="s">
        <v>47</v>
      </c>
      <c r="U6" s="33" t="s">
        <v>185</v>
      </c>
      <c r="V6" s="33" t="s">
        <v>186</v>
      </c>
      <c r="W6" s="33"/>
      <c r="X6" s="33"/>
      <c r="Y6" s="33">
        <v>32</v>
      </c>
      <c r="Z6" s="33" t="s">
        <v>50</v>
      </c>
      <c r="AA6" s="33" t="s">
        <v>51</v>
      </c>
      <c r="AB6" s="33"/>
      <c r="AC6" s="33" t="s">
        <v>52</v>
      </c>
      <c r="AD6" s="33">
        <v>4300</v>
      </c>
      <c r="AE6" t="s">
        <v>54</v>
      </c>
      <c r="AF6">
        <v>8999000</v>
      </c>
    </row>
    <row r="7" spans="1:32" x14ac:dyDescent="0.25">
      <c r="A7" s="33"/>
      <c r="B7" s="33" t="s">
        <v>34</v>
      </c>
      <c r="C7" t="s">
        <v>35</v>
      </c>
      <c r="D7" t="s">
        <v>230</v>
      </c>
      <c r="E7" t="s">
        <v>231</v>
      </c>
      <c r="F7" t="s">
        <v>232</v>
      </c>
      <c r="G7" s="33">
        <v>172</v>
      </c>
      <c r="H7" s="33" t="s">
        <v>273</v>
      </c>
      <c r="I7" s="33" t="s">
        <v>184</v>
      </c>
      <c r="J7" t="s">
        <v>40</v>
      </c>
      <c r="K7">
        <v>84.6</v>
      </c>
      <c r="L7">
        <v>1080</v>
      </c>
      <c r="M7" s="33">
        <v>2400</v>
      </c>
      <c r="N7" s="33" t="s">
        <v>43</v>
      </c>
      <c r="O7" s="33" t="s">
        <v>44</v>
      </c>
      <c r="P7" t="s">
        <v>45</v>
      </c>
      <c r="Q7">
        <v>16</v>
      </c>
      <c r="R7" s="33">
        <v>512</v>
      </c>
      <c r="S7" s="33">
        <v>50</v>
      </c>
      <c r="T7" s="33" t="s">
        <v>47</v>
      </c>
      <c r="U7" s="33" t="s">
        <v>185</v>
      </c>
      <c r="V7" s="33" t="s">
        <v>186</v>
      </c>
      <c r="W7" s="33"/>
      <c r="X7" s="33"/>
      <c r="Y7" s="33">
        <v>32</v>
      </c>
      <c r="Z7" s="33" t="s">
        <v>50</v>
      </c>
      <c r="AA7" s="33" t="s">
        <v>51</v>
      </c>
      <c r="AB7" s="33"/>
      <c r="AC7" s="33" t="s">
        <v>52</v>
      </c>
      <c r="AD7" s="33">
        <v>4300</v>
      </c>
      <c r="AE7" t="s">
        <v>54</v>
      </c>
      <c r="AF7">
        <v>11999000</v>
      </c>
    </row>
    <row r="8" spans="1:32" x14ac:dyDescent="0.25">
      <c r="A8" s="33"/>
      <c r="B8" s="33" t="s">
        <v>34</v>
      </c>
      <c r="C8" t="s">
        <v>55</v>
      </c>
      <c r="D8" t="s">
        <v>233</v>
      </c>
      <c r="E8" t="s">
        <v>234</v>
      </c>
      <c r="F8" t="s">
        <v>235</v>
      </c>
      <c r="G8" s="33">
        <v>239</v>
      </c>
      <c r="H8" s="33" t="s">
        <v>273</v>
      </c>
      <c r="I8" s="33" t="s">
        <v>187</v>
      </c>
      <c r="J8" t="s">
        <v>59</v>
      </c>
      <c r="K8">
        <v>109.5</v>
      </c>
      <c r="L8">
        <v>1080</v>
      </c>
      <c r="M8" s="33">
        <v>2448</v>
      </c>
      <c r="N8" s="33" t="s">
        <v>43</v>
      </c>
      <c r="O8" s="33" t="s">
        <v>44</v>
      </c>
      <c r="P8" t="s">
        <v>45</v>
      </c>
      <c r="Q8">
        <v>16</v>
      </c>
      <c r="R8" s="33">
        <v>512</v>
      </c>
      <c r="S8" s="33">
        <v>50</v>
      </c>
      <c r="T8" s="33" t="s">
        <v>63</v>
      </c>
      <c r="U8" s="33" t="s">
        <v>188</v>
      </c>
      <c r="V8" s="33" t="s">
        <v>189</v>
      </c>
      <c r="W8" s="33" t="s">
        <v>190</v>
      </c>
      <c r="X8" s="33"/>
      <c r="Y8" s="33">
        <v>32</v>
      </c>
      <c r="Z8" s="33" t="s">
        <v>50</v>
      </c>
      <c r="AA8" s="33" t="s">
        <v>65</v>
      </c>
      <c r="AB8" s="33"/>
      <c r="AC8" s="33" t="s">
        <v>66</v>
      </c>
      <c r="AD8" s="33">
        <v>6000</v>
      </c>
      <c r="AE8" t="s">
        <v>54</v>
      </c>
      <c r="AF8">
        <v>23499000</v>
      </c>
    </row>
    <row r="9" spans="1:32" x14ac:dyDescent="0.25">
      <c r="A9" s="33"/>
      <c r="B9" s="33" t="s">
        <v>34</v>
      </c>
      <c r="C9" t="s">
        <v>68</v>
      </c>
      <c r="D9" t="s">
        <v>233</v>
      </c>
      <c r="E9" t="s">
        <v>234</v>
      </c>
      <c r="F9" t="s">
        <v>235</v>
      </c>
      <c r="G9" s="33">
        <v>239</v>
      </c>
      <c r="H9" s="33" t="s">
        <v>273</v>
      </c>
      <c r="I9" s="33" t="s">
        <v>187</v>
      </c>
      <c r="J9" t="s">
        <v>59</v>
      </c>
      <c r="K9">
        <v>109.5</v>
      </c>
      <c r="L9">
        <v>1080</v>
      </c>
      <c r="M9" s="33">
        <v>2448</v>
      </c>
      <c r="N9" s="33" t="s">
        <v>43</v>
      </c>
      <c r="O9" s="33" t="s">
        <v>44</v>
      </c>
      <c r="P9" t="s">
        <v>45</v>
      </c>
      <c r="Q9">
        <v>12</v>
      </c>
      <c r="R9" s="33">
        <v>256</v>
      </c>
      <c r="S9" s="33">
        <v>50</v>
      </c>
      <c r="T9" s="33" t="s">
        <v>63</v>
      </c>
      <c r="U9" s="33" t="s">
        <v>188</v>
      </c>
      <c r="V9" s="33" t="s">
        <v>189</v>
      </c>
      <c r="W9" s="33" t="s">
        <v>190</v>
      </c>
      <c r="X9" s="33"/>
      <c r="Y9" s="33">
        <v>32</v>
      </c>
      <c r="Z9" s="33" t="s">
        <v>50</v>
      </c>
      <c r="AA9" s="33" t="s">
        <v>65</v>
      </c>
      <c r="AB9" s="33"/>
      <c r="AC9" s="33" t="s">
        <v>66</v>
      </c>
      <c r="AD9" s="33">
        <v>6000</v>
      </c>
      <c r="AE9" t="s">
        <v>54</v>
      </c>
      <c r="AF9">
        <v>13499000</v>
      </c>
    </row>
    <row r="10" spans="1:32" x14ac:dyDescent="0.25">
      <c r="A10" s="33"/>
      <c r="B10" s="33" t="s">
        <v>34</v>
      </c>
      <c r="C10" t="s">
        <v>68</v>
      </c>
      <c r="D10" t="s">
        <v>233</v>
      </c>
      <c r="E10" t="s">
        <v>234</v>
      </c>
      <c r="F10" t="s">
        <v>235</v>
      </c>
      <c r="G10" s="33">
        <v>239</v>
      </c>
      <c r="H10" s="33" t="s">
        <v>273</v>
      </c>
      <c r="I10" s="33" t="s">
        <v>187</v>
      </c>
      <c r="J10" t="s">
        <v>59</v>
      </c>
      <c r="K10">
        <v>109.5</v>
      </c>
      <c r="L10">
        <v>1080</v>
      </c>
      <c r="M10" s="33">
        <v>2448</v>
      </c>
      <c r="N10" s="33" t="s">
        <v>43</v>
      </c>
      <c r="O10" s="33" t="s">
        <v>44</v>
      </c>
      <c r="P10" t="s">
        <v>45</v>
      </c>
      <c r="Q10">
        <v>16</v>
      </c>
      <c r="R10" s="33">
        <v>512</v>
      </c>
      <c r="S10" s="33">
        <v>50</v>
      </c>
      <c r="T10" s="33" t="s">
        <v>63</v>
      </c>
      <c r="U10" s="33" t="s">
        <v>188</v>
      </c>
      <c r="V10" s="33" t="s">
        <v>189</v>
      </c>
      <c r="W10" s="33" t="s">
        <v>190</v>
      </c>
      <c r="X10" s="33"/>
      <c r="Y10" s="33">
        <v>32</v>
      </c>
      <c r="Z10" s="33" t="s">
        <v>50</v>
      </c>
      <c r="AA10" s="33" t="s">
        <v>65</v>
      </c>
      <c r="AB10" s="33"/>
      <c r="AC10" s="33" t="s">
        <v>66</v>
      </c>
      <c r="AD10" s="33">
        <v>6000</v>
      </c>
      <c r="AE10" t="s">
        <v>54</v>
      </c>
      <c r="AF10">
        <v>28070000</v>
      </c>
    </row>
    <row r="11" spans="1:32" x14ac:dyDescent="0.25">
      <c r="A11" s="33"/>
      <c r="B11" s="33" t="s">
        <v>69</v>
      </c>
      <c r="C11" t="s">
        <v>70</v>
      </c>
      <c r="D11" t="s">
        <v>236</v>
      </c>
      <c r="E11" t="s">
        <v>237</v>
      </c>
      <c r="F11" t="s">
        <v>238</v>
      </c>
      <c r="G11" s="33">
        <v>221</v>
      </c>
      <c r="H11" s="33" t="s">
        <v>191</v>
      </c>
      <c r="I11" s="33" t="s">
        <v>187</v>
      </c>
      <c r="J11" t="s">
        <v>74</v>
      </c>
      <c r="K11">
        <v>110.2</v>
      </c>
      <c r="L11">
        <v>1290</v>
      </c>
      <c r="M11" s="33">
        <v>2796</v>
      </c>
      <c r="N11" s="33" t="s">
        <v>77</v>
      </c>
      <c r="O11" s="33" t="s">
        <v>78</v>
      </c>
      <c r="P11" t="s">
        <v>79</v>
      </c>
      <c r="Q11">
        <v>8</v>
      </c>
      <c r="R11" s="33">
        <v>256</v>
      </c>
      <c r="S11" s="33">
        <v>48</v>
      </c>
      <c r="T11" s="33" t="s">
        <v>63</v>
      </c>
      <c r="U11" s="33" t="s">
        <v>192</v>
      </c>
      <c r="V11" s="33" t="s">
        <v>190</v>
      </c>
      <c r="W11" s="33"/>
      <c r="X11" s="33"/>
      <c r="Y11" s="33">
        <v>12</v>
      </c>
      <c r="Z11" s="33" t="s">
        <v>50</v>
      </c>
      <c r="AA11" s="33" t="s">
        <v>192</v>
      </c>
      <c r="AB11" s="33" t="s">
        <v>190</v>
      </c>
      <c r="AC11" s="33" t="s">
        <v>83</v>
      </c>
      <c r="AD11" s="33">
        <v>4441</v>
      </c>
      <c r="AE11" t="s">
        <v>85</v>
      </c>
      <c r="AF11">
        <v>22999000</v>
      </c>
    </row>
    <row r="12" spans="1:32" x14ac:dyDescent="0.25">
      <c r="A12" s="33"/>
      <c r="B12" s="33" t="s">
        <v>69</v>
      </c>
      <c r="C12" t="s">
        <v>70</v>
      </c>
      <c r="D12" t="s">
        <v>236</v>
      </c>
      <c r="E12" t="s">
        <v>237</v>
      </c>
      <c r="F12" t="s">
        <v>238</v>
      </c>
      <c r="G12" s="33">
        <v>221</v>
      </c>
      <c r="H12" s="33" t="s">
        <v>191</v>
      </c>
      <c r="I12" s="33" t="s">
        <v>187</v>
      </c>
      <c r="J12" t="s">
        <v>74</v>
      </c>
      <c r="K12">
        <v>110.2</v>
      </c>
      <c r="L12">
        <v>1290</v>
      </c>
      <c r="M12" s="33">
        <v>2796</v>
      </c>
      <c r="N12" s="33" t="s">
        <v>77</v>
      </c>
      <c r="O12" s="33" t="s">
        <v>78</v>
      </c>
      <c r="P12" t="s">
        <v>79</v>
      </c>
      <c r="Q12">
        <v>8</v>
      </c>
      <c r="R12" s="33">
        <v>512</v>
      </c>
      <c r="S12" s="33">
        <v>48</v>
      </c>
      <c r="T12" s="33" t="s">
        <v>63</v>
      </c>
      <c r="U12" s="33" t="s">
        <v>192</v>
      </c>
      <c r="V12" s="33" t="s">
        <v>190</v>
      </c>
      <c r="W12" s="33"/>
      <c r="X12" s="33"/>
      <c r="Y12" s="33">
        <v>12</v>
      </c>
      <c r="Z12" s="33" t="s">
        <v>50</v>
      </c>
      <c r="AA12" s="33" t="s">
        <v>192</v>
      </c>
      <c r="AB12" s="33" t="s">
        <v>190</v>
      </c>
      <c r="AC12" s="33" t="s">
        <v>83</v>
      </c>
      <c r="AD12" s="33">
        <v>4441</v>
      </c>
      <c r="AE12" t="s">
        <v>85</v>
      </c>
      <c r="AF12">
        <v>27999000</v>
      </c>
    </row>
    <row r="13" spans="1:32" x14ac:dyDescent="0.25">
      <c r="A13" s="33"/>
      <c r="B13" s="33" t="s">
        <v>69</v>
      </c>
      <c r="C13" t="s">
        <v>70</v>
      </c>
      <c r="D13" t="s">
        <v>236</v>
      </c>
      <c r="E13" t="s">
        <v>237</v>
      </c>
      <c r="F13" t="s">
        <v>238</v>
      </c>
      <c r="G13" s="33">
        <v>221</v>
      </c>
      <c r="H13" s="33" t="s">
        <v>191</v>
      </c>
      <c r="I13" s="33" t="s">
        <v>187</v>
      </c>
      <c r="J13" t="s">
        <v>74</v>
      </c>
      <c r="K13">
        <v>110.2</v>
      </c>
      <c r="L13">
        <v>1290</v>
      </c>
      <c r="M13" s="33">
        <v>2796</v>
      </c>
      <c r="N13" s="33" t="s">
        <v>77</v>
      </c>
      <c r="O13" s="33" t="s">
        <v>78</v>
      </c>
      <c r="P13" t="s">
        <v>79</v>
      </c>
      <c r="Q13">
        <v>8</v>
      </c>
      <c r="R13" s="33">
        <v>1000</v>
      </c>
      <c r="S13" s="33">
        <v>48</v>
      </c>
      <c r="T13" s="33" t="s">
        <v>63</v>
      </c>
      <c r="U13" s="33" t="s">
        <v>192</v>
      </c>
      <c r="V13" s="33" t="s">
        <v>190</v>
      </c>
      <c r="W13" s="33"/>
      <c r="X13" s="33"/>
      <c r="Y13" s="33">
        <v>12</v>
      </c>
      <c r="Z13" s="33" t="s">
        <v>50</v>
      </c>
      <c r="AA13" s="33" t="s">
        <v>192</v>
      </c>
      <c r="AB13" s="33" t="s">
        <v>190</v>
      </c>
      <c r="AC13" s="33" t="s">
        <v>83</v>
      </c>
      <c r="AD13" s="33">
        <v>4441</v>
      </c>
      <c r="AE13" t="s">
        <v>85</v>
      </c>
      <c r="AF13">
        <v>31999000</v>
      </c>
    </row>
    <row r="14" spans="1:32" x14ac:dyDescent="0.25">
      <c r="A14" s="33"/>
      <c r="B14" s="33" t="s">
        <v>69</v>
      </c>
      <c r="C14" t="s">
        <v>86</v>
      </c>
      <c r="D14" t="s">
        <v>239</v>
      </c>
      <c r="E14" t="s">
        <v>240</v>
      </c>
      <c r="F14" t="s">
        <v>238</v>
      </c>
      <c r="G14" s="33">
        <v>187</v>
      </c>
      <c r="H14" s="33" t="s">
        <v>191</v>
      </c>
      <c r="I14" s="33" t="s">
        <v>187</v>
      </c>
      <c r="J14" t="s">
        <v>74</v>
      </c>
      <c r="K14">
        <v>91.3</v>
      </c>
      <c r="L14">
        <v>1179</v>
      </c>
      <c r="M14" s="33">
        <v>2556</v>
      </c>
      <c r="N14" s="33" t="s">
        <v>77</v>
      </c>
      <c r="O14" s="33" t="s">
        <v>78</v>
      </c>
      <c r="P14" t="s">
        <v>79</v>
      </c>
      <c r="Q14">
        <v>8</v>
      </c>
      <c r="R14" s="33">
        <v>128</v>
      </c>
      <c r="S14" s="33">
        <v>48</v>
      </c>
      <c r="T14" s="33" t="s">
        <v>63</v>
      </c>
      <c r="U14" s="33" t="s">
        <v>192</v>
      </c>
      <c r="V14" s="33" t="s">
        <v>190</v>
      </c>
      <c r="W14" s="33"/>
      <c r="X14" s="33"/>
      <c r="Y14" s="33">
        <v>12</v>
      </c>
      <c r="Z14" s="33" t="s">
        <v>50</v>
      </c>
      <c r="AA14" s="33" t="s">
        <v>192</v>
      </c>
      <c r="AB14" s="33" t="s">
        <v>190</v>
      </c>
      <c r="AC14" s="33" t="s">
        <v>83</v>
      </c>
      <c r="AD14" s="33">
        <v>3274</v>
      </c>
      <c r="AE14" t="s">
        <v>85</v>
      </c>
      <c r="AF14">
        <v>18999000</v>
      </c>
    </row>
    <row r="15" spans="1:32" x14ac:dyDescent="0.25">
      <c r="A15" s="33"/>
      <c r="B15" s="33" t="s">
        <v>69</v>
      </c>
      <c r="C15" t="s">
        <v>86</v>
      </c>
      <c r="D15" t="s">
        <v>239</v>
      </c>
      <c r="E15" t="s">
        <v>240</v>
      </c>
      <c r="F15" t="s">
        <v>238</v>
      </c>
      <c r="G15" s="33">
        <v>187</v>
      </c>
      <c r="H15" s="33" t="s">
        <v>191</v>
      </c>
      <c r="I15" s="33" t="s">
        <v>187</v>
      </c>
      <c r="J15" t="s">
        <v>74</v>
      </c>
      <c r="K15">
        <v>91.3</v>
      </c>
      <c r="L15">
        <v>1179</v>
      </c>
      <c r="M15" s="33">
        <v>2556</v>
      </c>
      <c r="N15" s="33" t="s">
        <v>77</v>
      </c>
      <c r="O15" s="33" t="s">
        <v>78</v>
      </c>
      <c r="P15" t="s">
        <v>79</v>
      </c>
      <c r="Q15">
        <v>8</v>
      </c>
      <c r="R15" s="33">
        <v>256</v>
      </c>
      <c r="S15" s="33">
        <v>48</v>
      </c>
      <c r="T15" s="33" t="s">
        <v>63</v>
      </c>
      <c r="U15" s="33" t="s">
        <v>192</v>
      </c>
      <c r="V15" s="33" t="s">
        <v>190</v>
      </c>
      <c r="W15" s="33"/>
      <c r="X15" s="33"/>
      <c r="Y15" s="33">
        <v>12</v>
      </c>
      <c r="Z15" s="33" t="s">
        <v>50</v>
      </c>
      <c r="AA15" s="33" t="s">
        <v>192</v>
      </c>
      <c r="AB15" s="33" t="s">
        <v>190</v>
      </c>
      <c r="AC15" s="33" t="s">
        <v>83</v>
      </c>
      <c r="AD15" s="33">
        <v>3274</v>
      </c>
      <c r="AE15" t="s">
        <v>85</v>
      </c>
      <c r="AF15">
        <v>21999000</v>
      </c>
    </row>
    <row r="16" spans="1:32" x14ac:dyDescent="0.25">
      <c r="A16" s="33"/>
      <c r="B16" s="33" t="s">
        <v>69</v>
      </c>
      <c r="C16" t="s">
        <v>86</v>
      </c>
      <c r="D16" t="s">
        <v>239</v>
      </c>
      <c r="E16" t="s">
        <v>240</v>
      </c>
      <c r="F16" t="s">
        <v>238</v>
      </c>
      <c r="G16" s="33">
        <v>187</v>
      </c>
      <c r="H16" s="33" t="s">
        <v>191</v>
      </c>
      <c r="I16" s="33" t="s">
        <v>187</v>
      </c>
      <c r="J16" t="s">
        <v>74</v>
      </c>
      <c r="K16">
        <v>91.3</v>
      </c>
      <c r="L16">
        <v>1179</v>
      </c>
      <c r="M16" s="33">
        <v>2556</v>
      </c>
      <c r="N16" s="33" t="s">
        <v>77</v>
      </c>
      <c r="O16" s="33" t="s">
        <v>78</v>
      </c>
      <c r="P16" t="s">
        <v>79</v>
      </c>
      <c r="Q16">
        <v>8</v>
      </c>
      <c r="R16" s="33">
        <v>512</v>
      </c>
      <c r="S16" s="33">
        <v>48</v>
      </c>
      <c r="T16" s="33" t="s">
        <v>63</v>
      </c>
      <c r="U16" s="33" t="s">
        <v>192</v>
      </c>
      <c r="V16" s="33" t="s">
        <v>190</v>
      </c>
      <c r="W16" s="33"/>
      <c r="X16" s="33"/>
      <c r="Y16" s="33">
        <v>12</v>
      </c>
      <c r="Z16" s="33" t="s">
        <v>50</v>
      </c>
      <c r="AA16" s="33" t="s">
        <v>192</v>
      </c>
      <c r="AB16" s="33" t="s">
        <v>190</v>
      </c>
      <c r="AC16" s="33" t="s">
        <v>83</v>
      </c>
      <c r="AD16" s="33">
        <v>3274</v>
      </c>
      <c r="AE16" t="s">
        <v>85</v>
      </c>
      <c r="AF16">
        <v>25999000</v>
      </c>
    </row>
    <row r="17" spans="1:32" x14ac:dyDescent="0.25">
      <c r="A17" s="33"/>
      <c r="B17" s="33" t="s">
        <v>69</v>
      </c>
      <c r="C17" t="s">
        <v>86</v>
      </c>
      <c r="D17" t="s">
        <v>239</v>
      </c>
      <c r="E17" t="s">
        <v>240</v>
      </c>
      <c r="F17" t="s">
        <v>238</v>
      </c>
      <c r="G17" s="33">
        <v>187</v>
      </c>
      <c r="H17" s="33" t="s">
        <v>191</v>
      </c>
      <c r="I17" s="33" t="s">
        <v>187</v>
      </c>
      <c r="J17" t="s">
        <v>74</v>
      </c>
      <c r="K17">
        <v>91.3</v>
      </c>
      <c r="L17">
        <v>1179</v>
      </c>
      <c r="M17" s="33">
        <v>2556</v>
      </c>
      <c r="N17" s="33" t="s">
        <v>77</v>
      </c>
      <c r="O17" s="33" t="s">
        <v>78</v>
      </c>
      <c r="P17" t="s">
        <v>79</v>
      </c>
      <c r="Q17">
        <v>8</v>
      </c>
      <c r="R17" s="33">
        <v>1000</v>
      </c>
      <c r="S17" s="33">
        <v>48</v>
      </c>
      <c r="T17" s="33" t="s">
        <v>63</v>
      </c>
      <c r="U17" s="33" t="s">
        <v>192</v>
      </c>
      <c r="V17" s="33" t="s">
        <v>190</v>
      </c>
      <c r="W17" s="33"/>
      <c r="X17" s="33"/>
      <c r="Y17" s="33">
        <v>12</v>
      </c>
      <c r="Z17" s="33" t="s">
        <v>50</v>
      </c>
      <c r="AA17" s="33" t="s">
        <v>192</v>
      </c>
      <c r="AB17" s="33" t="s">
        <v>190</v>
      </c>
      <c r="AC17" s="33" t="s">
        <v>83</v>
      </c>
      <c r="AD17" s="33">
        <v>3274</v>
      </c>
      <c r="AE17" t="s">
        <v>85</v>
      </c>
      <c r="AF17">
        <v>29999000</v>
      </c>
    </row>
    <row r="18" spans="1:32" x14ac:dyDescent="0.25">
      <c r="A18" s="33"/>
      <c r="B18" s="33" t="s">
        <v>69</v>
      </c>
      <c r="C18" t="s">
        <v>92</v>
      </c>
      <c r="D18" t="s">
        <v>241</v>
      </c>
      <c r="E18" t="s">
        <v>242</v>
      </c>
      <c r="F18" t="s">
        <v>243</v>
      </c>
      <c r="G18" s="33">
        <v>201</v>
      </c>
      <c r="H18" s="33" t="s">
        <v>273</v>
      </c>
      <c r="I18" s="33" t="s">
        <v>187</v>
      </c>
      <c r="J18" t="s">
        <v>74</v>
      </c>
      <c r="K18">
        <v>110.2</v>
      </c>
      <c r="L18">
        <v>1290</v>
      </c>
      <c r="M18" s="33">
        <v>2796</v>
      </c>
      <c r="N18" s="33" t="s">
        <v>77</v>
      </c>
      <c r="O18" s="33" t="s">
        <v>95</v>
      </c>
      <c r="P18" t="s">
        <v>79</v>
      </c>
      <c r="Q18">
        <v>8</v>
      </c>
      <c r="R18" s="33">
        <v>128</v>
      </c>
      <c r="S18" s="33">
        <v>48</v>
      </c>
      <c r="T18" s="33" t="s">
        <v>47</v>
      </c>
      <c r="U18" s="33" t="s">
        <v>192</v>
      </c>
      <c r="V18" s="33" t="s">
        <v>190</v>
      </c>
      <c r="W18" s="33"/>
      <c r="X18" s="33"/>
      <c r="Y18" s="33">
        <v>12</v>
      </c>
      <c r="Z18" s="33" t="s">
        <v>50</v>
      </c>
      <c r="AA18" s="33" t="s">
        <v>192</v>
      </c>
      <c r="AB18" s="33" t="s">
        <v>193</v>
      </c>
      <c r="AC18" s="33" t="s">
        <v>52</v>
      </c>
      <c r="AD18" s="33">
        <v>4382</v>
      </c>
      <c r="AE18" t="s">
        <v>85</v>
      </c>
      <c r="AF18">
        <v>15999000</v>
      </c>
    </row>
    <row r="19" spans="1:32" x14ac:dyDescent="0.25">
      <c r="A19" s="33"/>
      <c r="B19" s="33" t="s">
        <v>69</v>
      </c>
      <c r="C19" t="s">
        <v>92</v>
      </c>
      <c r="D19" t="s">
        <v>241</v>
      </c>
      <c r="E19" t="s">
        <v>242</v>
      </c>
      <c r="F19" t="s">
        <v>243</v>
      </c>
      <c r="G19" s="33">
        <v>201</v>
      </c>
      <c r="H19" s="33" t="s">
        <v>273</v>
      </c>
      <c r="I19" s="33" t="s">
        <v>187</v>
      </c>
      <c r="J19" t="s">
        <v>74</v>
      </c>
      <c r="K19">
        <v>110.2</v>
      </c>
      <c r="L19">
        <v>1290</v>
      </c>
      <c r="M19" s="33">
        <v>2796</v>
      </c>
      <c r="N19" s="33" t="s">
        <v>77</v>
      </c>
      <c r="O19" s="33" t="s">
        <v>95</v>
      </c>
      <c r="P19" t="s">
        <v>79</v>
      </c>
      <c r="Q19">
        <v>8</v>
      </c>
      <c r="R19" s="33">
        <v>256</v>
      </c>
      <c r="S19" s="33">
        <v>48</v>
      </c>
      <c r="T19" s="33" t="s">
        <v>47</v>
      </c>
      <c r="U19" s="33" t="s">
        <v>192</v>
      </c>
      <c r="V19" s="33" t="s">
        <v>190</v>
      </c>
      <c r="W19" s="33"/>
      <c r="X19" s="33"/>
      <c r="Y19" s="33">
        <v>12</v>
      </c>
      <c r="Z19" s="33" t="s">
        <v>50</v>
      </c>
      <c r="AA19" s="33" t="s">
        <v>192</v>
      </c>
      <c r="AB19" s="33" t="s">
        <v>193</v>
      </c>
      <c r="AC19" s="33" t="s">
        <v>52</v>
      </c>
      <c r="AD19" s="33">
        <v>4382</v>
      </c>
      <c r="AE19" t="s">
        <v>85</v>
      </c>
      <c r="AF19">
        <v>18999000</v>
      </c>
    </row>
    <row r="20" spans="1:32" x14ac:dyDescent="0.25">
      <c r="A20" s="33"/>
      <c r="B20" s="33" t="s">
        <v>69</v>
      </c>
      <c r="C20" t="s">
        <v>92</v>
      </c>
      <c r="D20" t="s">
        <v>241</v>
      </c>
      <c r="E20" t="s">
        <v>242</v>
      </c>
      <c r="F20" t="s">
        <v>243</v>
      </c>
      <c r="G20" s="33">
        <v>201</v>
      </c>
      <c r="H20" s="33" t="s">
        <v>191</v>
      </c>
      <c r="I20" s="33" t="s">
        <v>187</v>
      </c>
      <c r="J20" t="s">
        <v>74</v>
      </c>
      <c r="K20">
        <v>110.2</v>
      </c>
      <c r="L20">
        <v>1290</v>
      </c>
      <c r="M20" s="33">
        <v>2796</v>
      </c>
      <c r="N20" s="33" t="s">
        <v>77</v>
      </c>
      <c r="O20" s="33" t="s">
        <v>95</v>
      </c>
      <c r="P20" t="s">
        <v>79</v>
      </c>
      <c r="Q20">
        <v>8</v>
      </c>
      <c r="R20" s="33">
        <v>512</v>
      </c>
      <c r="S20" s="33">
        <v>48</v>
      </c>
      <c r="T20" s="33" t="s">
        <v>47</v>
      </c>
      <c r="U20" s="33" t="s">
        <v>192</v>
      </c>
      <c r="V20" s="33" t="s">
        <v>190</v>
      </c>
      <c r="W20" s="33"/>
      <c r="X20" s="33"/>
      <c r="Y20" s="33">
        <v>12</v>
      </c>
      <c r="Z20" s="33" t="s">
        <v>50</v>
      </c>
      <c r="AA20" s="33" t="s">
        <v>192</v>
      </c>
      <c r="AB20" s="33" t="s">
        <v>193</v>
      </c>
      <c r="AC20" s="33" t="s">
        <v>52</v>
      </c>
      <c r="AD20" s="33">
        <v>4382</v>
      </c>
      <c r="AE20" t="s">
        <v>85</v>
      </c>
      <c r="AF20">
        <v>22999000</v>
      </c>
    </row>
    <row r="21" spans="1:32" x14ac:dyDescent="0.25">
      <c r="A21" s="33"/>
      <c r="B21" s="33" t="s">
        <v>69</v>
      </c>
      <c r="C21" t="s">
        <v>98</v>
      </c>
      <c r="D21" t="s">
        <v>244</v>
      </c>
      <c r="E21" t="s">
        <v>245</v>
      </c>
      <c r="F21" t="s">
        <v>243</v>
      </c>
      <c r="G21" s="33">
        <v>171</v>
      </c>
      <c r="H21" s="33" t="s">
        <v>273</v>
      </c>
      <c r="I21" s="33" t="s">
        <v>187</v>
      </c>
      <c r="J21" t="s">
        <v>74</v>
      </c>
      <c r="K21">
        <v>91.3</v>
      </c>
      <c r="L21">
        <v>1179</v>
      </c>
      <c r="M21" s="33">
        <v>2556</v>
      </c>
      <c r="N21" s="33" t="s">
        <v>77</v>
      </c>
      <c r="O21" s="33" t="s">
        <v>95</v>
      </c>
      <c r="P21" t="s">
        <v>79</v>
      </c>
      <c r="Q21">
        <v>8</v>
      </c>
      <c r="R21" s="33">
        <v>128</v>
      </c>
      <c r="S21" s="33">
        <v>48</v>
      </c>
      <c r="T21" s="33" t="s">
        <v>47</v>
      </c>
      <c r="U21" s="33" t="s">
        <v>192</v>
      </c>
      <c r="V21" s="33" t="s">
        <v>190</v>
      </c>
      <c r="W21" s="33"/>
      <c r="X21" s="33"/>
      <c r="Y21" s="33">
        <v>12</v>
      </c>
      <c r="Z21" s="33" t="s">
        <v>50</v>
      </c>
      <c r="AA21" s="33" t="s">
        <v>192</v>
      </c>
      <c r="AB21" s="33" t="s">
        <v>193</v>
      </c>
      <c r="AC21" s="33" t="s">
        <v>52</v>
      </c>
      <c r="AD21" s="33">
        <v>3349</v>
      </c>
      <c r="AE21" t="s">
        <v>85</v>
      </c>
      <c r="AF21">
        <v>15999000</v>
      </c>
    </row>
    <row r="22" spans="1:32" x14ac:dyDescent="0.25">
      <c r="A22" s="33"/>
      <c r="B22" s="33" t="s">
        <v>69</v>
      </c>
      <c r="C22" t="s">
        <v>98</v>
      </c>
      <c r="D22" t="s">
        <v>244</v>
      </c>
      <c r="E22" t="s">
        <v>245</v>
      </c>
      <c r="F22" t="s">
        <v>243</v>
      </c>
      <c r="G22" s="33">
        <v>171</v>
      </c>
      <c r="H22" s="33" t="s">
        <v>273</v>
      </c>
      <c r="I22" s="33" t="s">
        <v>187</v>
      </c>
      <c r="J22" t="s">
        <v>74</v>
      </c>
      <c r="K22">
        <v>91.3</v>
      </c>
      <c r="L22">
        <v>1179</v>
      </c>
      <c r="M22" s="33">
        <v>2556</v>
      </c>
      <c r="N22" s="33" t="s">
        <v>77</v>
      </c>
      <c r="O22" s="33" t="s">
        <v>95</v>
      </c>
      <c r="P22" t="s">
        <v>79</v>
      </c>
      <c r="Q22">
        <v>8</v>
      </c>
      <c r="R22" s="33">
        <v>256</v>
      </c>
      <c r="S22" s="33">
        <v>48</v>
      </c>
      <c r="T22" s="33" t="s">
        <v>47</v>
      </c>
      <c r="U22" s="33" t="s">
        <v>192</v>
      </c>
      <c r="V22" s="33" t="s">
        <v>190</v>
      </c>
      <c r="W22" s="33"/>
      <c r="X22" s="33"/>
      <c r="Y22" s="33">
        <v>12</v>
      </c>
      <c r="Z22" s="33" t="s">
        <v>50</v>
      </c>
      <c r="AA22" s="33" t="s">
        <v>192</v>
      </c>
      <c r="AB22" s="33" t="s">
        <v>193</v>
      </c>
      <c r="AC22" s="33" t="s">
        <v>52</v>
      </c>
      <c r="AD22" s="33">
        <v>3349</v>
      </c>
      <c r="AE22" t="s">
        <v>85</v>
      </c>
      <c r="AF22">
        <v>18999000</v>
      </c>
    </row>
    <row r="23" spans="1:32" x14ac:dyDescent="0.25">
      <c r="A23" s="33"/>
      <c r="B23" s="33" t="s">
        <v>69</v>
      </c>
      <c r="C23" t="s">
        <v>98</v>
      </c>
      <c r="D23" t="s">
        <v>244</v>
      </c>
      <c r="E23" t="s">
        <v>245</v>
      </c>
      <c r="F23" t="s">
        <v>243</v>
      </c>
      <c r="G23" s="33">
        <v>171</v>
      </c>
      <c r="H23" s="33" t="s">
        <v>273</v>
      </c>
      <c r="I23" s="33" t="s">
        <v>187</v>
      </c>
      <c r="J23" t="s">
        <v>74</v>
      </c>
      <c r="K23">
        <v>91.3</v>
      </c>
      <c r="L23">
        <v>1179</v>
      </c>
      <c r="M23" s="33">
        <v>2556</v>
      </c>
      <c r="N23" s="33" t="s">
        <v>77</v>
      </c>
      <c r="O23" s="33" t="s">
        <v>95</v>
      </c>
      <c r="P23" t="s">
        <v>79</v>
      </c>
      <c r="Q23">
        <v>8</v>
      </c>
      <c r="R23" s="33">
        <v>512</v>
      </c>
      <c r="S23" s="33">
        <v>48</v>
      </c>
      <c r="T23" s="33" t="s">
        <v>47</v>
      </c>
      <c r="U23" s="33" t="s">
        <v>192</v>
      </c>
      <c r="V23" s="33" t="s">
        <v>190</v>
      </c>
      <c r="W23" s="33"/>
      <c r="X23" s="33"/>
      <c r="Y23" s="33">
        <v>12</v>
      </c>
      <c r="Z23" s="33" t="s">
        <v>50</v>
      </c>
      <c r="AA23" s="33" t="s">
        <v>192</v>
      </c>
      <c r="AB23" s="33" t="s">
        <v>193</v>
      </c>
      <c r="AC23" s="33" t="s">
        <v>52</v>
      </c>
      <c r="AD23" s="33">
        <v>3349</v>
      </c>
      <c r="AE23" t="s">
        <v>85</v>
      </c>
      <c r="AF23">
        <v>22999000</v>
      </c>
    </row>
    <row r="24" spans="1:32" x14ac:dyDescent="0.25">
      <c r="A24" s="33"/>
      <c r="B24" s="33" t="s">
        <v>102</v>
      </c>
      <c r="C24" t="s">
        <v>103</v>
      </c>
      <c r="D24" t="s">
        <v>246</v>
      </c>
      <c r="E24" t="s">
        <v>240</v>
      </c>
      <c r="F24" t="s">
        <v>247</v>
      </c>
      <c r="G24" s="33">
        <v>167</v>
      </c>
      <c r="H24" s="33" t="s">
        <v>191</v>
      </c>
      <c r="I24" s="33" t="s">
        <v>187</v>
      </c>
      <c r="J24" t="s">
        <v>106</v>
      </c>
      <c r="K24">
        <v>94.4</v>
      </c>
      <c r="L24">
        <v>1080</v>
      </c>
      <c r="M24" s="33">
        <v>2340</v>
      </c>
      <c r="N24" s="33" t="s">
        <v>109</v>
      </c>
      <c r="O24" s="33" t="s">
        <v>110</v>
      </c>
      <c r="P24" t="s">
        <v>45</v>
      </c>
      <c r="Q24">
        <v>8</v>
      </c>
      <c r="R24" s="33">
        <v>512</v>
      </c>
      <c r="S24" s="33">
        <v>50</v>
      </c>
      <c r="T24" s="33" t="s">
        <v>63</v>
      </c>
      <c r="U24" s="33" t="s">
        <v>188</v>
      </c>
      <c r="V24" s="33" t="s">
        <v>189</v>
      </c>
      <c r="W24" s="33" t="s">
        <v>190</v>
      </c>
      <c r="X24" s="33"/>
      <c r="Y24" s="33">
        <v>12</v>
      </c>
      <c r="Z24" s="33" t="s">
        <v>50</v>
      </c>
      <c r="AA24" s="33" t="s">
        <v>194</v>
      </c>
      <c r="AB24" s="33" t="s">
        <v>195</v>
      </c>
      <c r="AC24" s="33" t="s">
        <v>83</v>
      </c>
      <c r="AD24" s="33">
        <v>4000</v>
      </c>
      <c r="AE24" t="s">
        <v>85</v>
      </c>
      <c r="AF24">
        <v>15999000</v>
      </c>
    </row>
    <row r="25" spans="1:32" x14ac:dyDescent="0.25">
      <c r="A25" s="33"/>
      <c r="B25" s="33" t="s">
        <v>102</v>
      </c>
      <c r="C25" t="s">
        <v>113</v>
      </c>
      <c r="D25" t="s">
        <v>248</v>
      </c>
      <c r="E25" t="s">
        <v>249</v>
      </c>
      <c r="F25" t="s">
        <v>250</v>
      </c>
      <c r="G25" s="33">
        <v>232</v>
      </c>
      <c r="H25" s="33" t="s">
        <v>191</v>
      </c>
      <c r="I25" s="33" t="s">
        <v>187</v>
      </c>
      <c r="J25" t="s">
        <v>106</v>
      </c>
      <c r="K25">
        <v>113.5</v>
      </c>
      <c r="L25">
        <v>1440</v>
      </c>
      <c r="M25" s="33">
        <v>3120</v>
      </c>
      <c r="N25" s="33" t="s">
        <v>109</v>
      </c>
      <c r="O25" s="33" t="s">
        <v>110</v>
      </c>
      <c r="P25" t="s">
        <v>45</v>
      </c>
      <c r="Q25">
        <v>12</v>
      </c>
      <c r="R25" s="33">
        <v>512</v>
      </c>
      <c r="S25" s="33">
        <v>200</v>
      </c>
      <c r="T25" s="33" t="s">
        <v>119</v>
      </c>
      <c r="U25" s="33" t="s">
        <v>196</v>
      </c>
      <c r="V25" s="33" t="s">
        <v>197</v>
      </c>
      <c r="W25" s="33" t="s">
        <v>198</v>
      </c>
      <c r="X25" s="33"/>
      <c r="Y25" s="33">
        <v>12</v>
      </c>
      <c r="Z25" s="33" t="s">
        <v>50</v>
      </c>
      <c r="AA25" s="33" t="s">
        <v>194</v>
      </c>
      <c r="AB25" s="33" t="s">
        <v>195</v>
      </c>
      <c r="AC25" s="33" t="s">
        <v>83</v>
      </c>
      <c r="AD25" s="33">
        <v>5000</v>
      </c>
      <c r="AE25" t="s">
        <v>85</v>
      </c>
      <c r="AF25">
        <v>23999000</v>
      </c>
    </row>
    <row r="26" spans="1:32" x14ac:dyDescent="0.25">
      <c r="A26" s="33"/>
      <c r="B26" s="33" t="s">
        <v>102</v>
      </c>
      <c r="C26" t="s">
        <v>113</v>
      </c>
      <c r="D26" t="s">
        <v>248</v>
      </c>
      <c r="E26" t="s">
        <v>249</v>
      </c>
      <c r="F26" t="s">
        <v>250</v>
      </c>
      <c r="G26" s="33">
        <v>232</v>
      </c>
      <c r="H26" s="33" t="s">
        <v>191</v>
      </c>
      <c r="I26" s="33" t="s">
        <v>187</v>
      </c>
      <c r="J26" t="s">
        <v>106</v>
      </c>
      <c r="K26">
        <v>113.5</v>
      </c>
      <c r="L26">
        <v>1440</v>
      </c>
      <c r="M26" s="33">
        <v>3120</v>
      </c>
      <c r="N26" s="33" t="s">
        <v>109</v>
      </c>
      <c r="O26" s="33" t="s">
        <v>110</v>
      </c>
      <c r="P26" t="s">
        <v>45</v>
      </c>
      <c r="Q26">
        <v>12</v>
      </c>
      <c r="R26" s="33">
        <v>1000</v>
      </c>
      <c r="S26" s="33">
        <v>200</v>
      </c>
      <c r="T26" s="33" t="s">
        <v>119</v>
      </c>
      <c r="U26" s="33" t="s">
        <v>196</v>
      </c>
      <c r="V26" s="33" t="s">
        <v>197</v>
      </c>
      <c r="W26" s="33" t="s">
        <v>198</v>
      </c>
      <c r="X26" s="33"/>
      <c r="Y26" s="33">
        <v>12</v>
      </c>
      <c r="Z26" s="33" t="s">
        <v>50</v>
      </c>
      <c r="AA26" s="33" t="s">
        <v>194</v>
      </c>
      <c r="AB26" s="33" t="s">
        <v>195</v>
      </c>
      <c r="AC26" s="33" t="s">
        <v>83</v>
      </c>
      <c r="AD26" s="33">
        <v>5000</v>
      </c>
      <c r="AE26" t="s">
        <v>85</v>
      </c>
      <c r="AF26">
        <v>27999000</v>
      </c>
    </row>
    <row r="27" spans="1:32" x14ac:dyDescent="0.25">
      <c r="A27" s="33"/>
      <c r="B27" s="33" t="s">
        <v>102</v>
      </c>
      <c r="C27" t="s">
        <v>122</v>
      </c>
      <c r="D27" t="s">
        <v>251</v>
      </c>
      <c r="E27" t="s">
        <v>252</v>
      </c>
      <c r="F27" t="s">
        <v>253</v>
      </c>
      <c r="G27" s="33">
        <v>196</v>
      </c>
      <c r="H27" s="33" t="s">
        <v>273</v>
      </c>
      <c r="I27" s="33" t="s">
        <v>187</v>
      </c>
      <c r="J27" t="s">
        <v>106</v>
      </c>
      <c r="K27">
        <v>110.2</v>
      </c>
      <c r="L27">
        <v>1440</v>
      </c>
      <c r="M27" s="33">
        <v>3120</v>
      </c>
      <c r="N27" s="33" t="s">
        <v>109</v>
      </c>
      <c r="O27" s="33" t="s">
        <v>110</v>
      </c>
      <c r="P27" t="s">
        <v>125</v>
      </c>
      <c r="Q27">
        <v>12</v>
      </c>
      <c r="R27" s="33">
        <v>512</v>
      </c>
      <c r="S27" s="33">
        <v>50</v>
      </c>
      <c r="T27" s="33" t="s">
        <v>63</v>
      </c>
      <c r="U27" s="33" t="s">
        <v>196</v>
      </c>
      <c r="V27" s="33" t="s">
        <v>189</v>
      </c>
      <c r="W27" s="33" t="s">
        <v>198</v>
      </c>
      <c r="X27" s="33"/>
      <c r="Y27" s="33">
        <v>12</v>
      </c>
      <c r="Z27" s="33" t="s">
        <v>50</v>
      </c>
      <c r="AA27" s="33" t="s">
        <v>194</v>
      </c>
      <c r="AB27" s="33" t="s">
        <v>195</v>
      </c>
      <c r="AC27" s="33" t="s">
        <v>83</v>
      </c>
      <c r="AD27" s="33">
        <v>4900</v>
      </c>
      <c r="AE27" t="s">
        <v>85</v>
      </c>
      <c r="AF27">
        <v>18999000</v>
      </c>
    </row>
    <row r="28" spans="1:32" x14ac:dyDescent="0.25">
      <c r="A28" s="33"/>
      <c r="B28" s="33" t="s">
        <v>102</v>
      </c>
      <c r="C28" t="s">
        <v>113</v>
      </c>
      <c r="D28" t="s">
        <v>248</v>
      </c>
      <c r="E28" t="s">
        <v>249</v>
      </c>
      <c r="F28" t="s">
        <v>250</v>
      </c>
      <c r="G28" s="33">
        <v>232</v>
      </c>
      <c r="H28" s="33" t="s">
        <v>191</v>
      </c>
      <c r="I28" s="33" t="s">
        <v>187</v>
      </c>
      <c r="J28" t="s">
        <v>106</v>
      </c>
      <c r="K28">
        <v>113.5</v>
      </c>
      <c r="L28">
        <v>1440</v>
      </c>
      <c r="M28" s="33">
        <v>3120</v>
      </c>
      <c r="N28" s="33" t="s">
        <v>109</v>
      </c>
      <c r="O28" s="33" t="s">
        <v>110</v>
      </c>
      <c r="P28" t="s">
        <v>45</v>
      </c>
      <c r="Q28">
        <v>12</v>
      </c>
      <c r="R28" s="33">
        <v>1000</v>
      </c>
      <c r="S28" s="33">
        <v>200</v>
      </c>
      <c r="T28" s="33" t="s">
        <v>119</v>
      </c>
      <c r="U28" s="33" t="s">
        <v>196</v>
      </c>
      <c r="V28" s="33" t="s">
        <v>197</v>
      </c>
      <c r="W28" s="33" t="s">
        <v>198</v>
      </c>
      <c r="X28" s="33"/>
      <c r="Y28" s="33">
        <v>12</v>
      </c>
      <c r="Z28" s="33" t="s">
        <v>50</v>
      </c>
      <c r="AA28" s="33" t="s">
        <v>194</v>
      </c>
      <c r="AB28" s="33" t="s">
        <v>195</v>
      </c>
      <c r="AC28" s="33" t="s">
        <v>83</v>
      </c>
      <c r="AD28" s="33">
        <v>5000</v>
      </c>
      <c r="AE28" t="s">
        <v>85</v>
      </c>
      <c r="AF28">
        <v>21999000</v>
      </c>
    </row>
    <row r="29" spans="1:32" x14ac:dyDescent="0.25">
      <c r="A29" s="33"/>
      <c r="B29" s="33" t="s">
        <v>102</v>
      </c>
      <c r="C29" t="s">
        <v>128</v>
      </c>
      <c r="D29" t="s">
        <v>254</v>
      </c>
      <c r="E29" t="s">
        <v>255</v>
      </c>
      <c r="F29" t="s">
        <v>256</v>
      </c>
      <c r="G29" s="33">
        <v>209</v>
      </c>
      <c r="H29" s="33" t="s">
        <v>199</v>
      </c>
      <c r="I29" s="33" t="s">
        <v>187</v>
      </c>
      <c r="J29" t="s">
        <v>132</v>
      </c>
      <c r="K29">
        <v>100.5</v>
      </c>
      <c r="L29">
        <v>1080</v>
      </c>
      <c r="M29" s="33">
        <v>2340</v>
      </c>
      <c r="N29" s="33" t="s">
        <v>43</v>
      </c>
      <c r="O29" s="33" t="s">
        <v>134</v>
      </c>
      <c r="P29" t="s">
        <v>45</v>
      </c>
      <c r="Q29">
        <v>8</v>
      </c>
      <c r="R29" s="33">
        <v>256</v>
      </c>
      <c r="S29" s="33">
        <v>50</v>
      </c>
      <c r="T29" s="33" t="s">
        <v>63</v>
      </c>
      <c r="U29" s="33" t="s">
        <v>188</v>
      </c>
      <c r="V29" s="33" t="s">
        <v>189</v>
      </c>
      <c r="W29" s="33" t="s">
        <v>190</v>
      </c>
      <c r="X29" s="33"/>
      <c r="Y29" s="33">
        <v>10</v>
      </c>
      <c r="Z29" s="33" t="s">
        <v>50</v>
      </c>
      <c r="AA29" s="33" t="s">
        <v>194</v>
      </c>
      <c r="AB29" s="33" t="s">
        <v>200</v>
      </c>
      <c r="AC29" s="33" t="s">
        <v>137</v>
      </c>
      <c r="AD29" s="33">
        <v>4500</v>
      </c>
      <c r="AE29" t="s">
        <v>85</v>
      </c>
      <c r="AF29">
        <v>9999000</v>
      </c>
    </row>
    <row r="30" spans="1:32" x14ac:dyDescent="0.25">
      <c r="A30" s="33"/>
      <c r="B30" s="33" t="s">
        <v>102</v>
      </c>
      <c r="C30" t="s">
        <v>128</v>
      </c>
      <c r="D30" t="s">
        <v>254</v>
      </c>
      <c r="E30" t="s">
        <v>255</v>
      </c>
      <c r="F30" t="s">
        <v>256</v>
      </c>
      <c r="G30" s="33">
        <v>209</v>
      </c>
      <c r="H30" s="33" t="s">
        <v>199</v>
      </c>
      <c r="I30" s="33" t="s">
        <v>187</v>
      </c>
      <c r="J30" t="s">
        <v>132</v>
      </c>
      <c r="K30">
        <v>100.5</v>
      </c>
      <c r="L30">
        <v>1080</v>
      </c>
      <c r="M30" s="33">
        <v>2340</v>
      </c>
      <c r="N30" s="33" t="s">
        <v>43</v>
      </c>
      <c r="O30" s="33" t="s">
        <v>134</v>
      </c>
      <c r="P30" t="s">
        <v>45</v>
      </c>
      <c r="Q30">
        <v>8</v>
      </c>
      <c r="R30" s="33">
        <v>128</v>
      </c>
      <c r="S30" s="33">
        <v>50</v>
      </c>
      <c r="T30" s="33" t="s">
        <v>63</v>
      </c>
      <c r="U30" s="33" t="s">
        <v>188</v>
      </c>
      <c r="V30" s="33" t="s">
        <v>189</v>
      </c>
      <c r="W30" s="33" t="s">
        <v>190</v>
      </c>
      <c r="X30" s="33"/>
      <c r="Y30" s="33">
        <v>10</v>
      </c>
      <c r="Z30" s="33" t="s">
        <v>50</v>
      </c>
      <c r="AA30" s="33" t="s">
        <v>194</v>
      </c>
      <c r="AB30" s="33" t="s">
        <v>200</v>
      </c>
      <c r="AC30" s="33" t="s">
        <v>137</v>
      </c>
      <c r="AD30" s="33">
        <v>4500</v>
      </c>
      <c r="AE30" t="s">
        <v>85</v>
      </c>
      <c r="AF30">
        <v>8999000</v>
      </c>
    </row>
    <row r="31" spans="1:32" x14ac:dyDescent="0.25">
      <c r="A31" s="33"/>
      <c r="B31" s="33" t="s">
        <v>102</v>
      </c>
      <c r="C31" t="s">
        <v>139</v>
      </c>
      <c r="D31" t="s">
        <v>257</v>
      </c>
      <c r="E31" t="s">
        <v>258</v>
      </c>
      <c r="F31" t="s">
        <v>259</v>
      </c>
      <c r="G31" s="33">
        <v>234</v>
      </c>
      <c r="H31" s="33" t="s">
        <v>199</v>
      </c>
      <c r="I31" s="33" t="s">
        <v>187</v>
      </c>
      <c r="J31" t="s">
        <v>132</v>
      </c>
      <c r="K31">
        <v>114.7</v>
      </c>
      <c r="L31">
        <v>1440</v>
      </c>
      <c r="M31" s="33">
        <v>3088</v>
      </c>
      <c r="N31" s="33" t="s">
        <v>43</v>
      </c>
      <c r="O31" s="33" t="s">
        <v>44</v>
      </c>
      <c r="P31" t="s">
        <v>45</v>
      </c>
      <c r="Q31">
        <v>12</v>
      </c>
      <c r="R31" s="33">
        <v>512</v>
      </c>
      <c r="S31" s="33">
        <v>200</v>
      </c>
      <c r="T31" s="33" t="s">
        <v>119</v>
      </c>
      <c r="U31" s="33" t="s">
        <v>196</v>
      </c>
      <c r="V31" s="33" t="s">
        <v>189</v>
      </c>
      <c r="W31" s="33" t="s">
        <v>198</v>
      </c>
      <c r="X31" s="33" t="s">
        <v>201</v>
      </c>
      <c r="Y31" s="33">
        <v>12</v>
      </c>
      <c r="Z31" s="33" t="s">
        <v>50</v>
      </c>
      <c r="AA31" s="33" t="s">
        <v>194</v>
      </c>
      <c r="AB31" s="33" t="s">
        <v>195</v>
      </c>
      <c r="AC31" s="33" t="s">
        <v>145</v>
      </c>
      <c r="AD31" s="33">
        <v>5000</v>
      </c>
      <c r="AE31" t="s">
        <v>85</v>
      </c>
      <c r="AF31">
        <v>19999000</v>
      </c>
    </row>
    <row r="32" spans="1:32" x14ac:dyDescent="0.25">
      <c r="B32" t="s">
        <v>102</v>
      </c>
      <c r="C32" t="s">
        <v>146</v>
      </c>
      <c r="D32" t="s">
        <v>260</v>
      </c>
      <c r="E32" t="s">
        <v>261</v>
      </c>
      <c r="F32" t="s">
        <v>247</v>
      </c>
      <c r="G32">
        <v>196</v>
      </c>
      <c r="H32" t="s">
        <v>199</v>
      </c>
      <c r="I32" t="s">
        <v>187</v>
      </c>
      <c r="J32" t="s">
        <v>132</v>
      </c>
      <c r="K32">
        <v>105.3</v>
      </c>
      <c r="L32">
        <v>1080</v>
      </c>
      <c r="M32">
        <v>2340</v>
      </c>
      <c r="N32" t="s">
        <v>43</v>
      </c>
      <c r="O32" t="s">
        <v>44</v>
      </c>
      <c r="P32" t="s">
        <v>45</v>
      </c>
      <c r="Q32">
        <v>8</v>
      </c>
      <c r="R32">
        <v>256</v>
      </c>
      <c r="S32">
        <v>50</v>
      </c>
      <c r="T32" t="s">
        <v>63</v>
      </c>
      <c r="U32" t="s">
        <v>196</v>
      </c>
      <c r="V32" t="s">
        <v>189</v>
      </c>
      <c r="W32" t="s">
        <v>198</v>
      </c>
      <c r="X32" t="s">
        <v>201</v>
      </c>
      <c r="Y32">
        <v>12</v>
      </c>
      <c r="Z32" t="s">
        <v>50</v>
      </c>
      <c r="AA32" t="s">
        <v>194</v>
      </c>
      <c r="AB32" t="s">
        <v>195</v>
      </c>
      <c r="AC32" t="s">
        <v>145</v>
      </c>
      <c r="AD32">
        <v>4700</v>
      </c>
      <c r="AE32" t="s">
        <v>85</v>
      </c>
      <c r="AF32">
        <v>15999000</v>
      </c>
    </row>
    <row r="33" spans="1:32" x14ac:dyDescent="0.25">
      <c r="B33" t="s">
        <v>102</v>
      </c>
      <c r="C33" t="s">
        <v>150</v>
      </c>
      <c r="D33" t="s">
        <v>262</v>
      </c>
      <c r="E33" t="s">
        <v>263</v>
      </c>
      <c r="F33" t="s">
        <v>247</v>
      </c>
      <c r="G33">
        <v>168</v>
      </c>
      <c r="H33" t="s">
        <v>199</v>
      </c>
      <c r="I33" t="s">
        <v>187</v>
      </c>
      <c r="J33" t="s">
        <v>132</v>
      </c>
      <c r="K33">
        <v>90.1</v>
      </c>
      <c r="L33">
        <v>1080</v>
      </c>
      <c r="M33">
        <v>2340</v>
      </c>
      <c r="N33" t="s">
        <v>43</v>
      </c>
      <c r="O33" t="s">
        <v>44</v>
      </c>
      <c r="P33" t="s">
        <v>45</v>
      </c>
      <c r="Q33">
        <v>8</v>
      </c>
      <c r="R33">
        <v>256</v>
      </c>
      <c r="S33">
        <v>50</v>
      </c>
      <c r="T33" t="s">
        <v>63</v>
      </c>
      <c r="U33" t="s">
        <v>196</v>
      </c>
      <c r="V33" t="s">
        <v>189</v>
      </c>
      <c r="W33" t="s">
        <v>198</v>
      </c>
      <c r="X33" t="s">
        <v>201</v>
      </c>
      <c r="Y33">
        <v>12</v>
      </c>
      <c r="Z33" t="s">
        <v>50</v>
      </c>
      <c r="AA33" t="s">
        <v>194</v>
      </c>
      <c r="AB33" t="s">
        <v>195</v>
      </c>
      <c r="AC33" t="s">
        <v>145</v>
      </c>
      <c r="AD33">
        <v>3900</v>
      </c>
      <c r="AE33" t="s">
        <v>85</v>
      </c>
      <c r="AF33">
        <v>13999000</v>
      </c>
    </row>
    <row r="36" spans="1:32" x14ac:dyDescent="0.25">
      <c r="C36" s="88" t="s">
        <v>275</v>
      </c>
      <c r="D36" s="88"/>
      <c r="P36" t="s">
        <v>5</v>
      </c>
    </row>
    <row r="37" spans="1:32" x14ac:dyDescent="0.25">
      <c r="A37" t="s">
        <v>9</v>
      </c>
      <c r="B37" s="47" t="s">
        <v>10</v>
      </c>
      <c r="C37" s="47" t="s">
        <v>217</v>
      </c>
      <c r="D37" s="47" t="s">
        <v>218</v>
      </c>
      <c r="E37" s="47" t="s">
        <v>219</v>
      </c>
      <c r="F37" s="47" t="s">
        <v>272</v>
      </c>
      <c r="G37" s="47" t="s">
        <v>221</v>
      </c>
      <c r="H37" s="47" t="s">
        <v>222</v>
      </c>
      <c r="I37" s="47" t="s">
        <v>223</v>
      </c>
      <c r="J37" s="47" t="s">
        <v>19</v>
      </c>
      <c r="K37" s="47" t="s">
        <v>20</v>
      </c>
      <c r="L37" s="47" t="s">
        <v>21</v>
      </c>
      <c r="M37" s="47" t="s">
        <v>23</v>
      </c>
      <c r="N37" s="47" t="s">
        <v>24</v>
      </c>
      <c r="O37" s="47" t="s">
        <v>225</v>
      </c>
      <c r="P37" s="47" t="s">
        <v>224</v>
      </c>
      <c r="Q37" s="47" t="s">
        <v>228</v>
      </c>
      <c r="R37" s="47" t="s">
        <v>226</v>
      </c>
      <c r="S37" s="47" t="s">
        <v>227</v>
      </c>
      <c r="T37" s="47" t="s">
        <v>229</v>
      </c>
      <c r="U37" s="47" t="s">
        <v>31</v>
      </c>
      <c r="V37" s="47" t="s">
        <v>159</v>
      </c>
    </row>
    <row r="38" spans="1:32" x14ac:dyDescent="0.25">
      <c r="A38">
        <v>1</v>
      </c>
      <c r="B38" s="47">
        <f>IF(B6='normalisasi data'!$E$3,'normalisasi data'!$E$14,IF(perhitungan!B6='normalisasi data'!$F$3,'normalisasi data'!$F$14,IF(perhitungan!B6='normalisasi data'!$G$3,'normalisasi data'!$G$14,"null")))</f>
        <v>66.2</v>
      </c>
      <c r="C38" s="47" t="str">
        <f t="shared" ref="C38:C65" si="0">C6</f>
        <v>Zenfone 10</v>
      </c>
      <c r="D38" s="47">
        <f>SUM(D6*E6*F6)</f>
        <v>93780.51</v>
      </c>
      <c r="E38" s="47">
        <f t="shared" ref="E38:E65" si="1">G6</f>
        <v>172</v>
      </c>
      <c r="F38" s="47">
        <f>IF(H6=konversi!$D$6,konversi!$E$6,IF(perhitungan!H6=konversi!$D$7,konversi!$E$7,0))+IF(I6=konversi!$F$6,konversi!$G$6,IF(perhitungan!I6=konversi!$F$7,konversi!$G$7))</f>
        <v>50</v>
      </c>
      <c r="G38" s="47">
        <f>IF(J6=konversi!$H$6,konversi!$I$6,IF(perhitungan!J6=konversi!$H$7,konversi!$I$7,IF(perhitungan!J6=konversi!$H$8,konversi!$I$8,IF(perhitungan!J6=konversi!$H$9,konversi!I8,IF(perhitungan!J6=konversi!$H$10,konversi!$I$10,"null")))))</f>
        <v>85</v>
      </c>
      <c r="H38" s="47">
        <f t="shared" ref="H38:H65" si="2">K6</f>
        <v>84.6</v>
      </c>
      <c r="I38" s="47">
        <f t="shared" ref="I38:I65" si="3">SUM(L6*M6)</f>
        <v>2592000</v>
      </c>
      <c r="J38" s="47">
        <f>IF(N6=konversi!$J$6,konversi!$K$6,IF(perhitungan!N6=konversi!$J$7,konversi!$K$7,IF(perhitungan!N6=konversi!$J$8,konversi!$K$8,"null")))</f>
        <v>70</v>
      </c>
      <c r="K38" s="47">
        <f>IF(perhitungan!O6=konversi!$D$20,konversi!$E$20,IF(perhitungan!O6=konversi!$D$21,konversi!$E$21,IF(perhitungan!O6=konversi!$D$22,konversi!$E$22,IF(perhitungan!O6=konversi!$D$23,konversi!$E$23,IF(perhitungan!O6=konversi!$D$24,konversi!$E$24,"null")))))</f>
        <v>85</v>
      </c>
      <c r="L38" s="47">
        <f>IF(P6=konversi!$F$20,konversi!$G$20,IF(perhitungan!P6=konversi!$F$21,konversi!$G$21,IF(perhitungan!P6=konversi!$F$22,konversi!$G$22,"null")))</f>
        <v>10</v>
      </c>
      <c r="M38" s="47">
        <f t="shared" ref="M38:M65" si="4">Q6</f>
        <v>8</v>
      </c>
      <c r="N38" s="47">
        <f t="shared" ref="N38:N65" si="5">R6</f>
        <v>128</v>
      </c>
      <c r="O38" s="47">
        <f t="shared" ref="O38:O65" si="6">S6</f>
        <v>50</v>
      </c>
      <c r="P38" s="47">
        <f>IF(T6=konversi!$H$20,konversi!$I$20,IF(perhitungan!T6=konversi!$H$21,konversi!$I$21,IF(perhitungan!T6=konversi!$H$22,konversi!$I$22,"null")))</f>
        <v>20</v>
      </c>
      <c r="Q38" s="47">
        <f>IF(perhitungan!U6=konversi!$B$32,konversi!$C$32,IF(perhitungan!U6=konversi!$B$33,konversi!$C$33,IF(perhitungan!U6=konversi!$B$34,konversi!$C$34,IF(perhitungan!U6=konversi!$B$35,konversi!$C$35,IF(perhitungan!U6=konversi!$B$36,konversi!$C$36,IF(perhitungan!U6=konversi!$B$37,konversi!$C$37,IF(perhitungan!U6=konversi!$B$38,konversi!$C$38,0))))))) + IF(perhitungan!V6=konversi!$B$32,konversi!$C$32,IF(perhitungan!V6=konversi!$B$33,konversi!$C$33,IF(perhitungan!V6=konversi!$B$34,konversi!$C$34,IF(perhitungan!V6=konversi!$B$35,konversi!$C$35,IF(perhitungan!U6=konversi!$B$36,konversi!$C$36,IF(perhitungan!V6=konversi!$B$37,konversi!$C$37,IF(perhitungan!V6=konversi!$B$38,konversi!$C$38,0)))))))  + IF(perhitungan!W6=konversi!$B$32,konversi!$C$32,IF(perhitungan!W6=konversi!$B$33,konversi!$C$33,IF(perhitungan!W6=konversi!$B$34,konversi!$C$34,IF(perhitungan!W6=konversi!$B$35,konversi!$C$35,IF(perhitungan!W6=konversi!$B$36,konversi!$C$36,IF(perhitungan!W6=konversi!$B$37,konversi!$C$37,IF(perhitungan!W6=konversi!$B$38,konversi!$C$38,0)))))))</f>
        <v>155</v>
      </c>
      <c r="R38" s="47">
        <f t="shared" ref="R38:R65" si="7">Y6</f>
        <v>32</v>
      </c>
      <c r="S38" s="47">
        <f>IF(AA6=konversi!$H$28,konversi!$I$28,IF(AA6=konversi!$H$29,konversi!$I$29,IF(AA6=konversi!$H$30,konversi!$I$30,IF(AA6=konversi!$H$31,konversi!$I$31,IF(AA6=konversi!$H$32,konversi!$I$32,IF(AA6=konversi!$H$33,konversi!$I$33,IF(AA6=konversi!$H$34,konversi!$I$34,0))))))) + IF(AB6=konversi!$H$28,konversi!$I$28,IF(AB6=konversi!$H$29,konversi!$I$29,IF(AB6=konversi!$H$30,konversi!$I$30,IF(AB6=konversi!$H$31,konversi!$I$31,IF(AB6=konversi!$H$32,konversi!$I$32,IF(AB6=konversi!$H$33,konversi!$I$33,IF(AB6=konversi!$H$34,konversi!$I$34,0)))))))</f>
        <v>60</v>
      </c>
      <c r="T38" s="47">
        <f>IF(AC6=konversi!$D$33,konversi!$E$33,IF(AC6=konversi!$D$34,konversi!$E$34,IF(AC6=konversi!$D$35,konversi!$E$35,IF(AC6=konversi!$D$36,konversi!$E$36,IF(AC6=konversi!$D$37,konversi!$E$37,0)))))</f>
        <v>20</v>
      </c>
      <c r="U38" s="47">
        <f t="shared" ref="U38:U65" si="8">AD6</f>
        <v>4300</v>
      </c>
      <c r="V38" s="47">
        <f t="shared" ref="V38:V64" si="9">AF6</f>
        <v>8999000</v>
      </c>
    </row>
    <row r="39" spans="1:32" x14ac:dyDescent="0.25">
      <c r="A39">
        <v>2</v>
      </c>
      <c r="B39" s="47">
        <f>IF(B7='normalisasi data'!$E$3,'normalisasi data'!$E$14,IF(perhitungan!B7='normalisasi data'!$F$3,'normalisasi data'!$F$14,IF(perhitungan!B7='normalisasi data'!$G$3,'normalisasi data'!$G$14,"null")))</f>
        <v>66.2</v>
      </c>
      <c r="C39" s="47" t="str">
        <f t="shared" si="0"/>
        <v>Zenfone 10</v>
      </c>
      <c r="D39" s="47">
        <f t="shared" ref="D39:D65" si="10">SUM(D7*E7*F7)</f>
        <v>93780.51</v>
      </c>
      <c r="E39" s="47">
        <f t="shared" si="1"/>
        <v>172</v>
      </c>
      <c r="F39" s="47">
        <f>IF(H7=konversi!$D$6,konversi!$E$6,IF(perhitungan!H7=konversi!$D$7,konversi!$E$7,0))+IF(I7=konversi!$F$6,konversi!$G$6,IF(perhitungan!I7=konversi!$F$7,konversi!$G$7))</f>
        <v>50</v>
      </c>
      <c r="G39" s="47">
        <f>IF(J7=konversi!$H$6,konversi!$I$6,IF(perhitungan!J7=konversi!$H$7,konversi!$I$7,IF(perhitungan!J7=konversi!$H$8,konversi!$I$8,IF(perhitungan!J7=konversi!$H$9,konversi!I9,IF(perhitungan!J7=konversi!$H$10,konversi!$I$10,"null")))))</f>
        <v>75</v>
      </c>
      <c r="H39" s="47">
        <f t="shared" si="2"/>
        <v>84.6</v>
      </c>
      <c r="I39" s="47">
        <f t="shared" si="3"/>
        <v>2592000</v>
      </c>
      <c r="J39" s="47">
        <f>IF(N7=konversi!$J$6,konversi!$K$6,IF(perhitungan!N7=konversi!$J$7,konversi!$K$7,IF(perhitungan!N7=konversi!$J$8,konversi!$K$8,"null")))</f>
        <v>70</v>
      </c>
      <c r="K39" s="47">
        <f>IF(perhitungan!O7=konversi!$D$20,konversi!$E$20,IF(perhitungan!O7=konversi!$D$21,konversi!$E$21,IF(perhitungan!O7=konversi!$D$22,konversi!$E$22,IF(perhitungan!O7=konversi!$D$23,konversi!$E$23,IF(perhitungan!O7=konversi!$D$24,konversi!$E$24,"null")))))</f>
        <v>85</v>
      </c>
      <c r="L39" s="47">
        <f>IF(P7=konversi!$F$20,konversi!$G$20,IF(perhitungan!P7=konversi!$F$21,konversi!$G$21,IF(perhitungan!P7=konversi!$F$22,konversi!$G$22,"null")))</f>
        <v>10</v>
      </c>
      <c r="M39" s="47">
        <f t="shared" si="4"/>
        <v>16</v>
      </c>
      <c r="N39" s="47">
        <f t="shared" si="5"/>
        <v>512</v>
      </c>
      <c r="O39" s="47">
        <f t="shared" si="6"/>
        <v>50</v>
      </c>
      <c r="P39" s="47">
        <f>IF(T7=konversi!$H$20,konversi!$I$20,IF(perhitungan!T7=konversi!$H$21,konversi!$I$21,IF(perhitungan!T7=konversi!$H$22,konversi!$I$22,"null")))</f>
        <v>20</v>
      </c>
      <c r="Q39" s="47">
        <f>IF(perhitungan!U7=konversi!$B$32,konversi!$C$32,IF(perhitungan!U7=konversi!$B$33,konversi!$C$33,IF(perhitungan!U7=konversi!$B$34,konversi!$C$34,IF(perhitungan!U7=konversi!$B$35,konversi!$C$35,IF(perhitungan!U7=konversi!$B$36,konversi!$C$36,IF(perhitungan!U7=konversi!$B$37,konversi!$C$37,IF(perhitungan!U7=konversi!$B$38,konversi!$C$38,0))))))) + IF(perhitungan!V7=konversi!$B$32,konversi!$C$32,IF(perhitungan!V7=konversi!$B$33,konversi!$C$33,IF(perhitungan!V7=konversi!$B$34,konversi!$C$34,IF(perhitungan!V7=konversi!$B$35,konversi!$C$35,IF(perhitungan!U7=konversi!$B$36,konversi!$C$36,IF(perhitungan!V7=konversi!$B$37,konversi!$C$37,IF(perhitungan!V7=konversi!$B$38,konversi!$C$38,0)))))))  + IF(perhitungan!W7=konversi!$B$32,konversi!$C$32,IF(perhitungan!W7=konversi!$B$33,konversi!$C$33,IF(perhitungan!W7=konversi!$B$34,konversi!$C$34,IF(perhitungan!W7=konversi!$B$35,konversi!$C$35,IF(perhitungan!W7=konversi!$B$36,konversi!$C$36,IF(perhitungan!W7=konversi!$B$37,konversi!$C$37,IF(perhitungan!W7=konversi!$B$38,konversi!$C$38,0)))))))</f>
        <v>155</v>
      </c>
      <c r="R39" s="47">
        <f t="shared" si="7"/>
        <v>32</v>
      </c>
      <c r="S39" s="47">
        <f>IF(AA7=konversi!$H$28,konversi!$I$28,IF(AA7=konversi!$H$29,konversi!$I$29,IF(AA7=konversi!$H$30,konversi!$I$30,IF(AA7=konversi!$H$31,konversi!$I$31,IF(AA7=konversi!$H$32,konversi!$I$32,IF(AA7=konversi!$H$33,konversi!$I$33,IF(AA7=konversi!$H$34,konversi!$I$34,0))))))) + IF(AB7=konversi!$H$28,konversi!$I$28,IF(AB7=konversi!$H$29,konversi!$I$29,IF(AB7=konversi!$H$30,konversi!$I$30,IF(AB7=konversi!$H$31,konversi!$I$31,IF(AB7=konversi!$H$32,konversi!$I$32,IF(AB7=konversi!$H$33,konversi!$I$33,IF(AB7=konversi!$H$34,konversi!$I$34,0)))))))</f>
        <v>60</v>
      </c>
      <c r="T39" s="47">
        <f>IF(AC7=konversi!$D$33,konversi!$E$33,IF(AC7=konversi!$D$34,konversi!$E$34,IF(AC7=konversi!$D$35,konversi!$E$35,IF(AC7=konversi!$D$36,konversi!$E$36,IF(AC7=konversi!$D$37,konversi!$E$37,0)))))</f>
        <v>20</v>
      </c>
      <c r="U39" s="47">
        <f t="shared" si="8"/>
        <v>4300</v>
      </c>
      <c r="V39" s="47">
        <f t="shared" si="9"/>
        <v>11999000</v>
      </c>
    </row>
    <row r="40" spans="1:32" x14ac:dyDescent="0.25">
      <c r="A40">
        <v>3</v>
      </c>
      <c r="B40" s="47">
        <f>IF(B8='normalisasi data'!$E$3,'normalisasi data'!$E$14,IF(perhitungan!B8='normalisasi data'!$F$3,'normalisasi data'!$F$14,IF(perhitungan!B8='normalisasi data'!$G$3,'normalisasi data'!$G$14,"null")))</f>
        <v>66.2</v>
      </c>
      <c r="C40" s="47" t="str">
        <f t="shared" si="0"/>
        <v>ROG Phone 7 Ultimate</v>
      </c>
      <c r="D40" s="47">
        <f t="shared" si="10"/>
        <v>137206.30000000002</v>
      </c>
      <c r="E40" s="47">
        <f t="shared" si="1"/>
        <v>239</v>
      </c>
      <c r="F40" s="47">
        <f>IF(H8=konversi!$D$6,konversi!$E$6,IF(perhitungan!H8=konversi!$D$7,konversi!$E$7,0))+IF(I8=konversi!$F$6,konversi!$G$6,IF(perhitungan!I8=konversi!$F$7,konversi!$G$7))</f>
        <v>70</v>
      </c>
      <c r="G40" s="47">
        <f>IF(J8=konversi!$H$6,konversi!$I$6,IF(perhitungan!J8=konversi!$H$7,konversi!$I$7,IF(perhitungan!J8=konversi!$H$8,konversi!$I$8,IF(perhitungan!J8=konversi!$H$9,konversi!I10,IF(perhitungan!J8=konversi!$H$10,konversi!$I$10,"null")))))</f>
        <v>70</v>
      </c>
      <c r="H40" s="47">
        <f t="shared" si="2"/>
        <v>109.5</v>
      </c>
      <c r="I40" s="47">
        <f t="shared" si="3"/>
        <v>2643840</v>
      </c>
      <c r="J40" s="47">
        <f>IF(N8=konversi!$J$6,konversi!$K$6,IF(perhitungan!N8=konversi!$J$7,konversi!$K$7,IF(perhitungan!N8=konversi!$J$8,konversi!$K$8,"null")))</f>
        <v>70</v>
      </c>
      <c r="K40" s="47">
        <f>IF(perhitungan!O8=konversi!$D$20,konversi!$E$20,IF(perhitungan!O8=konversi!$D$21,konversi!$E$21,IF(perhitungan!O8=konversi!$D$22,konversi!$E$22,IF(perhitungan!O8=konversi!$D$23,konversi!$E$23,IF(perhitungan!O8=konversi!$D$24,konversi!$E$24,"null")))))</f>
        <v>85</v>
      </c>
      <c r="L40" s="47">
        <f>IF(P8=konversi!$F$20,konversi!$G$20,IF(perhitungan!P8=konversi!$F$21,konversi!$G$21,IF(perhitungan!P8=konversi!$F$22,konversi!$G$22,"null")))</f>
        <v>10</v>
      </c>
      <c r="M40" s="47">
        <f t="shared" si="4"/>
        <v>16</v>
      </c>
      <c r="N40" s="47">
        <f t="shared" si="5"/>
        <v>512</v>
      </c>
      <c r="O40" s="47">
        <f t="shared" si="6"/>
        <v>50</v>
      </c>
      <c r="P40" s="47">
        <f>IF(T8=konversi!$H$20,konversi!$I$20,IF(perhitungan!T8=konversi!$H$21,konversi!$I$21,IF(perhitungan!T8=konversi!$H$22,konversi!$I$22,"null")))</f>
        <v>40</v>
      </c>
      <c r="Q40" s="47">
        <f>IF(perhitungan!U8=konversi!$B$32,konversi!$C$32,IF(perhitungan!U8=konversi!$B$33,konversi!$C$33,IF(perhitungan!U8=konversi!$B$34,konversi!$C$34,IF(perhitungan!U8=konversi!$B$35,konversi!$C$35,IF(perhitungan!U8=konversi!$B$36,konversi!$C$36,IF(perhitungan!U8=konversi!$B$37,konversi!$C$37,IF(perhitungan!U8=konversi!$B$38,konversi!$C$38,0))))))) + IF(perhitungan!V8=konversi!$B$32,konversi!$C$32,IF(perhitungan!V8=konversi!$B$33,konversi!$C$33,IF(perhitungan!V8=konversi!$B$34,konversi!$C$34,IF(perhitungan!V8=konversi!$B$35,konversi!$C$35,IF(perhitungan!U8=konversi!$B$36,konversi!$C$36,IF(perhitungan!V8=konversi!$B$37,konversi!$C$37,IF(perhitungan!V8=konversi!$B$38,konversi!$C$38,0)))))))  + IF(perhitungan!W8=konversi!$B$32,konversi!$C$32,IF(perhitungan!W8=konversi!$B$33,konversi!$C$33,IF(perhitungan!W8=konversi!$B$34,konversi!$C$34,IF(perhitungan!W8=konversi!$B$35,konversi!$C$35,IF(perhitungan!W8=konversi!$B$36,konversi!$C$36,IF(perhitungan!W8=konversi!$B$37,konversi!$C$37,IF(perhitungan!W8=konversi!$B$38,konversi!$C$38,0)))))))</f>
        <v>240</v>
      </c>
      <c r="R40" s="47">
        <f t="shared" si="7"/>
        <v>32</v>
      </c>
      <c r="S40" s="47">
        <f>IF(AA8=konversi!$H$28,konversi!$I$28,IF(AA8=konversi!$H$29,konversi!$I$29,IF(AA8=konversi!$H$30,konversi!$I$30,IF(AA8=konversi!$H$31,konversi!$I$31,IF(AA8=konversi!$H$32,konversi!$I$32,IF(AA8=konversi!$H$33,konversi!$I$33,IF(AA8=konversi!$H$34,konversi!$I$34,0))))))) + IF(AB8=konversi!$H$28,konversi!$I$28,IF(AB8=konversi!$H$29,konversi!$I$29,IF(AB8=konversi!$H$30,konversi!$I$30,IF(AB8=konversi!$H$31,konversi!$I$31,IF(AB8=konversi!$H$32,konversi!$I$32,IF(AB8=konversi!$H$33,konversi!$I$33,IF(AB8=konversi!$H$34,konversi!$I$34,0)))))))</f>
        <v>60</v>
      </c>
      <c r="T40" s="47">
        <f>IF(AC8=konversi!$D$33,konversi!$E$33,IF(AC8=konversi!$D$34,konversi!$E$34,IF(AC8=konversi!$D$35,konversi!$E$35,IF(AC8=konversi!$D$36,konversi!$E$36,IF(AC8=konversi!$D$37,konversi!$E$37,0)))))</f>
        <v>40</v>
      </c>
      <c r="U40" s="47">
        <f t="shared" si="8"/>
        <v>6000</v>
      </c>
      <c r="V40" s="47">
        <f t="shared" si="9"/>
        <v>23499000</v>
      </c>
    </row>
    <row r="41" spans="1:32" x14ac:dyDescent="0.25">
      <c r="A41">
        <v>4</v>
      </c>
      <c r="B41" s="47">
        <f>IF(B9='normalisasi data'!$E$3,'normalisasi data'!$E$14,IF(perhitungan!B9='normalisasi data'!$F$3,'normalisasi data'!$F$14,IF(perhitungan!B9='normalisasi data'!$G$3,'normalisasi data'!$G$14,"null")))</f>
        <v>66.2</v>
      </c>
      <c r="C41" s="47" t="str">
        <f t="shared" si="0"/>
        <v>ROG Phone 7</v>
      </c>
      <c r="D41" s="47">
        <f t="shared" si="10"/>
        <v>137206.30000000002</v>
      </c>
      <c r="E41" s="47">
        <f t="shared" si="1"/>
        <v>239</v>
      </c>
      <c r="F41" s="47">
        <f>IF(H9=konversi!$D$6,konversi!$E$6,IF(perhitungan!H9=konversi!$D$7,konversi!$E$7,0))+IF(I9=konversi!$F$6,konversi!$G$6,IF(perhitungan!I9=konversi!$F$7,konversi!$G$7))</f>
        <v>70</v>
      </c>
      <c r="G41" s="47">
        <f>IF(J9=konversi!$H$6,konversi!$I$6,IF(perhitungan!J9=konversi!$H$7,konversi!$I$7,IF(perhitungan!J9=konversi!$H$8,konversi!$I$8,IF(perhitungan!J9=konversi!$H$9,konversi!I11,IF(perhitungan!J9=konversi!$H$10,konversi!$I$10,"null")))))</f>
        <v>70</v>
      </c>
      <c r="H41" s="47">
        <f t="shared" si="2"/>
        <v>109.5</v>
      </c>
      <c r="I41" s="47">
        <f t="shared" si="3"/>
        <v>2643840</v>
      </c>
      <c r="J41" s="47">
        <f>IF(N9=konversi!$J$6,konversi!$K$6,IF(perhitungan!N9=konversi!$J$7,konversi!$K$7,IF(perhitungan!N9=konversi!$J$8,konversi!$K$8,"null")))</f>
        <v>70</v>
      </c>
      <c r="K41" s="47">
        <f>IF(perhitungan!O9=konversi!$D$20,konversi!$E$20,IF(perhitungan!O9=konversi!$D$21,konversi!$E$21,IF(perhitungan!O9=konversi!$D$22,konversi!$E$22,IF(perhitungan!O9=konversi!$D$23,konversi!$E$23,IF(perhitungan!O9=konversi!$D$24,konversi!$E$24,"null")))))</f>
        <v>85</v>
      </c>
      <c r="L41" s="47">
        <f>IF(P9=konversi!$F$20,konversi!$G$20,IF(perhitungan!P9=konversi!$F$21,konversi!$G$21,IF(perhitungan!P9=konversi!$F$22,konversi!$G$22,"null")))</f>
        <v>10</v>
      </c>
      <c r="M41" s="47">
        <f t="shared" si="4"/>
        <v>12</v>
      </c>
      <c r="N41" s="47">
        <f t="shared" si="5"/>
        <v>256</v>
      </c>
      <c r="O41" s="47">
        <f t="shared" si="6"/>
        <v>50</v>
      </c>
      <c r="P41" s="47">
        <f>IF(T9=konversi!$H$20,konversi!$I$20,IF(perhitungan!T9=konversi!$H$21,konversi!$I$21,IF(perhitungan!T9=konversi!$H$22,konversi!$I$22,"null")))</f>
        <v>40</v>
      </c>
      <c r="Q41" s="47">
        <f>IF(perhitungan!U9=konversi!$B$32,konversi!$C$32,IF(perhitungan!U9=konversi!$B$33,konversi!$C$33,IF(perhitungan!U9=konversi!$B$34,konversi!$C$34,IF(perhitungan!U9=konversi!$B$35,konversi!$C$35,IF(perhitungan!U9=konversi!$B$36,konversi!$C$36,IF(perhitungan!U9=konversi!$B$37,konversi!$C$37,IF(perhitungan!U9=konversi!$B$38,konversi!$C$38,0))))))) + IF(perhitungan!V9=konversi!$B$32,konversi!$C$32,IF(perhitungan!V9=konversi!$B$33,konversi!$C$33,IF(perhitungan!V9=konversi!$B$34,konversi!$C$34,IF(perhitungan!V9=konversi!$B$35,konversi!$C$35,IF(perhitungan!U9=konversi!$B$36,konversi!$C$36,IF(perhitungan!V9=konversi!$B$37,konversi!$C$37,IF(perhitungan!V9=konversi!$B$38,konversi!$C$38,0)))))))  + IF(perhitungan!W9=konversi!$B$32,konversi!$C$32,IF(perhitungan!W9=konversi!$B$33,konversi!$C$33,IF(perhitungan!W9=konversi!$B$34,konversi!$C$34,IF(perhitungan!W9=konversi!$B$35,konversi!$C$35,IF(perhitungan!W9=konversi!$B$36,konversi!$C$36,IF(perhitungan!W9=konversi!$B$37,konversi!$C$37,IF(perhitungan!W9=konversi!$B$38,konversi!$C$38,0)))))))</f>
        <v>240</v>
      </c>
      <c r="R41" s="47">
        <f t="shared" si="7"/>
        <v>32</v>
      </c>
      <c r="S41" s="47">
        <f>IF(AA9=konversi!$H$28,konversi!$I$28,IF(AA9=konversi!$H$29,konversi!$I$29,IF(AA9=konversi!$H$30,konversi!$I$30,IF(AA9=konversi!$H$31,konversi!$I$31,IF(AA9=konversi!$H$32,konversi!$I$32,IF(AA9=konversi!$H$33,konversi!$I$33,IF(AA9=konversi!$H$34,konversi!$I$34,0))))))) + IF(AB9=konversi!$H$28,konversi!$I$28,IF(AB9=konversi!$H$29,konversi!$I$29,IF(AB9=konversi!$H$30,konversi!$I$30,IF(AB9=konversi!$H$31,konversi!$I$31,IF(AB9=konversi!$H$32,konversi!$I$32,IF(AB9=konversi!$H$33,konversi!$I$33,IF(AB9=konversi!$H$34,konversi!$I$34,0)))))))</f>
        <v>60</v>
      </c>
      <c r="T41" s="47">
        <f>IF(AC9=konversi!$D$33,konversi!$E$33,IF(AC9=konversi!$D$34,konversi!$E$34,IF(AC9=konversi!$D$35,konversi!$E$35,IF(AC9=konversi!$D$36,konversi!$E$36,IF(AC9=konversi!$D$37,konversi!$E$37,0)))))</f>
        <v>40</v>
      </c>
      <c r="U41" s="47">
        <f t="shared" si="8"/>
        <v>6000</v>
      </c>
      <c r="V41" s="47">
        <f t="shared" si="9"/>
        <v>13499000</v>
      </c>
    </row>
    <row r="42" spans="1:32" x14ac:dyDescent="0.25">
      <c r="A42">
        <v>5</v>
      </c>
      <c r="B42" s="47">
        <f>IF(B10='normalisasi data'!$E$3,'normalisasi data'!$E$14,IF(perhitungan!B10='normalisasi data'!$F$3,'normalisasi data'!$F$14,IF(perhitungan!B10='normalisasi data'!$G$3,'normalisasi data'!$G$14,"null")))</f>
        <v>66.2</v>
      </c>
      <c r="C42" s="47" t="str">
        <f t="shared" si="0"/>
        <v>ROG Phone 7</v>
      </c>
      <c r="D42" s="47">
        <f t="shared" si="10"/>
        <v>137206.30000000002</v>
      </c>
      <c r="E42" s="47">
        <f t="shared" si="1"/>
        <v>239</v>
      </c>
      <c r="F42" s="47">
        <f>IF(H10=konversi!$D$6,konversi!$E$6,IF(perhitungan!H10=konversi!$D$7,konversi!$E$7,0))+IF(I10=konversi!$F$6,konversi!$G$6,IF(perhitungan!I10=konversi!$F$7,konversi!$G$7))</f>
        <v>70</v>
      </c>
      <c r="G42" s="47">
        <f>IF(J10=konversi!$H$6,konversi!$I$6,IF(perhitungan!J10=konversi!$H$7,konversi!$I$7,IF(perhitungan!J10=konversi!$H$8,konversi!$I$8,IF(perhitungan!J10=konversi!$H$9,konversi!I12,IF(perhitungan!J10=konversi!$H$10,konversi!$I$10,"null")))))</f>
        <v>70</v>
      </c>
      <c r="H42" s="47">
        <f t="shared" si="2"/>
        <v>109.5</v>
      </c>
      <c r="I42" s="47">
        <f t="shared" si="3"/>
        <v>2643840</v>
      </c>
      <c r="J42" s="47">
        <f>IF(N10=konversi!$J$6,konversi!$K$6,IF(perhitungan!N10=konversi!$J$7,konversi!$K$7,IF(perhitungan!N10=konversi!$J$8,konversi!$K$8,"null")))</f>
        <v>70</v>
      </c>
      <c r="K42" s="47">
        <f>IF(perhitungan!O10=konversi!$D$20,konversi!$E$20,IF(perhitungan!O10=konversi!$D$21,konversi!$E$21,IF(perhitungan!O10=konversi!$D$22,konversi!$E$22,IF(perhitungan!O10=konversi!$D$23,konversi!$E$23,IF(perhitungan!O10=konversi!$D$24,konversi!$E$24,"null")))))</f>
        <v>85</v>
      </c>
      <c r="L42" s="47">
        <f>IF(P10=konversi!$F$20,konversi!$G$20,IF(perhitungan!P10=konversi!$F$21,konversi!$G$21,IF(perhitungan!P10=konversi!$F$22,konversi!$G$22,"null")))</f>
        <v>10</v>
      </c>
      <c r="M42" s="47">
        <f t="shared" si="4"/>
        <v>16</v>
      </c>
      <c r="N42" s="47">
        <f t="shared" si="5"/>
        <v>512</v>
      </c>
      <c r="O42" s="47">
        <f t="shared" si="6"/>
        <v>50</v>
      </c>
      <c r="P42" s="47">
        <f>IF(T10=konversi!$H$20,konversi!$I$20,IF(perhitungan!T10=konversi!$H$21,konversi!$I$21,IF(perhitungan!T10=konversi!$H$22,konversi!$I$22,"null")))</f>
        <v>40</v>
      </c>
      <c r="Q42" s="47">
        <f>IF(perhitungan!U10=konversi!$B$32,konversi!$C$32,IF(perhitungan!U10=konversi!$B$33,konversi!$C$33,IF(perhitungan!U10=konversi!$B$34,konversi!$C$34,IF(perhitungan!U10=konversi!$B$35,konversi!$C$35,IF(perhitungan!U10=konversi!$B$36,konversi!$C$36,IF(perhitungan!U10=konversi!$B$37,konversi!$C$37,IF(perhitungan!U10=konversi!$B$38,konversi!$C$38,0))))))) + IF(perhitungan!V10=konversi!$B$32,konversi!$C$32,IF(perhitungan!V10=konversi!$B$33,konversi!$C$33,IF(perhitungan!V10=konversi!$B$34,konversi!$C$34,IF(perhitungan!V10=konversi!$B$35,konversi!$C$35,IF(perhitungan!U10=konversi!$B$36,konversi!$C$36,IF(perhitungan!V10=konversi!$B$37,konversi!$C$37,IF(perhitungan!V10=konversi!$B$38,konversi!$C$38,0)))))))  + IF(perhitungan!W10=konversi!$B$32,konversi!$C$32,IF(perhitungan!W10=konversi!$B$33,konversi!$C$33,IF(perhitungan!W10=konversi!$B$34,konversi!$C$34,IF(perhitungan!W10=konversi!$B$35,konversi!$C$35,IF(perhitungan!W10=konversi!$B$36,konversi!$C$36,IF(perhitungan!W10=konversi!$B$37,konversi!$C$37,IF(perhitungan!W10=konversi!$B$38,konversi!$C$38,0)))))))</f>
        <v>240</v>
      </c>
      <c r="R42" s="47">
        <f t="shared" si="7"/>
        <v>32</v>
      </c>
      <c r="S42" s="47">
        <f>IF(AA10=konversi!$H$28,konversi!$I$28,IF(AA10=konversi!$H$29,konversi!$I$29,IF(AA10=konversi!$H$30,konversi!$I$30,IF(AA10=konversi!$H$31,konversi!$I$31,IF(AA10=konversi!$H$32,konversi!$I$32,IF(AA10=konversi!$H$33,konversi!$I$33,IF(AA10=konversi!$H$34,konversi!$I$34,0))))))) + IF(AB10=konversi!$H$28,konversi!$I$28,IF(AB10=konversi!$H$29,konversi!$I$29,IF(AB10=konversi!$H$30,konversi!$I$30,IF(AB10=konversi!$H$31,konversi!$I$31,IF(AB10=konversi!$H$32,konversi!$I$32,IF(AB10=konversi!$H$33,konversi!$I$33,IF(AB10=konversi!$H$34,konversi!$I$34,0)))))))</f>
        <v>60</v>
      </c>
      <c r="T42" s="47">
        <f>IF(AC10=konversi!$D$33,konversi!$E$33,IF(AC10=konversi!$D$34,konversi!$E$34,IF(AC10=konversi!$D$35,konversi!$E$35,IF(AC10=konversi!$D$36,konversi!$E$36,IF(AC10=konversi!$D$37,konversi!$E$37,0)))))</f>
        <v>40</v>
      </c>
      <c r="U42" s="47">
        <f t="shared" si="8"/>
        <v>6000</v>
      </c>
      <c r="V42" s="47">
        <f t="shared" si="9"/>
        <v>28070000</v>
      </c>
    </row>
    <row r="43" spans="1:32" x14ac:dyDescent="0.25">
      <c r="A43">
        <v>6</v>
      </c>
      <c r="B43" s="47">
        <f>IF(B11='normalisasi data'!$E$3,'normalisasi data'!$E$14,IF(perhitungan!B11='normalisasi data'!$F$3,'normalisasi data'!$F$14,IF(perhitungan!B11='normalisasi data'!$G$3,'normalisasi data'!$G$14,"null")))</f>
        <v>86.3</v>
      </c>
      <c r="C43" s="47" t="str">
        <f t="shared" si="0"/>
        <v>Iphone 15 Pro Max</v>
      </c>
      <c r="D43" s="47">
        <f t="shared" si="10"/>
        <v>101793.93900000003</v>
      </c>
      <c r="E43" s="47">
        <f t="shared" si="1"/>
        <v>221</v>
      </c>
      <c r="F43" s="47">
        <f>IF(H11=konversi!$D$6,konversi!$E$6,IF(perhitungan!H11=konversi!$D$7,konversi!$E$7,0))+IF(I11=konversi!$F$6,konversi!$G$6,IF(perhitungan!I11=konversi!$F$7,konversi!$G$7))</f>
        <v>160</v>
      </c>
      <c r="G43" s="47">
        <f>IF(J11=konversi!$H$6,konversi!$I$6,IF(perhitungan!J11=konversi!$H$7,konversi!$I$7,IF(perhitungan!J11=konversi!$H$8,konversi!$I$8,IF(perhitungan!J11=konversi!$H$9,konversi!I13,IF(perhitungan!J11=konversi!$H$10,konversi!$I$10,"null")))))</f>
        <v>90</v>
      </c>
      <c r="H43" s="47">
        <f t="shared" si="2"/>
        <v>110.2</v>
      </c>
      <c r="I43" s="47">
        <f t="shared" si="3"/>
        <v>3606840</v>
      </c>
      <c r="J43" s="47">
        <f>IF(N11=konversi!$J$6,konversi!$K$6,IF(perhitungan!N11=konversi!$J$7,konversi!$K$7,IF(perhitungan!N11=konversi!$J$8,konversi!$K$8,"null")))</f>
        <v>90</v>
      </c>
      <c r="K43" s="47">
        <f>IF(perhitungan!O11=konversi!$D$20,konversi!$E$20,IF(perhitungan!O11=konversi!$D$21,konversi!$E$21,IF(perhitungan!O11=konversi!$D$22,konversi!$E$22,IF(perhitungan!O11=konversi!$D$23,konversi!$E$23,IF(perhitungan!O11=konversi!$D$24,konversi!$E$24,"null")))))</f>
        <v>79</v>
      </c>
      <c r="L43" s="47">
        <f>IF(P11=konversi!$F$20,konversi!$G$20,IF(perhitungan!P11=konversi!$F$21,konversi!$G$21,IF(perhitungan!P11=konversi!$F$22,konversi!$G$22,"null")))</f>
        <v>8</v>
      </c>
      <c r="M43" s="47">
        <f t="shared" si="4"/>
        <v>8</v>
      </c>
      <c r="N43" s="47">
        <f t="shared" si="5"/>
        <v>256</v>
      </c>
      <c r="O43" s="47">
        <f t="shared" si="6"/>
        <v>48</v>
      </c>
      <c r="P43" s="47">
        <f>IF(T11=konversi!$H$20,konversi!$I$20,IF(perhitungan!T11=konversi!$H$21,konversi!$I$21,IF(perhitungan!T11=konversi!$H$22,konversi!$I$22,"null")))</f>
        <v>40</v>
      </c>
      <c r="Q43" s="47">
        <f>IF(perhitungan!U11=konversi!$B$32,konversi!$C$32,IF(perhitungan!U11=konversi!$B$33,konversi!$C$33,IF(perhitungan!U11=konversi!$B$34,konversi!$C$34,IF(perhitungan!U11=konversi!$B$35,konversi!$C$35,IF(perhitungan!U11=konversi!$B$36,konversi!$C$36,IF(perhitungan!U11=konversi!$B$37,konversi!$C$37,IF(perhitungan!U11=konversi!$B$38,konversi!$C$38,0))))))) + IF(perhitungan!V11=konversi!$B$32,konversi!$C$32,IF(perhitungan!V11=konversi!$B$33,konversi!$C$33,IF(perhitungan!V11=konversi!$B$34,konversi!$C$34,IF(perhitungan!V11=konversi!$B$35,konversi!$C$35,IF(perhitungan!U11=konversi!$B$36,konversi!$C$36,IF(perhitungan!V11=konversi!$B$37,konversi!$C$37,IF(perhitungan!V11=konversi!$B$38,konversi!$C$38,0)))))))  + IF(perhitungan!W11=konversi!$B$32,konversi!$C$32,IF(perhitungan!W11=konversi!$B$33,konversi!$C$33,IF(perhitungan!W11=konversi!$B$34,konversi!$C$34,IF(perhitungan!W11=konversi!$B$35,konversi!$C$35,IF(perhitungan!W11=konversi!$B$36,konversi!$C$36,IF(perhitungan!W11=konversi!$B$37,konversi!$C$37,IF(perhitungan!W11=konversi!$B$38,konversi!$C$38,0)))))))</f>
        <v>90</v>
      </c>
      <c r="R43" s="47">
        <f t="shared" si="7"/>
        <v>12</v>
      </c>
      <c r="S43" s="47">
        <f>IF(AA11=konversi!$H$28,konversi!$I$28,IF(AA11=konversi!$H$29,konversi!$I$29,IF(AA11=konversi!$H$30,konversi!$I$30,IF(AA11=konversi!$H$31,konversi!$I$31,IF(AA11=konversi!$H$32,konversi!$I$32,IF(AA11=konversi!$H$33,konversi!$I$33,IF(AA11=konversi!$H$34,konversi!$I$34,0))))))) + IF(AB11=konversi!$H$28,konversi!$I$28,IF(AB11=konversi!$H$29,konversi!$I$29,IF(AB11=konversi!$H$30,konversi!$I$30,IF(AB11=konversi!$H$31,konversi!$I$31,IF(AB11=konversi!$H$32,konversi!$I$32,IF(AB11=konversi!$H$33,konversi!$I$33,IF(AB11=konversi!$H$34,konversi!$I$34,0)))))))</f>
        <v>175</v>
      </c>
      <c r="T43" s="47">
        <f>IF(AC11=konversi!$D$33,konversi!$E$33,IF(AC11=konversi!$D$34,konversi!$E$34,IF(AC11=konversi!$D$35,konversi!$E$35,IF(AC11=konversi!$D$36,konversi!$E$36,IF(AC11=konversi!$D$37,konversi!$E$37,0)))))</f>
        <v>100</v>
      </c>
      <c r="U43" s="47">
        <f t="shared" si="8"/>
        <v>4441</v>
      </c>
      <c r="V43" s="47">
        <f t="shared" si="9"/>
        <v>22999000</v>
      </c>
    </row>
    <row r="44" spans="1:32" x14ac:dyDescent="0.25">
      <c r="A44">
        <v>7</v>
      </c>
      <c r="B44" s="47">
        <f>IF(B12='normalisasi data'!$E$3,'normalisasi data'!$E$14,IF(perhitungan!B12='normalisasi data'!$F$3,'normalisasi data'!$F$14,IF(perhitungan!B12='normalisasi data'!$G$3,'normalisasi data'!$G$14,"null")))</f>
        <v>86.3</v>
      </c>
      <c r="C44" s="47" t="str">
        <f t="shared" si="0"/>
        <v>Iphone 15 Pro Max</v>
      </c>
      <c r="D44" s="47">
        <f t="shared" si="10"/>
        <v>101793.93900000003</v>
      </c>
      <c r="E44" s="47">
        <f t="shared" si="1"/>
        <v>221</v>
      </c>
      <c r="F44" s="47">
        <f>IF(H12=konversi!$D$6,konversi!$E$6,IF(perhitungan!H12=konversi!$D$7,konversi!$E$7,0))+IF(I12=konversi!$F$6,konversi!$G$6,IF(perhitungan!I12=konversi!$F$7,konversi!$G$7))</f>
        <v>160</v>
      </c>
      <c r="G44" s="47">
        <f>IF(J12=konversi!$H$6,konversi!$I$6,IF(perhitungan!J12=konversi!$H$7,konversi!$I$7,IF(perhitungan!J12=konversi!$H$8,konversi!$I$8,IF(perhitungan!J12=konversi!$H$9,konversi!I14,IF(perhitungan!J12=konversi!$H$10,konversi!$I$10,"null")))))</f>
        <v>90</v>
      </c>
      <c r="H44" s="47">
        <f t="shared" si="2"/>
        <v>110.2</v>
      </c>
      <c r="I44" s="47">
        <f t="shared" si="3"/>
        <v>3606840</v>
      </c>
      <c r="J44" s="47">
        <f>IF(N12=konversi!$J$6,konversi!$K$6,IF(perhitungan!N12=konversi!$J$7,konversi!$K$7,IF(perhitungan!N12=konversi!$J$8,konversi!$K$8,"null")))</f>
        <v>90</v>
      </c>
      <c r="K44" s="47">
        <f>IF(perhitungan!O12=konversi!$D$20,konversi!$E$20,IF(perhitungan!O12=konversi!$D$21,konversi!$E$21,IF(perhitungan!O12=konversi!$D$22,konversi!$E$22,IF(perhitungan!O12=konversi!$D$23,konversi!$E$23,IF(perhitungan!O12=konversi!$D$24,konversi!$E$24,"null")))))</f>
        <v>79</v>
      </c>
      <c r="L44" s="47">
        <f>IF(P12=konversi!$F$20,konversi!$G$20,IF(perhitungan!P12=konversi!$F$21,konversi!$G$21,IF(perhitungan!P12=konversi!$F$22,konversi!$G$22,"null")))</f>
        <v>8</v>
      </c>
      <c r="M44" s="47">
        <f t="shared" si="4"/>
        <v>8</v>
      </c>
      <c r="N44" s="47">
        <f t="shared" si="5"/>
        <v>512</v>
      </c>
      <c r="O44" s="47">
        <f t="shared" si="6"/>
        <v>48</v>
      </c>
      <c r="P44" s="47">
        <f>IF(T12=konversi!$H$20,konversi!$I$20,IF(perhitungan!T12=konversi!$H$21,konversi!$I$21,IF(perhitungan!T12=konversi!$H$22,konversi!$I$22,"null")))</f>
        <v>40</v>
      </c>
      <c r="Q44" s="47">
        <f>IF(perhitungan!U12=konversi!$B$32,konversi!$C$32,IF(perhitungan!U12=konversi!$B$33,konversi!$C$33,IF(perhitungan!U12=konversi!$B$34,konversi!$C$34,IF(perhitungan!U12=konversi!$B$35,konversi!$C$35,IF(perhitungan!U12=konversi!$B$36,konversi!$C$36,IF(perhitungan!U12=konversi!$B$37,konversi!$C$37,IF(perhitungan!U12=konversi!$B$38,konversi!$C$38,0))))))) + IF(perhitungan!V12=konversi!$B$32,konversi!$C$32,IF(perhitungan!V12=konversi!$B$33,konversi!$C$33,IF(perhitungan!V12=konversi!$B$34,konversi!$C$34,IF(perhitungan!V12=konversi!$B$35,konversi!$C$35,IF(perhitungan!U12=konversi!$B$36,konversi!$C$36,IF(perhitungan!V12=konversi!$B$37,konversi!$C$37,IF(perhitungan!V12=konversi!$B$38,konversi!$C$38,0)))))))  + IF(perhitungan!W12=konversi!$B$32,konversi!$C$32,IF(perhitungan!W12=konversi!$B$33,konversi!$C$33,IF(perhitungan!W12=konversi!$B$34,konversi!$C$34,IF(perhitungan!W12=konversi!$B$35,konversi!$C$35,IF(perhitungan!W12=konversi!$B$36,konversi!$C$36,IF(perhitungan!W12=konversi!$B$37,konversi!$C$37,IF(perhitungan!W12=konversi!$B$38,konversi!$C$38,0)))))))</f>
        <v>90</v>
      </c>
      <c r="R44" s="47">
        <f t="shared" si="7"/>
        <v>12</v>
      </c>
      <c r="S44" s="47">
        <f>IF(AA12=konversi!$H$28,konversi!$I$28,IF(AA12=konversi!$H$29,konversi!$I$29,IF(AA12=konversi!$H$30,konversi!$I$30,IF(AA12=konversi!$H$31,konversi!$I$31,IF(AA12=konversi!$H$32,konversi!$I$32,IF(AA12=konversi!$H$33,konversi!$I$33,IF(AA12=konversi!$H$34,konversi!$I$34,0))))))) + IF(AB12=konversi!$H$28,konversi!$I$28,IF(AB12=konversi!$H$29,konversi!$I$29,IF(AB12=konversi!$H$30,konversi!$I$30,IF(AB12=konversi!$H$31,konversi!$I$31,IF(AB12=konversi!$H$32,konversi!$I$32,IF(AB12=konversi!$H$33,konversi!$I$33,IF(AB12=konversi!$H$34,konversi!$I$34,0)))))))</f>
        <v>175</v>
      </c>
      <c r="T44" s="47">
        <f>IF(AC12=konversi!$D$33,konversi!$E$33,IF(AC12=konversi!$D$34,konversi!$E$34,IF(AC12=konversi!$D$35,konversi!$E$35,IF(AC12=konversi!$D$36,konversi!$E$36,IF(AC12=konversi!$D$37,konversi!$E$37,0)))))</f>
        <v>100</v>
      </c>
      <c r="U44" s="47">
        <f t="shared" si="8"/>
        <v>4441</v>
      </c>
      <c r="V44" s="47">
        <f t="shared" si="9"/>
        <v>27999000</v>
      </c>
    </row>
    <row r="45" spans="1:32" x14ac:dyDescent="0.25">
      <c r="A45">
        <v>8</v>
      </c>
      <c r="B45" s="47">
        <f>IF(B13='normalisasi data'!$E$3,'normalisasi data'!$E$14,IF(perhitungan!B13='normalisasi data'!$F$3,'normalisasi data'!$F$14,IF(perhitungan!B13='normalisasi data'!$G$3,'normalisasi data'!$G$14,"null")))</f>
        <v>86.3</v>
      </c>
      <c r="C45" s="47" t="str">
        <f t="shared" si="0"/>
        <v>Iphone 15 Pro Max</v>
      </c>
      <c r="D45" s="47">
        <f t="shared" si="10"/>
        <v>101793.93900000003</v>
      </c>
      <c r="E45" s="47">
        <f t="shared" si="1"/>
        <v>221</v>
      </c>
      <c r="F45" s="47">
        <f>IF(H13=konversi!$D$6,konversi!$E$6,IF(perhitungan!H13=konversi!$D$7,konversi!$E$7,0))+IF(I13=konversi!$F$6,konversi!$G$6,IF(perhitungan!I13=konversi!$F$7,konversi!$G$7))</f>
        <v>160</v>
      </c>
      <c r="G45" s="47">
        <f>IF(J13=konversi!$H$6,konversi!$I$6,IF(perhitungan!J13=konversi!$H$7,konversi!$I$7,IF(perhitungan!J13=konversi!$H$8,konversi!$I$8,IF(perhitungan!J13=konversi!$H$9,konversi!I15,IF(perhitungan!J13=konversi!$H$10,konversi!$I$10,"null")))))</f>
        <v>90</v>
      </c>
      <c r="H45" s="47">
        <f t="shared" si="2"/>
        <v>110.2</v>
      </c>
      <c r="I45" s="47">
        <f t="shared" si="3"/>
        <v>3606840</v>
      </c>
      <c r="J45" s="47">
        <f>IF(N13=konversi!$J$6,konversi!$K$6,IF(perhitungan!N13=konversi!$J$7,konversi!$K$7,IF(perhitungan!N13=konversi!$J$8,konversi!$K$8,"null")))</f>
        <v>90</v>
      </c>
      <c r="K45" s="47">
        <f>IF(perhitungan!O13=konversi!$D$20,konversi!$E$20,IF(perhitungan!O13=konversi!$D$21,konversi!$E$21,IF(perhitungan!O13=konversi!$D$22,konversi!$E$22,IF(perhitungan!O13=konversi!$D$23,konversi!$E$23,IF(perhitungan!O13=konversi!$D$24,konversi!$E$24,"null")))))</f>
        <v>79</v>
      </c>
      <c r="L45" s="47">
        <f>IF(P13=konversi!$F$20,konversi!$G$20,IF(perhitungan!P13=konversi!$F$21,konversi!$G$21,IF(perhitungan!P13=konversi!$F$22,konversi!$G$22,"null")))</f>
        <v>8</v>
      </c>
      <c r="M45" s="47">
        <f t="shared" si="4"/>
        <v>8</v>
      </c>
      <c r="N45" s="47">
        <f t="shared" si="5"/>
        <v>1000</v>
      </c>
      <c r="O45" s="47">
        <f t="shared" si="6"/>
        <v>48</v>
      </c>
      <c r="P45" s="47">
        <f>IF(T13=konversi!$H$20,konversi!$I$20,IF(perhitungan!T13=konversi!$H$21,konversi!$I$21,IF(perhitungan!T13=konversi!$H$22,konversi!$I$22,"null")))</f>
        <v>40</v>
      </c>
      <c r="Q45" s="47">
        <f>IF(perhitungan!U13=konversi!$B$32,konversi!$C$32,IF(perhitungan!U13=konversi!$B$33,konversi!$C$33,IF(perhitungan!U13=konversi!$B$34,konversi!$C$34,IF(perhitungan!U13=konversi!$B$35,konversi!$C$35,IF(perhitungan!U13=konversi!$B$36,konversi!$C$36,IF(perhitungan!U13=konversi!$B$37,konversi!$C$37,IF(perhitungan!U13=konversi!$B$38,konversi!$C$38,0))))))) + IF(perhitungan!V13=konversi!$B$32,konversi!$C$32,IF(perhitungan!V13=konversi!$B$33,konversi!$C$33,IF(perhitungan!V13=konversi!$B$34,konversi!$C$34,IF(perhitungan!V13=konversi!$B$35,konversi!$C$35,IF(perhitungan!U13=konversi!$B$36,konversi!$C$36,IF(perhitungan!V13=konversi!$B$37,konversi!$C$37,IF(perhitungan!V13=konversi!$B$38,konversi!$C$38,0)))))))  + IF(perhitungan!W13=konversi!$B$32,konversi!$C$32,IF(perhitungan!W13=konversi!$B$33,konversi!$C$33,IF(perhitungan!W13=konversi!$B$34,konversi!$C$34,IF(perhitungan!W13=konversi!$B$35,konversi!$C$35,IF(perhitungan!W13=konversi!$B$36,konversi!$C$36,IF(perhitungan!W13=konversi!$B$37,konversi!$C$37,IF(perhitungan!W13=konversi!$B$38,konversi!$C$38,0)))))))</f>
        <v>90</v>
      </c>
      <c r="R45" s="47">
        <f t="shared" si="7"/>
        <v>12</v>
      </c>
      <c r="S45" s="47">
        <f>IF(AA13=konversi!$H$28,konversi!$I$28,IF(AA13=konversi!$H$29,konversi!$I$29,IF(AA13=konversi!$H$30,konversi!$I$30,IF(AA13=konversi!$H$31,konversi!$I$31,IF(AA13=konversi!$H$32,konversi!$I$32,IF(AA13=konversi!$H$33,konversi!$I$33,IF(AA13=konversi!$H$34,konversi!$I$34,0))))))) + IF(AB13=konversi!$H$28,konversi!$I$28,IF(AB13=konversi!$H$29,konversi!$I$29,IF(AB13=konversi!$H$30,konversi!$I$30,IF(AB13=konversi!$H$31,konversi!$I$31,IF(AB13=konversi!$H$32,konversi!$I$32,IF(AB13=konversi!$H$33,konversi!$I$33,IF(AB13=konversi!$H$34,konversi!$I$34,0)))))))</f>
        <v>175</v>
      </c>
      <c r="T45" s="47">
        <f>IF(AC13=konversi!$D$33,konversi!$E$33,IF(AC13=konversi!$D$34,konversi!$E$34,IF(AC13=konversi!$D$35,konversi!$E$35,IF(AC13=konversi!$D$36,konversi!$E$36,IF(AC13=konversi!$D$37,konversi!$E$37,0)))))</f>
        <v>100</v>
      </c>
      <c r="U45" s="47">
        <f t="shared" si="8"/>
        <v>4441</v>
      </c>
      <c r="V45" s="47">
        <f t="shared" si="9"/>
        <v>31999000</v>
      </c>
    </row>
    <row r="46" spans="1:32" x14ac:dyDescent="0.25">
      <c r="A46">
        <v>9</v>
      </c>
      <c r="B46" s="47">
        <f>IF(B14='normalisasi data'!$E$3,'normalisasi data'!$E$14,IF(perhitungan!B14='normalisasi data'!$F$3,'normalisasi data'!$F$14,IF(perhitungan!B14='normalisasi data'!$G$3,'normalisasi data'!$G$14,"null")))</f>
        <v>86.3</v>
      </c>
      <c r="C46" s="47" t="str">
        <f t="shared" si="0"/>
        <v>Iphone 15 Pro</v>
      </c>
      <c r="D46" s="47">
        <f t="shared" si="10"/>
        <v>85904.668000000005</v>
      </c>
      <c r="E46" s="47">
        <f t="shared" si="1"/>
        <v>187</v>
      </c>
      <c r="F46" s="47">
        <f>IF(H14=konversi!$D$6,konversi!$E$6,IF(perhitungan!H14=konversi!$D$7,konversi!$E$7,0))+IF(I14=konversi!$F$6,konversi!$G$6,IF(perhitungan!I14=konversi!$F$7,konversi!$G$7))</f>
        <v>160</v>
      </c>
      <c r="G46" s="47">
        <f>IF(J14=konversi!$H$6,konversi!$I$6,IF(perhitungan!J14=konversi!$H$7,konversi!$I$7,IF(perhitungan!J14=konversi!$H$8,konversi!$I$8,IF(perhitungan!J14=konversi!$H$9,konversi!I16,IF(perhitungan!J14=konversi!$H$10,konversi!$I$10,"null")))))</f>
        <v>90</v>
      </c>
      <c r="H46" s="47">
        <f t="shared" si="2"/>
        <v>91.3</v>
      </c>
      <c r="I46" s="47">
        <f t="shared" si="3"/>
        <v>3013524</v>
      </c>
      <c r="J46" s="47">
        <f>IF(N14=konversi!$J$6,konversi!$K$6,IF(perhitungan!N14=konversi!$J$7,konversi!$K$7,IF(perhitungan!N14=konversi!$J$8,konversi!$K$8,"null")))</f>
        <v>90</v>
      </c>
      <c r="K46" s="47">
        <f>IF(perhitungan!O14=konversi!$D$20,konversi!$E$20,IF(perhitungan!O14=konversi!$D$21,konversi!$E$21,IF(perhitungan!O14=konversi!$D$22,konversi!$E$22,IF(perhitungan!O14=konversi!$D$23,konversi!$E$23,IF(perhitungan!O14=konversi!$D$24,konversi!$E$24,"null")))))</f>
        <v>79</v>
      </c>
      <c r="L46" s="47">
        <f>IF(P14=konversi!$F$20,konversi!$G$20,IF(perhitungan!P14=konversi!$F$21,konversi!$G$21,IF(perhitungan!P14=konversi!$F$22,konversi!$G$22,"null")))</f>
        <v>8</v>
      </c>
      <c r="M46" s="47">
        <f t="shared" si="4"/>
        <v>8</v>
      </c>
      <c r="N46" s="47">
        <f t="shared" si="5"/>
        <v>128</v>
      </c>
      <c r="O46" s="47">
        <f t="shared" si="6"/>
        <v>48</v>
      </c>
      <c r="P46" s="47">
        <f>IF(T14=konversi!$H$20,konversi!$I$20,IF(perhitungan!T14=konversi!$H$21,konversi!$I$21,IF(perhitungan!T14=konversi!$H$22,konversi!$I$22,"null")))</f>
        <v>40</v>
      </c>
      <c r="Q46" s="47">
        <f>IF(perhitungan!U14=konversi!$B$32,konversi!$C$32,IF(perhitungan!U14=konversi!$B$33,konversi!$C$33,IF(perhitungan!U14=konversi!$B$34,konversi!$C$34,IF(perhitungan!U14=konversi!$B$35,konversi!$C$35,IF(perhitungan!U14=konversi!$B$36,konversi!$C$36,IF(perhitungan!U14=konversi!$B$37,konversi!$C$37,IF(perhitungan!U14=konversi!$B$38,konversi!$C$38,0))))))) + IF(perhitungan!V14=konversi!$B$32,konversi!$C$32,IF(perhitungan!V14=konversi!$B$33,konversi!$C$33,IF(perhitungan!V14=konversi!$B$34,konversi!$C$34,IF(perhitungan!V14=konversi!$B$35,konversi!$C$35,IF(perhitungan!U14=konversi!$B$36,konversi!$C$36,IF(perhitungan!V14=konversi!$B$37,konversi!$C$37,IF(perhitungan!V14=konversi!$B$38,konversi!$C$38,0)))))))  + IF(perhitungan!W14=konversi!$B$32,konversi!$C$32,IF(perhitungan!W14=konversi!$B$33,konversi!$C$33,IF(perhitungan!W14=konversi!$B$34,konversi!$C$34,IF(perhitungan!W14=konversi!$B$35,konversi!$C$35,IF(perhitungan!W14=konversi!$B$36,konversi!$C$36,IF(perhitungan!W14=konversi!$B$37,konversi!$C$37,IF(perhitungan!W14=konversi!$B$38,konversi!$C$38,0)))))))</f>
        <v>90</v>
      </c>
      <c r="R46" s="47">
        <f t="shared" si="7"/>
        <v>12</v>
      </c>
      <c r="S46" s="47">
        <f>IF(AA14=konversi!$H$28,konversi!$I$28,IF(AA14=konversi!$H$29,konversi!$I$29,IF(AA14=konversi!$H$30,konversi!$I$30,IF(AA14=konversi!$H$31,konversi!$I$31,IF(AA14=konversi!$H$32,konversi!$I$32,IF(AA14=konversi!$H$33,konversi!$I$33,IF(AA14=konversi!$H$34,konversi!$I$34,0))))))) + IF(AB14=konversi!$H$28,konversi!$I$28,IF(AB14=konversi!$H$29,konversi!$I$29,IF(AB14=konversi!$H$30,konversi!$I$30,IF(AB14=konversi!$H$31,konversi!$I$31,IF(AB14=konversi!$H$32,konversi!$I$32,IF(AB14=konversi!$H$33,konversi!$I$33,IF(AB14=konversi!$H$34,konversi!$I$34,0)))))))</f>
        <v>175</v>
      </c>
      <c r="T46" s="47">
        <f>IF(AC14=konversi!$D$33,konversi!$E$33,IF(AC14=konversi!$D$34,konversi!$E$34,IF(AC14=konversi!$D$35,konversi!$E$35,IF(AC14=konversi!$D$36,konversi!$E$36,IF(AC14=konversi!$D$37,konversi!$E$37,0)))))</f>
        <v>100</v>
      </c>
      <c r="U46" s="47">
        <f t="shared" si="8"/>
        <v>3274</v>
      </c>
      <c r="V46" s="47">
        <f t="shared" si="9"/>
        <v>18999000</v>
      </c>
    </row>
    <row r="47" spans="1:32" x14ac:dyDescent="0.25">
      <c r="A47">
        <v>10</v>
      </c>
      <c r="B47" s="47">
        <f>IF(B15='normalisasi data'!$E$3,'normalisasi data'!$E$14,IF(perhitungan!B15='normalisasi data'!$F$3,'normalisasi data'!$F$14,IF(perhitungan!B15='normalisasi data'!$G$3,'normalisasi data'!$G$14,"null")))</f>
        <v>86.3</v>
      </c>
      <c r="C47" s="47" t="str">
        <f t="shared" si="0"/>
        <v>Iphone 15 Pro</v>
      </c>
      <c r="D47" s="47">
        <f t="shared" si="10"/>
        <v>85904.668000000005</v>
      </c>
      <c r="E47" s="47">
        <f t="shared" si="1"/>
        <v>187</v>
      </c>
      <c r="F47" s="47">
        <f>IF(H15=konversi!$D$6,konversi!$E$6,IF(perhitungan!H15=konversi!$D$7,konversi!$E$7,0))+IF(I15=konversi!$F$6,konversi!$G$6,IF(perhitungan!I15=konversi!$F$7,konversi!$G$7))</f>
        <v>160</v>
      </c>
      <c r="G47" s="47">
        <f>IF(J15=konversi!$H$6,konversi!$I$6,IF(perhitungan!J15=konversi!$H$7,konversi!$I$7,IF(perhitungan!J15=konversi!$H$8,konversi!$I$8,IF(perhitungan!J15=konversi!$H$9,konversi!I17,IF(perhitungan!J15=konversi!$H$10,konversi!$I$10,"null")))))</f>
        <v>90</v>
      </c>
      <c r="H47" s="47">
        <f t="shared" si="2"/>
        <v>91.3</v>
      </c>
      <c r="I47" s="47">
        <f t="shared" si="3"/>
        <v>3013524</v>
      </c>
      <c r="J47" s="47">
        <f>IF(N15=konversi!$J$6,konversi!$K$6,IF(perhitungan!N15=konversi!$J$7,konversi!$K$7,IF(perhitungan!N15=konversi!$J$8,konversi!$K$8,"null")))</f>
        <v>90</v>
      </c>
      <c r="K47" s="47">
        <f>IF(perhitungan!O15=konversi!$D$20,konversi!$E$20,IF(perhitungan!O15=konversi!$D$21,konversi!$E$21,IF(perhitungan!O15=konversi!$D$22,konversi!$E$22,IF(perhitungan!O15=konversi!$D$23,konversi!$E$23,IF(perhitungan!O15=konversi!$D$24,konversi!$E$24,"null")))))</f>
        <v>79</v>
      </c>
      <c r="L47" s="47">
        <f>IF(P15=konversi!$F$20,konversi!$G$20,IF(perhitungan!P15=konversi!$F$21,konversi!$G$21,IF(perhitungan!P15=konversi!$F$22,konversi!$G$22,"null")))</f>
        <v>8</v>
      </c>
      <c r="M47" s="47">
        <f t="shared" si="4"/>
        <v>8</v>
      </c>
      <c r="N47" s="47">
        <f t="shared" si="5"/>
        <v>256</v>
      </c>
      <c r="O47" s="47">
        <f t="shared" si="6"/>
        <v>48</v>
      </c>
      <c r="P47" s="47">
        <f>IF(T15=konversi!$H$20,konversi!$I$20,IF(perhitungan!T15=konversi!$H$21,konversi!$I$21,IF(perhitungan!T15=konversi!$H$22,konversi!$I$22,"null")))</f>
        <v>40</v>
      </c>
      <c r="Q47" s="47">
        <f>IF(perhitungan!U15=konversi!$B$32,konversi!$C$32,IF(perhitungan!U15=konversi!$B$33,konversi!$C$33,IF(perhitungan!U15=konversi!$B$34,konversi!$C$34,IF(perhitungan!U15=konversi!$B$35,konversi!$C$35,IF(perhitungan!U15=konversi!$B$36,konversi!$C$36,IF(perhitungan!U15=konversi!$B$37,konversi!$C$37,IF(perhitungan!U15=konversi!$B$38,konversi!$C$38,0))))))) + IF(perhitungan!V15=konversi!$B$32,konversi!$C$32,IF(perhitungan!V15=konversi!$B$33,konversi!$C$33,IF(perhitungan!V15=konversi!$B$34,konversi!$C$34,IF(perhitungan!V15=konversi!$B$35,konversi!$C$35,IF(perhitungan!U15=konversi!$B$36,konversi!$C$36,IF(perhitungan!V15=konversi!$B$37,konversi!$C$37,IF(perhitungan!V15=konversi!$B$38,konversi!$C$38,0)))))))  + IF(perhitungan!W15=konversi!$B$32,konversi!$C$32,IF(perhitungan!W15=konversi!$B$33,konversi!$C$33,IF(perhitungan!W15=konversi!$B$34,konversi!$C$34,IF(perhitungan!W15=konversi!$B$35,konversi!$C$35,IF(perhitungan!W15=konversi!$B$36,konversi!$C$36,IF(perhitungan!W15=konversi!$B$37,konversi!$C$37,IF(perhitungan!W15=konversi!$B$38,konversi!$C$38,0)))))))</f>
        <v>90</v>
      </c>
      <c r="R47" s="47">
        <f t="shared" si="7"/>
        <v>12</v>
      </c>
      <c r="S47" s="47">
        <f>IF(AA15=konversi!$H$28,konversi!$I$28,IF(AA15=konversi!$H$29,konversi!$I$29,IF(AA15=konversi!$H$30,konversi!$I$30,IF(AA15=konversi!$H$31,konversi!$I$31,IF(AA15=konversi!$H$32,konversi!$I$32,IF(AA15=konversi!$H$33,konversi!$I$33,IF(AA15=konversi!$H$34,konversi!$I$34,0))))))) + IF(AB15=konversi!$H$28,konversi!$I$28,IF(AB15=konversi!$H$29,konversi!$I$29,IF(AB15=konversi!$H$30,konversi!$I$30,IF(AB15=konversi!$H$31,konversi!$I$31,IF(AB15=konversi!$H$32,konversi!$I$32,IF(AB15=konversi!$H$33,konversi!$I$33,IF(AB15=konversi!$H$34,konversi!$I$34,0)))))))</f>
        <v>175</v>
      </c>
      <c r="T47" s="47">
        <f>IF(AC15=konversi!$D$33,konversi!$E$33,IF(AC15=konversi!$D$34,konversi!$E$34,IF(AC15=konversi!$D$35,konversi!$E$35,IF(AC15=konversi!$D$36,konversi!$E$36,IF(AC15=konversi!$D$37,konversi!$E$37,0)))))</f>
        <v>100</v>
      </c>
      <c r="U47" s="47">
        <f t="shared" si="8"/>
        <v>3274</v>
      </c>
      <c r="V47" s="47">
        <f t="shared" si="9"/>
        <v>21999000</v>
      </c>
    </row>
    <row r="48" spans="1:32" x14ac:dyDescent="0.25">
      <c r="A48">
        <v>11</v>
      </c>
      <c r="B48" s="47">
        <f>IF(B16='normalisasi data'!$E$3,'normalisasi data'!$E$14,IF(perhitungan!B16='normalisasi data'!$F$3,'normalisasi data'!$F$14,IF(perhitungan!B16='normalisasi data'!$G$3,'normalisasi data'!$G$14,"null")))</f>
        <v>86.3</v>
      </c>
      <c r="C48" s="47" t="str">
        <f t="shared" si="0"/>
        <v>Iphone 15 Pro</v>
      </c>
      <c r="D48" s="47">
        <f t="shared" si="10"/>
        <v>85904.668000000005</v>
      </c>
      <c r="E48" s="47">
        <f t="shared" si="1"/>
        <v>187</v>
      </c>
      <c r="F48" s="47">
        <f>IF(H16=konversi!$D$6,konversi!$E$6,IF(perhitungan!H16=konversi!$D$7,konversi!$E$7,0))+IF(I16=konversi!$F$6,konversi!$G$6,IF(perhitungan!I16=konversi!$F$7,konversi!$G$7))</f>
        <v>160</v>
      </c>
      <c r="G48" s="47">
        <f>IF(J16=konversi!$H$6,konversi!$I$6,IF(perhitungan!J16=konversi!$H$7,konversi!$I$7,IF(perhitungan!J16=konversi!$H$8,konversi!$I$8,IF(perhitungan!J16=konversi!$H$9,konversi!I18,IF(perhitungan!J16=konversi!$H$10,konversi!$I$10,"null")))))</f>
        <v>90</v>
      </c>
      <c r="H48" s="47">
        <f t="shared" si="2"/>
        <v>91.3</v>
      </c>
      <c r="I48" s="47">
        <f t="shared" si="3"/>
        <v>3013524</v>
      </c>
      <c r="J48" s="47">
        <f>IF(N16=konversi!$J$6,konversi!$K$6,IF(perhitungan!N16=konversi!$J$7,konversi!$K$7,IF(perhitungan!N16=konversi!$J$8,konversi!$K$8,"null")))</f>
        <v>90</v>
      </c>
      <c r="K48" s="47">
        <f>IF(perhitungan!O16=konversi!$D$20,konversi!$E$20,IF(perhitungan!O16=konversi!$D$21,konversi!$E$21,IF(perhitungan!O16=konversi!$D$22,konversi!$E$22,IF(perhitungan!O16=konversi!$D$23,konversi!$E$23,IF(perhitungan!O16=konversi!$D$24,konversi!$E$24,"null")))))</f>
        <v>79</v>
      </c>
      <c r="L48" s="47">
        <f>IF(P16=konversi!$F$20,konversi!$G$20,IF(perhitungan!P16=konversi!$F$21,konversi!$G$21,IF(perhitungan!P16=konversi!$F$22,konversi!$G$22,"null")))</f>
        <v>8</v>
      </c>
      <c r="M48" s="47">
        <f t="shared" si="4"/>
        <v>8</v>
      </c>
      <c r="N48" s="47">
        <f t="shared" si="5"/>
        <v>512</v>
      </c>
      <c r="O48" s="47">
        <f t="shared" si="6"/>
        <v>48</v>
      </c>
      <c r="P48" s="47">
        <f>IF(T16=konversi!$H$20,konversi!$I$20,IF(perhitungan!T16=konversi!$H$21,konversi!$I$21,IF(perhitungan!T16=konversi!$H$22,konversi!$I$22,"null")))</f>
        <v>40</v>
      </c>
      <c r="Q48" s="47">
        <f>IF(perhitungan!U16=konversi!$B$32,konversi!$C$32,IF(perhitungan!U16=konversi!$B$33,konversi!$C$33,IF(perhitungan!U16=konversi!$B$34,konversi!$C$34,IF(perhitungan!U16=konversi!$B$35,konversi!$C$35,IF(perhitungan!U16=konversi!$B$36,konversi!$C$36,IF(perhitungan!U16=konversi!$B$37,konversi!$C$37,IF(perhitungan!U16=konversi!$B$38,konversi!$C$38,0))))))) + IF(perhitungan!V16=konversi!$B$32,konversi!$C$32,IF(perhitungan!V16=konversi!$B$33,konversi!$C$33,IF(perhitungan!V16=konversi!$B$34,konversi!$C$34,IF(perhitungan!V16=konversi!$B$35,konversi!$C$35,IF(perhitungan!U16=konversi!$B$36,konversi!$C$36,IF(perhitungan!V16=konversi!$B$37,konversi!$C$37,IF(perhitungan!V16=konversi!$B$38,konversi!$C$38,0)))))))  + IF(perhitungan!W16=konversi!$B$32,konversi!$C$32,IF(perhitungan!W16=konversi!$B$33,konversi!$C$33,IF(perhitungan!W16=konversi!$B$34,konversi!$C$34,IF(perhitungan!W16=konversi!$B$35,konversi!$C$35,IF(perhitungan!W16=konversi!$B$36,konversi!$C$36,IF(perhitungan!W16=konversi!$B$37,konversi!$C$37,IF(perhitungan!W16=konversi!$B$38,konversi!$C$38,0)))))))</f>
        <v>90</v>
      </c>
      <c r="R48" s="47">
        <f t="shared" si="7"/>
        <v>12</v>
      </c>
      <c r="S48" s="47">
        <f>IF(AA16=konversi!$H$28,konversi!$I$28,IF(AA16=konversi!$H$29,konversi!$I$29,IF(AA16=konversi!$H$30,konversi!$I$30,IF(AA16=konversi!$H$31,konversi!$I$31,IF(AA16=konversi!$H$32,konversi!$I$32,IF(AA16=konversi!$H$33,konversi!$I$33,IF(AA16=konversi!$H$34,konversi!$I$34,0))))))) + IF(AB16=konversi!$H$28,konversi!$I$28,IF(AB16=konversi!$H$29,konversi!$I$29,IF(AB16=konversi!$H$30,konversi!$I$30,IF(AB16=konversi!$H$31,konversi!$I$31,IF(AB16=konversi!$H$32,konversi!$I$32,IF(AB16=konversi!$H$33,konversi!$I$33,IF(AB16=konversi!$H$34,konversi!$I$34,0)))))))</f>
        <v>175</v>
      </c>
      <c r="T48" s="47">
        <f>IF(AC16=konversi!$D$33,konversi!$E$33,IF(AC16=konversi!$D$34,konversi!$E$34,IF(AC16=konversi!$D$35,konversi!$E$35,IF(AC16=konversi!$D$36,konversi!$E$36,IF(AC16=konversi!$D$37,konversi!$E$37,0)))))</f>
        <v>100</v>
      </c>
      <c r="U48" s="47">
        <f t="shared" si="8"/>
        <v>3274</v>
      </c>
      <c r="V48" s="47">
        <f t="shared" si="9"/>
        <v>25999000</v>
      </c>
    </row>
    <row r="49" spans="1:22" x14ac:dyDescent="0.25">
      <c r="A49">
        <v>12</v>
      </c>
      <c r="B49" s="47">
        <f>IF(B17='normalisasi data'!$E$3,'normalisasi data'!$E$14,IF(perhitungan!B17='normalisasi data'!$F$3,'normalisasi data'!$F$14,IF(perhitungan!B17='normalisasi data'!$G$3,'normalisasi data'!$G$14,"null")))</f>
        <v>86.3</v>
      </c>
      <c r="C49" s="47" t="str">
        <f t="shared" si="0"/>
        <v>Iphone 15 Pro</v>
      </c>
      <c r="D49" s="47">
        <f t="shared" si="10"/>
        <v>85904.668000000005</v>
      </c>
      <c r="E49" s="47">
        <f t="shared" si="1"/>
        <v>187</v>
      </c>
      <c r="F49" s="47">
        <f>IF(H17=konversi!$D$6,konversi!$E$6,IF(perhitungan!H17=konversi!$D$7,konversi!$E$7,0))+IF(I17=konversi!$F$6,konversi!$G$6,IF(perhitungan!I17=konversi!$F$7,konversi!$G$7))</f>
        <v>160</v>
      </c>
      <c r="G49" s="47">
        <f>IF(J17=konversi!$H$6,konversi!$I$6,IF(perhitungan!J17=konversi!$H$7,konversi!$I$7,IF(perhitungan!J17=konversi!$H$8,konversi!$I$8,IF(perhitungan!J17=konversi!$H$9,konversi!I19,IF(perhitungan!J17=konversi!$H$10,konversi!$I$10,"null")))))</f>
        <v>90</v>
      </c>
      <c r="H49" s="47">
        <f t="shared" si="2"/>
        <v>91.3</v>
      </c>
      <c r="I49" s="47">
        <f t="shared" si="3"/>
        <v>3013524</v>
      </c>
      <c r="J49" s="47">
        <f>IF(N17=konversi!$J$6,konversi!$K$6,IF(perhitungan!N17=konversi!$J$7,konversi!$K$7,IF(perhitungan!N17=konversi!$J$8,konversi!$K$8,"null")))</f>
        <v>90</v>
      </c>
      <c r="K49" s="47">
        <f>IF(perhitungan!O17=konversi!$D$20,konversi!$E$20,IF(perhitungan!O17=konversi!$D$21,konversi!$E$21,IF(perhitungan!O17=konversi!$D$22,konversi!$E$22,IF(perhitungan!O17=konversi!$D$23,konversi!$E$23,IF(perhitungan!O17=konversi!$D$24,konversi!$E$24,"null")))))</f>
        <v>79</v>
      </c>
      <c r="L49" s="47">
        <f>IF(P17=konversi!$F$20,konversi!$G$20,IF(perhitungan!P17=konversi!$F$21,konversi!$G$21,IF(perhitungan!P17=konversi!$F$22,konversi!$G$22,"null")))</f>
        <v>8</v>
      </c>
      <c r="M49" s="47">
        <f t="shared" si="4"/>
        <v>8</v>
      </c>
      <c r="N49" s="47">
        <f t="shared" si="5"/>
        <v>1000</v>
      </c>
      <c r="O49" s="47">
        <f t="shared" si="6"/>
        <v>48</v>
      </c>
      <c r="P49" s="47">
        <f>IF(T17=konversi!$H$20,konversi!$I$20,IF(perhitungan!T17=konversi!$H$21,konversi!$I$21,IF(perhitungan!T17=konversi!$H$22,konversi!$I$22,"null")))</f>
        <v>40</v>
      </c>
      <c r="Q49" s="47">
        <f>IF(perhitungan!U17=konversi!$B$32,konversi!$C$32,IF(perhitungan!U17=konversi!$B$33,konversi!$C$33,IF(perhitungan!U17=konversi!$B$34,konversi!$C$34,IF(perhitungan!U17=konversi!$B$35,konversi!$C$35,IF(perhitungan!U17=konversi!$B$36,konversi!$C$36,IF(perhitungan!U17=konversi!$B$37,konversi!$C$37,IF(perhitungan!U17=konversi!$B$38,konversi!$C$38,0))))))) + IF(perhitungan!V17=konversi!$B$32,konversi!$C$32,IF(perhitungan!V17=konversi!$B$33,konversi!$C$33,IF(perhitungan!V17=konversi!$B$34,konversi!$C$34,IF(perhitungan!V17=konversi!$B$35,konversi!$C$35,IF(perhitungan!U17=konversi!$B$36,konversi!$C$36,IF(perhitungan!V17=konversi!$B$37,konversi!$C$37,IF(perhitungan!V17=konversi!$B$38,konversi!$C$38,0)))))))  + IF(perhitungan!W17=konversi!$B$32,konversi!$C$32,IF(perhitungan!W17=konversi!$B$33,konversi!$C$33,IF(perhitungan!W17=konversi!$B$34,konversi!$C$34,IF(perhitungan!W17=konversi!$B$35,konversi!$C$35,IF(perhitungan!W17=konversi!$B$36,konversi!$C$36,IF(perhitungan!W17=konversi!$B$37,konversi!$C$37,IF(perhitungan!W17=konversi!$B$38,konversi!$C$38,0)))))))</f>
        <v>90</v>
      </c>
      <c r="R49" s="47">
        <f t="shared" si="7"/>
        <v>12</v>
      </c>
      <c r="S49" s="47">
        <f>IF(AA17=konversi!$H$28,konversi!$I$28,IF(AA17=konversi!$H$29,konversi!$I$29,IF(AA17=konversi!$H$30,konversi!$I$30,IF(AA17=konversi!$H$31,konversi!$I$31,IF(AA17=konversi!$H$32,konversi!$I$32,IF(AA17=konversi!$H$33,konversi!$I$33,IF(AA17=konversi!$H$34,konversi!$I$34,0))))))) + IF(AB17=konversi!$H$28,konversi!$I$28,IF(AB17=konversi!$H$29,konversi!$I$29,IF(AB17=konversi!$H$30,konversi!$I$30,IF(AB17=konversi!$H$31,konversi!$I$31,IF(AB17=konversi!$H$32,konversi!$I$32,IF(AB17=konversi!$H$33,konversi!$I$33,IF(AB17=konversi!$H$34,konversi!$I$34,0)))))))</f>
        <v>175</v>
      </c>
      <c r="T49" s="47">
        <f>IF(AC17=konversi!$D$33,konversi!$E$33,IF(AC17=konversi!$D$34,konversi!$E$34,IF(AC17=konversi!$D$35,konversi!$E$35,IF(AC17=konversi!$D$36,konversi!$E$36,IF(AC17=konversi!$D$37,konversi!$E$37,0)))))</f>
        <v>100</v>
      </c>
      <c r="U49" s="47">
        <f t="shared" si="8"/>
        <v>3274</v>
      </c>
      <c r="V49" s="47">
        <f t="shared" si="9"/>
        <v>29999000</v>
      </c>
    </row>
    <row r="50" spans="1:22" x14ac:dyDescent="0.25">
      <c r="A50">
        <v>13</v>
      </c>
      <c r="B50" s="47">
        <f>IF(B18='normalisasi data'!$E$3,'normalisasi data'!$E$14,IF(perhitungan!B18='normalisasi data'!$F$3,'normalisasi data'!$F$14,IF(perhitungan!B18='normalisasi data'!$G$3,'normalisasi data'!$G$14,"null")))</f>
        <v>86.3</v>
      </c>
      <c r="C50" s="47" t="str">
        <f t="shared" si="0"/>
        <v>Iphone 15 Plus</v>
      </c>
      <c r="D50" s="47">
        <f t="shared" si="10"/>
        <v>97640.555999999997</v>
      </c>
      <c r="E50" s="47">
        <f t="shared" si="1"/>
        <v>201</v>
      </c>
      <c r="F50" s="47">
        <f>IF(H18=konversi!$D$6,konversi!$E$6,IF(perhitungan!H18=konversi!$D$7,konversi!$E$7,0))+IF(I18=konversi!$F$6,konversi!$G$6,IF(perhitungan!I18=konversi!$F$7,konversi!$G$7))</f>
        <v>70</v>
      </c>
      <c r="G50" s="47">
        <f>IF(J18=konversi!$H$6,konversi!$I$6,IF(perhitungan!J18=konversi!$H$7,konversi!$I$7,IF(perhitungan!J18=konversi!$H$8,konversi!$I$8,IF(perhitungan!J18=konversi!$H$9,konversi!I20,IF(perhitungan!J18=konversi!$H$10,konversi!$I$10,"null")))))</f>
        <v>90</v>
      </c>
      <c r="H50" s="47">
        <f t="shared" si="2"/>
        <v>110.2</v>
      </c>
      <c r="I50" s="47">
        <f t="shared" si="3"/>
        <v>3606840</v>
      </c>
      <c r="J50" s="47">
        <f>IF(N18=konversi!$J$6,konversi!$K$6,IF(perhitungan!N18=konversi!$J$7,konversi!$K$7,IF(perhitungan!N18=konversi!$J$8,konversi!$K$8,"null")))</f>
        <v>90</v>
      </c>
      <c r="K50" s="47">
        <f>IF(perhitungan!O18=konversi!$D$20,konversi!$E$20,IF(perhitungan!O18=konversi!$D$21,konversi!$E$21,IF(perhitungan!O18=konversi!$D$22,konversi!$E$22,IF(perhitungan!O18=konversi!$D$23,konversi!$E$23,IF(perhitungan!O18=konversi!$D$24,konversi!$E$24,"null")))))</f>
        <v>78</v>
      </c>
      <c r="L50" s="47">
        <f>IF(P18=konversi!$F$20,konversi!$G$20,IF(perhitungan!P18=konversi!$F$21,konversi!$G$21,IF(perhitungan!P18=konversi!$F$22,konversi!$G$22,"null")))</f>
        <v>8</v>
      </c>
      <c r="M50" s="47">
        <f t="shared" si="4"/>
        <v>8</v>
      </c>
      <c r="N50" s="47">
        <f t="shared" si="5"/>
        <v>128</v>
      </c>
      <c r="O50" s="47">
        <f t="shared" si="6"/>
        <v>48</v>
      </c>
      <c r="P50" s="47">
        <f>IF(T18=konversi!$H$20,konversi!$I$20,IF(perhitungan!T18=konversi!$H$21,konversi!$I$21,IF(perhitungan!T18=konversi!$H$22,konversi!$I$22,"null")))</f>
        <v>20</v>
      </c>
      <c r="Q50" s="47">
        <f>IF(perhitungan!U18=konversi!$B$32,konversi!$C$32,IF(perhitungan!U18=konversi!$B$33,konversi!$C$33,IF(perhitungan!U18=konversi!$B$34,konversi!$C$34,IF(perhitungan!U18=konversi!$B$35,konversi!$C$35,IF(perhitungan!U18=konversi!$B$36,konversi!$C$36,IF(perhitungan!U18=konversi!$B$37,konversi!$C$37,IF(perhitungan!U18=konversi!$B$38,konversi!$C$38,0))))))) + IF(perhitungan!V18=konversi!$B$32,konversi!$C$32,IF(perhitungan!V18=konversi!$B$33,konversi!$C$33,IF(perhitungan!V18=konversi!$B$34,konversi!$C$34,IF(perhitungan!V18=konversi!$B$35,konversi!$C$35,IF(perhitungan!U18=konversi!$B$36,konversi!$C$36,IF(perhitungan!V18=konversi!$B$37,konversi!$C$37,IF(perhitungan!V18=konversi!$B$38,konversi!$C$38,0)))))))  + IF(perhitungan!W18=konversi!$B$32,konversi!$C$32,IF(perhitungan!W18=konversi!$B$33,konversi!$C$33,IF(perhitungan!W18=konversi!$B$34,konversi!$C$34,IF(perhitungan!W18=konversi!$B$35,konversi!$C$35,IF(perhitungan!W18=konversi!$B$36,konversi!$C$36,IF(perhitungan!W18=konversi!$B$37,konversi!$C$37,IF(perhitungan!W18=konversi!$B$38,konversi!$C$38,0)))))))</f>
        <v>90</v>
      </c>
      <c r="R50" s="47">
        <f t="shared" si="7"/>
        <v>12</v>
      </c>
      <c r="S50" s="47">
        <f>IF(AA18=konversi!$H$28,konversi!$I$28,IF(AA18=konversi!$H$29,konversi!$I$29,IF(AA18=konversi!$H$30,konversi!$I$30,IF(AA18=konversi!$H$31,konversi!$I$31,IF(AA18=konversi!$H$32,konversi!$I$32,IF(AA18=konversi!$H$33,konversi!$I$33,IF(AA18=konversi!$H$34,konversi!$I$34,0))))))) + IF(AB18=konversi!$H$28,konversi!$I$28,IF(AB18=konversi!$H$29,konversi!$I$29,IF(AB18=konversi!$H$30,konversi!$I$30,IF(AB18=konversi!$H$31,konversi!$I$31,IF(AB18=konversi!$H$32,konversi!$I$32,IF(AB18=konversi!$H$33,konversi!$I$33,IF(AB18=konversi!$H$34,konversi!$I$34,0)))))))</f>
        <v>160</v>
      </c>
      <c r="T50" s="47">
        <f>IF(AC18=konversi!$D$33,konversi!$E$33,IF(AC18=konversi!$D$34,konversi!$E$34,IF(AC18=konversi!$D$35,konversi!$E$35,IF(AC18=konversi!$D$36,konversi!$E$36,IF(AC18=konversi!$D$37,konversi!$E$37,0)))))</f>
        <v>20</v>
      </c>
      <c r="U50" s="47">
        <f t="shared" si="8"/>
        <v>4382</v>
      </c>
      <c r="V50" s="47">
        <f t="shared" si="9"/>
        <v>15999000</v>
      </c>
    </row>
    <row r="51" spans="1:22" x14ac:dyDescent="0.25">
      <c r="A51">
        <v>14</v>
      </c>
      <c r="B51" s="47">
        <f>IF(B19='normalisasi data'!$E$3,'normalisasi data'!$E$14,IF(perhitungan!B19='normalisasi data'!$F$3,'normalisasi data'!$F$14,IF(perhitungan!B19='normalisasi data'!$G$3,'normalisasi data'!$G$14,"null")))</f>
        <v>86.3</v>
      </c>
      <c r="C51" s="47" t="str">
        <f t="shared" si="0"/>
        <v>Iphone 15 Plus</v>
      </c>
      <c r="D51" s="47">
        <f t="shared" si="10"/>
        <v>97640.555999999997</v>
      </c>
      <c r="E51" s="47">
        <f t="shared" si="1"/>
        <v>201</v>
      </c>
      <c r="F51" s="47">
        <f>IF(H19=konversi!$D$6,konversi!$E$6,IF(perhitungan!H19=konversi!$D$7,konversi!$E$7,0))+IF(I19=konversi!$F$6,konversi!$G$6,IF(perhitungan!I19=konversi!$F$7,konversi!$G$7))</f>
        <v>70</v>
      </c>
      <c r="G51" s="47">
        <f>IF(J19=konversi!$H$6,konversi!$I$6,IF(perhitungan!J19=konversi!$H$7,konversi!$I$7,IF(perhitungan!J19=konversi!$H$8,konversi!$I$8,IF(perhitungan!J19=konversi!$H$9,konversi!I21,IF(perhitungan!J19=konversi!$H$10,konversi!$I$10,"null")))))</f>
        <v>90</v>
      </c>
      <c r="H51" s="47">
        <f t="shared" si="2"/>
        <v>110.2</v>
      </c>
      <c r="I51" s="47">
        <f t="shared" si="3"/>
        <v>3606840</v>
      </c>
      <c r="J51" s="47">
        <f>IF(N19=konversi!$J$6,konversi!$K$6,IF(perhitungan!N19=konversi!$J$7,konversi!$K$7,IF(perhitungan!N19=konversi!$J$8,konversi!$K$8,"null")))</f>
        <v>90</v>
      </c>
      <c r="K51" s="47">
        <f>IF(perhitungan!O19=konversi!$D$20,konversi!$E$20,IF(perhitungan!O19=konversi!$D$21,konversi!$E$21,IF(perhitungan!O19=konversi!$D$22,konversi!$E$22,IF(perhitungan!O19=konversi!$D$23,konversi!$E$23,IF(perhitungan!O19=konversi!$D$24,konversi!$E$24,"null")))))</f>
        <v>78</v>
      </c>
      <c r="L51" s="47">
        <f>IF(P19=konversi!$F$20,konversi!$G$20,IF(perhitungan!P19=konversi!$F$21,konversi!$G$21,IF(perhitungan!P19=konversi!$F$22,konversi!$G$22,"null")))</f>
        <v>8</v>
      </c>
      <c r="M51" s="47">
        <f t="shared" si="4"/>
        <v>8</v>
      </c>
      <c r="N51" s="47">
        <f t="shared" si="5"/>
        <v>256</v>
      </c>
      <c r="O51" s="47">
        <f t="shared" si="6"/>
        <v>48</v>
      </c>
      <c r="P51" s="47">
        <f>IF(T19=konversi!$H$20,konversi!$I$20,IF(perhitungan!T19=konversi!$H$21,konversi!$I$21,IF(perhitungan!T19=konversi!$H$22,konversi!$I$22,"null")))</f>
        <v>20</v>
      </c>
      <c r="Q51" s="47">
        <f>IF(perhitungan!U19=konversi!$B$32,konversi!$C$32,IF(perhitungan!U19=konversi!$B$33,konversi!$C$33,IF(perhitungan!U19=konversi!$B$34,konversi!$C$34,IF(perhitungan!U19=konversi!$B$35,konversi!$C$35,IF(perhitungan!U19=konversi!$B$36,konversi!$C$36,IF(perhitungan!U19=konversi!$B$37,konversi!$C$37,IF(perhitungan!U19=konversi!$B$38,konversi!$C$38,0))))))) + IF(perhitungan!V19=konversi!$B$32,konversi!$C$32,IF(perhitungan!V19=konversi!$B$33,konversi!$C$33,IF(perhitungan!V19=konversi!$B$34,konversi!$C$34,IF(perhitungan!V19=konversi!$B$35,konversi!$C$35,IF(perhitungan!U19=konversi!$B$36,konversi!$C$36,IF(perhitungan!V19=konversi!$B$37,konversi!$C$37,IF(perhitungan!V19=konversi!$B$38,konversi!$C$38,0)))))))  + IF(perhitungan!W19=konversi!$B$32,konversi!$C$32,IF(perhitungan!W19=konversi!$B$33,konversi!$C$33,IF(perhitungan!W19=konversi!$B$34,konversi!$C$34,IF(perhitungan!W19=konversi!$B$35,konversi!$C$35,IF(perhitungan!W19=konversi!$B$36,konversi!$C$36,IF(perhitungan!W19=konversi!$B$37,konversi!$C$37,IF(perhitungan!W19=konversi!$B$38,konversi!$C$38,0)))))))</f>
        <v>90</v>
      </c>
      <c r="R51" s="47">
        <f t="shared" si="7"/>
        <v>12</v>
      </c>
      <c r="S51" s="47">
        <f>IF(AA19=konversi!$H$28,konversi!$I$28,IF(AA19=konversi!$H$29,konversi!$I$29,IF(AA19=konversi!$H$30,konversi!$I$30,IF(AA19=konversi!$H$31,konversi!$I$31,IF(AA19=konversi!$H$32,konversi!$I$32,IF(AA19=konversi!$H$33,konversi!$I$33,IF(AA19=konversi!$H$34,konversi!$I$34,0))))))) + IF(AB19=konversi!$H$28,konversi!$I$28,IF(AB19=konversi!$H$29,konversi!$I$29,IF(AB19=konversi!$H$30,konversi!$I$30,IF(AB19=konversi!$H$31,konversi!$I$31,IF(AB19=konversi!$H$32,konversi!$I$32,IF(AB19=konversi!$H$33,konversi!$I$33,IF(AB19=konversi!$H$34,konversi!$I$34,0)))))))</f>
        <v>160</v>
      </c>
      <c r="T51" s="47">
        <f>IF(AC19=konversi!$D$33,konversi!$E$33,IF(AC19=konversi!$D$34,konversi!$E$34,IF(AC19=konversi!$D$35,konversi!$E$35,IF(AC19=konversi!$D$36,konversi!$E$36,IF(AC19=konversi!$D$37,konversi!$E$37,0)))))</f>
        <v>20</v>
      </c>
      <c r="U51" s="47">
        <f t="shared" si="8"/>
        <v>4382</v>
      </c>
      <c r="V51" s="47">
        <f t="shared" si="9"/>
        <v>18999000</v>
      </c>
    </row>
    <row r="52" spans="1:22" x14ac:dyDescent="0.25">
      <c r="A52">
        <v>15</v>
      </c>
      <c r="B52" s="47">
        <f>IF(B20='normalisasi data'!$E$3,'normalisasi data'!$E$14,IF(perhitungan!B20='normalisasi data'!$F$3,'normalisasi data'!$F$14,IF(perhitungan!B20='normalisasi data'!$G$3,'normalisasi data'!$G$14,"null")))</f>
        <v>86.3</v>
      </c>
      <c r="C52" s="47" t="str">
        <f t="shared" si="0"/>
        <v>Iphone 15 Plus</v>
      </c>
      <c r="D52" s="47">
        <f t="shared" si="10"/>
        <v>97640.555999999997</v>
      </c>
      <c r="E52" s="47">
        <f t="shared" si="1"/>
        <v>201</v>
      </c>
      <c r="F52" s="47">
        <f>IF(H20=konversi!$D$6,konversi!$E$6,IF(perhitungan!H20=konversi!$D$7,konversi!$E$7,0))+IF(I20=konversi!$F$6,konversi!$G$6,IF(perhitungan!I20=konversi!$F$7,konversi!$G$7))</f>
        <v>160</v>
      </c>
      <c r="G52" s="47">
        <f>IF(J20=konversi!$H$6,konversi!$I$6,IF(perhitungan!J20=konversi!$H$7,konversi!$I$7,IF(perhitungan!J20=konversi!$H$8,konversi!$I$8,IF(perhitungan!J20=konversi!$H$9,konversi!I22,IF(perhitungan!J20=konversi!$H$10,konversi!$I$10,"null")))))</f>
        <v>90</v>
      </c>
      <c r="H52" s="47">
        <f t="shared" si="2"/>
        <v>110.2</v>
      </c>
      <c r="I52" s="47">
        <f t="shared" si="3"/>
        <v>3606840</v>
      </c>
      <c r="J52" s="47">
        <f>IF(N20=konversi!$J$6,konversi!$K$6,IF(perhitungan!N20=konversi!$J$7,konversi!$K$7,IF(perhitungan!N20=konversi!$J$8,konversi!$K$8,"null")))</f>
        <v>90</v>
      </c>
      <c r="K52" s="47">
        <f>IF(perhitungan!O20=konversi!$D$20,konversi!$E$20,IF(perhitungan!O20=konversi!$D$21,konversi!$E$21,IF(perhitungan!O20=konversi!$D$22,konversi!$E$22,IF(perhitungan!O20=konversi!$D$23,konversi!$E$23,IF(perhitungan!O20=konversi!$D$24,konversi!$E$24,"null")))))</f>
        <v>78</v>
      </c>
      <c r="L52" s="47">
        <f>IF(P20=konversi!$F$20,konversi!$G$20,IF(perhitungan!P20=konversi!$F$21,konversi!$G$21,IF(perhitungan!P20=konversi!$F$22,konversi!$G$22,"null")))</f>
        <v>8</v>
      </c>
      <c r="M52" s="47">
        <f t="shared" si="4"/>
        <v>8</v>
      </c>
      <c r="N52" s="47">
        <f t="shared" si="5"/>
        <v>512</v>
      </c>
      <c r="O52" s="47">
        <f t="shared" si="6"/>
        <v>48</v>
      </c>
      <c r="P52" s="47">
        <f>IF(T20=konversi!$H$20,konversi!$I$20,IF(perhitungan!T20=konversi!$H$21,konversi!$I$21,IF(perhitungan!T20=konversi!$H$22,konversi!$I$22,"null")))</f>
        <v>20</v>
      </c>
      <c r="Q52" s="47">
        <f>IF(perhitungan!U20=konversi!$B$32,konversi!$C$32,IF(perhitungan!U20=konversi!$B$33,konversi!$C$33,IF(perhitungan!U20=konversi!$B$34,konversi!$C$34,IF(perhitungan!U20=konversi!$B$35,konversi!$C$35,IF(perhitungan!U20=konversi!$B$36,konversi!$C$36,IF(perhitungan!U20=konversi!$B$37,konversi!$C$37,IF(perhitungan!U20=konversi!$B$38,konversi!$C$38,0))))))) + IF(perhitungan!V20=konversi!$B$32,konversi!$C$32,IF(perhitungan!V20=konversi!$B$33,konversi!$C$33,IF(perhitungan!V20=konversi!$B$34,konversi!$C$34,IF(perhitungan!V20=konversi!$B$35,konversi!$C$35,IF(perhitungan!U20=konversi!$B$36,konversi!$C$36,IF(perhitungan!V20=konversi!$B$37,konversi!$C$37,IF(perhitungan!V20=konversi!$B$38,konversi!$C$38,0)))))))  + IF(perhitungan!W20=konversi!$B$32,konversi!$C$32,IF(perhitungan!W20=konversi!$B$33,konversi!$C$33,IF(perhitungan!W20=konversi!$B$34,konversi!$C$34,IF(perhitungan!W20=konversi!$B$35,konversi!$C$35,IF(perhitungan!W20=konversi!$B$36,konversi!$C$36,IF(perhitungan!W20=konversi!$B$37,konversi!$C$37,IF(perhitungan!W20=konversi!$B$38,konversi!$C$38,0)))))))</f>
        <v>90</v>
      </c>
      <c r="R52" s="47">
        <f t="shared" si="7"/>
        <v>12</v>
      </c>
      <c r="S52" s="47">
        <f>IF(AA20=konversi!$H$28,konversi!$I$28,IF(AA20=konversi!$H$29,konversi!$I$29,IF(AA20=konversi!$H$30,konversi!$I$30,IF(AA20=konversi!$H$31,konversi!$I$31,IF(AA20=konversi!$H$32,konversi!$I$32,IF(AA20=konversi!$H$33,konversi!$I$33,IF(AA20=konversi!$H$34,konversi!$I$34,0))))))) + IF(AB20=konversi!$H$28,konversi!$I$28,IF(AB20=konversi!$H$29,konversi!$I$29,IF(AB20=konversi!$H$30,konversi!$I$30,IF(AB20=konversi!$H$31,konversi!$I$31,IF(AB20=konversi!$H$32,konversi!$I$32,IF(AB20=konversi!$H$33,konversi!$I$33,IF(AB20=konversi!$H$34,konversi!$I$34,0)))))))</f>
        <v>160</v>
      </c>
      <c r="T52" s="47">
        <f>IF(AC20=konversi!$D$33,konversi!$E$33,IF(AC20=konversi!$D$34,konversi!$E$34,IF(AC20=konversi!$D$35,konversi!$E$35,IF(AC20=konversi!$D$36,konversi!$E$36,IF(AC20=konversi!$D$37,konversi!$E$37,0)))))</f>
        <v>20</v>
      </c>
      <c r="U52" s="47">
        <f t="shared" si="8"/>
        <v>4382</v>
      </c>
      <c r="V52" s="47">
        <f t="shared" si="9"/>
        <v>22999000</v>
      </c>
    </row>
    <row r="53" spans="1:22" x14ac:dyDescent="0.25">
      <c r="A53">
        <v>16</v>
      </c>
      <c r="B53" s="47">
        <f>IF(B21='normalisasi data'!$E$3,'normalisasi data'!$E$14,IF(perhitungan!B21='normalisasi data'!$F$3,'normalisasi data'!$F$14,IF(perhitungan!B21='normalisasi data'!$G$3,'normalisasi data'!$G$14,"null")))</f>
        <v>86.3</v>
      </c>
      <c r="C53" s="47" t="str">
        <f t="shared" si="0"/>
        <v>Iphone 15</v>
      </c>
      <c r="D53" s="47">
        <f t="shared" si="10"/>
        <v>82431.647999999986</v>
      </c>
      <c r="E53" s="47">
        <f t="shared" si="1"/>
        <v>171</v>
      </c>
      <c r="F53" s="47">
        <f>IF(H21=konversi!$D$6,konversi!$E$6,IF(perhitungan!H21=konversi!$D$7,konversi!$E$7,0))+IF(I21=konversi!$F$6,konversi!$G$6,IF(perhitungan!I21=konversi!$F$7,konversi!$G$7))</f>
        <v>70</v>
      </c>
      <c r="G53" s="47">
        <f>IF(J21=konversi!$H$6,konversi!$I$6,IF(perhitungan!J21=konversi!$H$7,konversi!$I$7,IF(perhitungan!J21=konversi!$H$8,konversi!$I$8,IF(perhitungan!J21=konversi!$H$9,konversi!I23,IF(perhitungan!J21=konversi!$H$10,konversi!$I$10,"null")))))</f>
        <v>90</v>
      </c>
      <c r="H53" s="47">
        <f t="shared" si="2"/>
        <v>91.3</v>
      </c>
      <c r="I53" s="47">
        <f t="shared" si="3"/>
        <v>3013524</v>
      </c>
      <c r="J53" s="47">
        <f>IF(N21=konversi!$J$6,konversi!$K$6,IF(perhitungan!N21=konversi!$J$7,konversi!$K$7,IF(perhitungan!N21=konversi!$J$8,konversi!$K$8,"null")))</f>
        <v>90</v>
      </c>
      <c r="K53" s="47">
        <f>IF(perhitungan!O21=konversi!$D$20,konversi!$E$20,IF(perhitungan!O21=konversi!$D$21,konversi!$E$21,IF(perhitungan!O21=konversi!$D$22,konversi!$E$22,IF(perhitungan!O21=konversi!$D$23,konversi!$E$23,IF(perhitungan!O21=konversi!$D$24,konversi!$E$24,"null")))))</f>
        <v>78</v>
      </c>
      <c r="L53" s="47">
        <f>IF(P21=konversi!$F$20,konversi!$G$20,IF(perhitungan!P21=konversi!$F$21,konversi!$G$21,IF(perhitungan!P21=konversi!$F$22,konversi!$G$22,"null")))</f>
        <v>8</v>
      </c>
      <c r="M53" s="47">
        <f t="shared" si="4"/>
        <v>8</v>
      </c>
      <c r="N53" s="47">
        <f t="shared" si="5"/>
        <v>128</v>
      </c>
      <c r="O53" s="47">
        <f t="shared" si="6"/>
        <v>48</v>
      </c>
      <c r="P53" s="47">
        <f>IF(T21=konversi!$H$20,konversi!$I$20,IF(perhitungan!T21=konversi!$H$21,konversi!$I$21,IF(perhitungan!T21=konversi!$H$22,konversi!$I$22,"null")))</f>
        <v>20</v>
      </c>
      <c r="Q53" s="47">
        <f>IF(perhitungan!U21=konversi!$B$32,konversi!$C$32,IF(perhitungan!U21=konversi!$B$33,konversi!$C$33,IF(perhitungan!U21=konversi!$B$34,konversi!$C$34,IF(perhitungan!U21=konversi!$B$35,konversi!$C$35,IF(perhitungan!U21=konversi!$B$36,konversi!$C$36,IF(perhitungan!U21=konversi!$B$37,konversi!$C$37,IF(perhitungan!U21=konversi!$B$38,konversi!$C$38,0))))))) + IF(perhitungan!V21=konversi!$B$32,konversi!$C$32,IF(perhitungan!V21=konversi!$B$33,konversi!$C$33,IF(perhitungan!V21=konversi!$B$34,konversi!$C$34,IF(perhitungan!V21=konversi!$B$35,konversi!$C$35,IF(perhitungan!U21=konversi!$B$36,konversi!$C$36,IF(perhitungan!V21=konversi!$B$37,konversi!$C$37,IF(perhitungan!V21=konversi!$B$38,konversi!$C$38,0)))))))  + IF(perhitungan!W21=konversi!$B$32,konversi!$C$32,IF(perhitungan!W21=konversi!$B$33,konversi!$C$33,IF(perhitungan!W21=konversi!$B$34,konversi!$C$34,IF(perhitungan!W21=konversi!$B$35,konversi!$C$35,IF(perhitungan!W21=konversi!$B$36,konversi!$C$36,IF(perhitungan!W21=konversi!$B$37,konversi!$C$37,IF(perhitungan!W21=konversi!$B$38,konversi!$C$38,0)))))))</f>
        <v>90</v>
      </c>
      <c r="R53" s="47">
        <f t="shared" si="7"/>
        <v>12</v>
      </c>
      <c r="S53" s="47">
        <f>IF(AA21=konversi!$H$28,konversi!$I$28,IF(AA21=konversi!$H$29,konversi!$I$29,IF(AA21=konversi!$H$30,konversi!$I$30,IF(AA21=konversi!$H$31,konversi!$I$31,IF(AA21=konversi!$H$32,konversi!$I$32,IF(AA21=konversi!$H$33,konversi!$I$33,IF(AA21=konversi!$H$34,konversi!$I$34,0))))))) + IF(AB21=konversi!$H$28,konversi!$I$28,IF(AB21=konversi!$H$29,konversi!$I$29,IF(AB21=konversi!$H$30,konversi!$I$30,IF(AB21=konversi!$H$31,konversi!$I$31,IF(AB21=konversi!$H$32,konversi!$I$32,IF(AB21=konversi!$H$33,konversi!$I$33,IF(AB21=konversi!$H$34,konversi!$I$34,0)))))))</f>
        <v>160</v>
      </c>
      <c r="T53" s="47">
        <f>IF(AC21=konversi!$D$33,konversi!$E$33,IF(AC21=konversi!$D$34,konversi!$E$34,IF(AC21=konversi!$D$35,konversi!$E$35,IF(AC21=konversi!$D$36,konversi!$E$36,IF(AC21=konversi!$D$37,konversi!$E$37,0)))))</f>
        <v>20</v>
      </c>
      <c r="U53" s="47">
        <f t="shared" si="8"/>
        <v>3349</v>
      </c>
      <c r="V53" s="47">
        <f t="shared" si="9"/>
        <v>15999000</v>
      </c>
    </row>
    <row r="54" spans="1:22" x14ac:dyDescent="0.25">
      <c r="A54">
        <v>17</v>
      </c>
      <c r="B54" s="47">
        <f>IF(B22='normalisasi data'!$E$3,'normalisasi data'!$E$14,IF(perhitungan!B22='normalisasi data'!$F$3,'normalisasi data'!$F$14,IF(perhitungan!B22='normalisasi data'!$G$3,'normalisasi data'!$G$14,"null")))</f>
        <v>86.3</v>
      </c>
      <c r="C54" s="47" t="str">
        <f t="shared" si="0"/>
        <v>Iphone 15</v>
      </c>
      <c r="D54" s="47">
        <f t="shared" si="10"/>
        <v>82431.647999999986</v>
      </c>
      <c r="E54" s="47">
        <f t="shared" si="1"/>
        <v>171</v>
      </c>
      <c r="F54" s="47">
        <f>IF(H22=konversi!$D$6,konversi!$E$6,IF(perhitungan!H22=konversi!$D$7,konversi!$E$7,0))+IF(I22=konversi!$F$6,konversi!$G$6,IF(perhitungan!I22=konversi!$F$7,konversi!$G$7))</f>
        <v>70</v>
      </c>
      <c r="G54" s="47">
        <f>IF(J22=konversi!$H$6,konversi!$I$6,IF(perhitungan!J22=konversi!$H$7,konversi!$I$7,IF(perhitungan!J22=konversi!$H$8,konversi!$I$8,IF(perhitungan!J22=konversi!$H$9,konversi!I24,IF(perhitungan!J22=konversi!$H$10,konversi!$I$10,"null")))))</f>
        <v>90</v>
      </c>
      <c r="H54" s="47">
        <f t="shared" si="2"/>
        <v>91.3</v>
      </c>
      <c r="I54" s="47">
        <f t="shared" si="3"/>
        <v>3013524</v>
      </c>
      <c r="J54" s="47">
        <f>IF(N22=konversi!$J$6,konversi!$K$6,IF(perhitungan!N22=konversi!$J$7,konversi!$K$7,IF(perhitungan!N22=konversi!$J$8,konversi!$K$8,"null")))</f>
        <v>90</v>
      </c>
      <c r="K54" s="47">
        <f>IF(perhitungan!O22=konversi!$D$20,konversi!$E$20,IF(perhitungan!O22=konversi!$D$21,konversi!$E$21,IF(perhitungan!O22=konversi!$D$22,konversi!$E$22,IF(perhitungan!O22=konversi!$D$23,konversi!$E$23,IF(perhitungan!O22=konversi!$D$24,konversi!$E$24,"null")))))</f>
        <v>78</v>
      </c>
      <c r="L54" s="47">
        <f>IF(P22=konversi!$F$20,konversi!$G$20,IF(perhitungan!P22=konversi!$F$21,konversi!$G$21,IF(perhitungan!P22=konversi!$F$22,konversi!$G$22,"null")))</f>
        <v>8</v>
      </c>
      <c r="M54" s="47">
        <f t="shared" si="4"/>
        <v>8</v>
      </c>
      <c r="N54" s="47">
        <f t="shared" si="5"/>
        <v>256</v>
      </c>
      <c r="O54" s="47">
        <f t="shared" si="6"/>
        <v>48</v>
      </c>
      <c r="P54" s="47">
        <f>IF(T22=konversi!$H$20,konversi!$I$20,IF(perhitungan!T22=konversi!$H$21,konversi!$I$21,IF(perhitungan!T22=konversi!$H$22,konversi!$I$22,"null")))</f>
        <v>20</v>
      </c>
      <c r="Q54" s="47">
        <f>IF(perhitungan!U22=konversi!$B$32,konversi!$C$32,IF(perhitungan!U22=konversi!$B$33,konversi!$C$33,IF(perhitungan!U22=konversi!$B$34,konversi!$C$34,IF(perhitungan!U22=konversi!$B$35,konversi!$C$35,IF(perhitungan!U22=konversi!$B$36,konversi!$C$36,IF(perhitungan!U22=konversi!$B$37,konversi!$C$37,IF(perhitungan!U22=konversi!$B$38,konversi!$C$38,0))))))) + IF(perhitungan!V22=konversi!$B$32,konversi!$C$32,IF(perhitungan!V22=konversi!$B$33,konversi!$C$33,IF(perhitungan!V22=konversi!$B$34,konversi!$C$34,IF(perhitungan!V22=konversi!$B$35,konversi!$C$35,IF(perhitungan!U22=konversi!$B$36,konversi!$C$36,IF(perhitungan!V22=konversi!$B$37,konversi!$C$37,IF(perhitungan!V22=konversi!$B$38,konversi!$C$38,0)))))))  + IF(perhitungan!W22=konversi!$B$32,konversi!$C$32,IF(perhitungan!W22=konversi!$B$33,konversi!$C$33,IF(perhitungan!W22=konversi!$B$34,konversi!$C$34,IF(perhitungan!W22=konversi!$B$35,konversi!$C$35,IF(perhitungan!W22=konversi!$B$36,konversi!$C$36,IF(perhitungan!W22=konversi!$B$37,konversi!$C$37,IF(perhitungan!W22=konversi!$B$38,konversi!$C$38,0)))))))</f>
        <v>90</v>
      </c>
      <c r="R54" s="47">
        <f t="shared" si="7"/>
        <v>12</v>
      </c>
      <c r="S54" s="47">
        <f>IF(AA22=konversi!$H$28,konversi!$I$28,IF(AA22=konversi!$H$29,konversi!$I$29,IF(AA22=konversi!$H$30,konversi!$I$30,IF(AA22=konversi!$H$31,konversi!$I$31,IF(AA22=konversi!$H$32,konversi!$I$32,IF(AA22=konversi!$H$33,konversi!$I$33,IF(AA22=konversi!$H$34,konversi!$I$34,0))))))) + IF(AB22=konversi!$H$28,konversi!$I$28,IF(AB22=konversi!$H$29,konversi!$I$29,IF(AB22=konversi!$H$30,konversi!$I$30,IF(AB22=konversi!$H$31,konversi!$I$31,IF(AB22=konversi!$H$32,konversi!$I$32,IF(AB22=konversi!$H$33,konversi!$I$33,IF(AB22=konversi!$H$34,konversi!$I$34,0)))))))</f>
        <v>160</v>
      </c>
      <c r="T54" s="47">
        <f>IF(AC22=konversi!$D$33,konversi!$E$33,IF(AC22=konversi!$D$34,konversi!$E$34,IF(AC22=konversi!$D$35,konversi!$E$35,IF(AC22=konversi!$D$36,konversi!$E$36,IF(AC22=konversi!$D$37,konversi!$E$37,0)))))</f>
        <v>20</v>
      </c>
      <c r="U54" s="47">
        <f t="shared" si="8"/>
        <v>3349</v>
      </c>
      <c r="V54" s="47">
        <f t="shared" si="9"/>
        <v>18999000</v>
      </c>
    </row>
    <row r="55" spans="1:22" x14ac:dyDescent="0.25">
      <c r="A55">
        <v>18</v>
      </c>
      <c r="B55" s="47">
        <f>IF(B23='normalisasi data'!$E$3,'normalisasi data'!$E$14,IF(perhitungan!B23='normalisasi data'!$F$3,'normalisasi data'!$F$14,IF(perhitungan!B23='normalisasi data'!$G$3,'normalisasi data'!$G$14,"null")))</f>
        <v>86.3</v>
      </c>
      <c r="C55" s="47" t="str">
        <f t="shared" si="0"/>
        <v>Iphone 15</v>
      </c>
      <c r="D55" s="47">
        <f t="shared" si="10"/>
        <v>82431.647999999986</v>
      </c>
      <c r="E55" s="47">
        <f t="shared" si="1"/>
        <v>171</v>
      </c>
      <c r="F55" s="47">
        <f>IF(H23=konversi!$D$6,konversi!$E$6,IF(perhitungan!H23=konversi!$D$7,konversi!$E$7,0))+IF(I23=konversi!$F$6,konversi!$G$6,IF(perhitungan!I23=konversi!$F$7,konversi!$G$7))</f>
        <v>70</v>
      </c>
      <c r="G55" s="47">
        <f>IF(J23=konversi!$H$6,konversi!$I$6,IF(perhitungan!J23=konversi!$H$7,konversi!$I$7,IF(perhitungan!J23=konversi!$H$8,konversi!$I$8,IF(perhitungan!J23=konversi!$H$9,konversi!I25,IF(perhitungan!J23=konversi!$H$10,konversi!$I$10,"null")))))</f>
        <v>90</v>
      </c>
      <c r="H55" s="47">
        <f t="shared" si="2"/>
        <v>91.3</v>
      </c>
      <c r="I55" s="47">
        <f t="shared" si="3"/>
        <v>3013524</v>
      </c>
      <c r="J55" s="47">
        <f>IF(N23=konversi!$J$6,konversi!$K$6,IF(perhitungan!N23=konversi!$J$7,konversi!$K$7,IF(perhitungan!N23=konversi!$J$8,konversi!$K$8,"null")))</f>
        <v>90</v>
      </c>
      <c r="K55" s="47">
        <f>IF(perhitungan!O23=konversi!$D$20,konversi!$E$20,IF(perhitungan!O23=konversi!$D$21,konversi!$E$21,IF(perhitungan!O23=konversi!$D$22,konversi!$E$22,IF(perhitungan!O23=konversi!$D$23,konversi!$E$23,IF(perhitungan!O23=konversi!$D$24,konversi!$E$24,"null")))))</f>
        <v>78</v>
      </c>
      <c r="L55" s="47">
        <f>IF(P23=konversi!$F$20,konversi!$G$20,IF(perhitungan!P23=konversi!$F$21,konversi!$G$21,IF(perhitungan!P23=konversi!$F$22,konversi!$G$22,"null")))</f>
        <v>8</v>
      </c>
      <c r="M55" s="47">
        <f t="shared" si="4"/>
        <v>8</v>
      </c>
      <c r="N55" s="47">
        <f t="shared" si="5"/>
        <v>512</v>
      </c>
      <c r="O55" s="47">
        <f t="shared" si="6"/>
        <v>48</v>
      </c>
      <c r="P55" s="47">
        <f>IF(T23=konversi!$H$20,konversi!$I$20,IF(perhitungan!T23=konversi!$H$21,konversi!$I$21,IF(perhitungan!T23=konversi!$H$22,konversi!$I$22,"null")))</f>
        <v>20</v>
      </c>
      <c r="Q55" s="47">
        <f>IF(perhitungan!U23=konversi!$B$32,konversi!$C$32,IF(perhitungan!U23=konversi!$B$33,konversi!$C$33,IF(perhitungan!U23=konversi!$B$34,konversi!$C$34,IF(perhitungan!U23=konversi!$B$35,konversi!$C$35,IF(perhitungan!U23=konversi!$B$36,konversi!$C$36,IF(perhitungan!U23=konversi!$B$37,konversi!$C$37,IF(perhitungan!U23=konversi!$B$38,konversi!$C$38,0))))))) + IF(perhitungan!V23=konversi!$B$32,konversi!$C$32,IF(perhitungan!V23=konversi!$B$33,konversi!$C$33,IF(perhitungan!V23=konversi!$B$34,konversi!$C$34,IF(perhitungan!V23=konversi!$B$35,konversi!$C$35,IF(perhitungan!U23=konversi!$B$36,konversi!$C$36,IF(perhitungan!V23=konversi!$B$37,konversi!$C$37,IF(perhitungan!V23=konversi!$B$38,konversi!$C$38,0)))))))  + IF(perhitungan!W23=konversi!$B$32,konversi!$C$32,IF(perhitungan!W23=konversi!$B$33,konversi!$C$33,IF(perhitungan!W23=konversi!$B$34,konversi!$C$34,IF(perhitungan!W23=konversi!$B$35,konversi!$C$35,IF(perhitungan!W23=konversi!$B$36,konversi!$C$36,IF(perhitungan!W23=konversi!$B$37,konversi!$C$37,IF(perhitungan!W23=konversi!$B$38,konversi!$C$38,0)))))))</f>
        <v>90</v>
      </c>
      <c r="R55" s="47">
        <f t="shared" si="7"/>
        <v>12</v>
      </c>
      <c r="S55" s="47">
        <f>IF(AA23=konversi!$H$28,konversi!$I$28,IF(AA23=konversi!$H$29,konversi!$I$29,IF(AA23=konversi!$H$30,konversi!$I$30,IF(AA23=konversi!$H$31,konversi!$I$31,IF(AA23=konversi!$H$32,konversi!$I$32,IF(AA23=konversi!$H$33,konversi!$I$33,IF(AA23=konversi!$H$34,konversi!$I$34,0))))))) + IF(AB23=konversi!$H$28,konversi!$I$28,IF(AB23=konversi!$H$29,konversi!$I$29,IF(AB23=konversi!$H$30,konversi!$I$30,IF(AB23=konversi!$H$31,konversi!$I$31,IF(AB23=konversi!$H$32,konversi!$I$32,IF(AB23=konversi!$H$33,konversi!$I$33,IF(AB23=konversi!$H$34,konversi!$I$34,0)))))))</f>
        <v>160</v>
      </c>
      <c r="T55" s="47">
        <f>IF(AC23=konversi!$D$33,konversi!$E$33,IF(AC23=konversi!$D$34,konversi!$E$34,IF(AC23=konversi!$D$35,konversi!$E$35,IF(AC23=konversi!$D$36,konversi!$E$36,IF(AC23=konversi!$D$37,konversi!$E$37,0)))))</f>
        <v>20</v>
      </c>
      <c r="U55" s="47">
        <f t="shared" si="8"/>
        <v>3349</v>
      </c>
      <c r="V55" s="47">
        <f t="shared" si="9"/>
        <v>22999000</v>
      </c>
    </row>
    <row r="56" spans="1:22" x14ac:dyDescent="0.25">
      <c r="A56">
        <v>19</v>
      </c>
      <c r="B56" s="47">
        <f>IF(B24='normalisasi data'!$E$3,'normalisasi data'!$E$14,IF(perhitungan!B24='normalisasi data'!$F$3,'normalisasi data'!$F$14,IF(perhitungan!B24='normalisasi data'!$G$3,'normalisasi data'!$G$14,"null")))</f>
        <v>79.3</v>
      </c>
      <c r="C56" s="47" t="str">
        <f t="shared" si="0"/>
        <v>Galaxy S24</v>
      </c>
      <c r="D56" s="47">
        <f t="shared" si="10"/>
        <v>78874.319999999992</v>
      </c>
      <c r="E56" s="47">
        <f t="shared" si="1"/>
        <v>167</v>
      </c>
      <c r="F56" s="47">
        <f>IF(H24=konversi!$D$6,konversi!$E$6,IF(perhitungan!H24=konversi!$D$7,konversi!$E$7,0))+IF(I24=konversi!$F$6,konversi!$G$6,IF(perhitungan!I24=konversi!$F$7,konversi!$G$7))</f>
        <v>160</v>
      </c>
      <c r="G56" s="47">
        <f>IF(J24=konversi!$H$6,konversi!$I$6,IF(perhitungan!J24=konversi!$H$7,konversi!$I$7,IF(perhitungan!J24=konversi!$H$8,konversi!$I$8,IF(perhitungan!J24=konversi!$H$9,konversi!I26,IF(perhitungan!J24=konversi!$H$10,konversi!$I$10,"null")))))</f>
        <v>85</v>
      </c>
      <c r="H56" s="47">
        <f t="shared" si="2"/>
        <v>94.4</v>
      </c>
      <c r="I56" s="47">
        <f t="shared" si="3"/>
        <v>2527200</v>
      </c>
      <c r="J56" s="47">
        <f>IF(N24=konversi!$J$6,konversi!$K$6,IF(perhitungan!N24=konversi!$J$7,konversi!$K$7,IF(perhitungan!N24=konversi!$J$8,konversi!$K$8,"null")))</f>
        <v>80</v>
      </c>
      <c r="K56" s="47">
        <f>IF(perhitungan!O24=konversi!$D$20,konversi!$E$20,IF(perhitungan!O24=konversi!$D$21,konversi!$E$21,IF(perhitungan!O24=konversi!$D$22,konversi!$E$22,IF(perhitungan!O24=konversi!$D$23,konversi!$E$23,IF(perhitungan!O24=konversi!$D$24,konversi!$E$24,"null")))))</f>
        <v>85</v>
      </c>
      <c r="L56" s="47">
        <f>IF(P24=konversi!$F$20,konversi!$G$20,IF(perhitungan!P24=konversi!$F$21,konversi!$G$21,IF(perhitungan!P24=konversi!$F$22,konversi!$G$22,"null")))</f>
        <v>10</v>
      </c>
      <c r="M56" s="47">
        <f t="shared" si="4"/>
        <v>8</v>
      </c>
      <c r="N56" s="47">
        <f t="shared" si="5"/>
        <v>512</v>
      </c>
      <c r="O56" s="47">
        <f t="shared" si="6"/>
        <v>50</v>
      </c>
      <c r="P56" s="47">
        <f>IF(T24=konversi!$H$20,konversi!$I$20,IF(perhitungan!T24=konversi!$H$21,konversi!$I$21,IF(perhitungan!T24=konversi!$H$22,konversi!$I$22,"null")))</f>
        <v>40</v>
      </c>
      <c r="Q56" s="47">
        <f>IF(perhitungan!U24=konversi!$B$32,konversi!$C$32,IF(perhitungan!U24=konversi!$B$33,konversi!$C$33,IF(perhitungan!U24=konversi!$B$34,konversi!$C$34,IF(perhitungan!U24=konversi!$B$35,konversi!$C$35,IF(perhitungan!U24=konversi!$B$36,konversi!$C$36,IF(perhitungan!U24=konversi!$B$37,konversi!$C$37,IF(perhitungan!U24=konversi!$B$38,konversi!$C$38,0))))))) + IF(perhitungan!V24=konversi!$B$32,konversi!$C$32,IF(perhitungan!V24=konversi!$B$33,konversi!$C$33,IF(perhitungan!V24=konversi!$B$34,konversi!$C$34,IF(perhitungan!V24=konversi!$B$35,konversi!$C$35,IF(perhitungan!U24=konversi!$B$36,konversi!$C$36,IF(perhitungan!V24=konversi!$B$37,konversi!$C$37,IF(perhitungan!V24=konversi!$B$38,konversi!$C$38,0)))))))  + IF(perhitungan!W24=konversi!$B$32,konversi!$C$32,IF(perhitungan!W24=konversi!$B$33,konversi!$C$33,IF(perhitungan!W24=konversi!$B$34,konversi!$C$34,IF(perhitungan!W24=konversi!$B$35,konversi!$C$35,IF(perhitungan!W24=konversi!$B$36,konversi!$C$36,IF(perhitungan!W24=konversi!$B$37,konversi!$C$37,IF(perhitungan!W24=konversi!$B$38,konversi!$C$38,0)))))))</f>
        <v>240</v>
      </c>
      <c r="R56" s="47">
        <f t="shared" si="7"/>
        <v>12</v>
      </c>
      <c r="S56" s="47">
        <f>IF(AA24=konversi!$H$28,konversi!$I$28,IF(AA24=konversi!$H$29,konversi!$I$29,IF(AA24=konversi!$H$30,konversi!$I$30,IF(AA24=konversi!$H$31,konversi!$I$31,IF(AA24=konversi!$H$32,konversi!$I$32,IF(AA24=konversi!$H$33,konversi!$I$33,IF(AA24=konversi!$H$34,konversi!$I$34,0))))))) + IF(AB24=konversi!$H$28,konversi!$I$28,IF(AB24=konversi!$H$29,konversi!$I$29,IF(AB24=konversi!$H$30,konversi!$I$30,IF(AB24=konversi!$H$31,konversi!$I$31,IF(AB24=konversi!$H$32,konversi!$I$32,IF(AB24=konversi!$H$33,konversi!$I$33,IF(AB24=konversi!$H$34,konversi!$I$34,0)))))))</f>
        <v>140</v>
      </c>
      <c r="T56" s="47">
        <f>IF(AC24=konversi!$D$33,konversi!$E$33,IF(AC24=konversi!$D$34,konversi!$E$34,IF(AC24=konversi!$D$35,konversi!$E$35,IF(AC24=konversi!$D$36,konversi!$E$36,IF(AC24=konversi!$D$37,konversi!$E$37,0)))))</f>
        <v>100</v>
      </c>
      <c r="U56" s="47">
        <f t="shared" si="8"/>
        <v>4000</v>
      </c>
      <c r="V56" s="47">
        <f t="shared" si="9"/>
        <v>15999000</v>
      </c>
    </row>
    <row r="57" spans="1:22" x14ac:dyDescent="0.25">
      <c r="A57">
        <v>20</v>
      </c>
      <c r="B57" s="47">
        <f>IF(B25='normalisasi data'!$E$3,'normalisasi data'!$E$14,IF(perhitungan!B25='normalisasi data'!$F$3,'normalisasi data'!$F$14,IF(perhitungan!B25='normalisasi data'!$G$3,'normalisasi data'!$G$14,"null")))</f>
        <v>79.3</v>
      </c>
      <c r="C57" s="47" t="str">
        <f t="shared" si="0"/>
        <v>Galaxy S24 Ultra</v>
      </c>
      <c r="D57" s="47">
        <f t="shared" si="10"/>
        <v>110266.62</v>
      </c>
      <c r="E57" s="47">
        <f t="shared" si="1"/>
        <v>232</v>
      </c>
      <c r="F57" s="47">
        <f>IF(H25=konversi!$D$6,konversi!$E$6,IF(perhitungan!H25=konversi!$D$7,konversi!$E$7,0))+IF(I25=konversi!$F$6,konversi!$G$6,IF(perhitungan!I25=konversi!$F$7,konversi!$G$7))</f>
        <v>160</v>
      </c>
      <c r="G57" s="47">
        <f>IF(J25=konversi!$H$6,konversi!$I$6,IF(perhitungan!J25=konversi!$H$7,konversi!$I$7,IF(perhitungan!J25=konversi!$H$8,konversi!$I$8,IF(perhitungan!J25=konversi!$H$9,konversi!I27,IF(perhitungan!J25=konversi!$H$10,konversi!$I$10,"null")))))</f>
        <v>85</v>
      </c>
      <c r="H57" s="47">
        <f t="shared" si="2"/>
        <v>113.5</v>
      </c>
      <c r="I57" s="47">
        <f t="shared" si="3"/>
        <v>4492800</v>
      </c>
      <c r="J57" s="47">
        <f>IF(N25=konversi!$J$6,konversi!$K$6,IF(perhitungan!N25=konversi!$J$7,konversi!$K$7,IF(perhitungan!N25=konversi!$J$8,konversi!$K$8,"null")))</f>
        <v>80</v>
      </c>
      <c r="K57" s="47">
        <f>IF(perhitungan!O25=konversi!$D$20,konversi!$E$20,IF(perhitungan!O25=konversi!$D$21,konversi!$E$21,IF(perhitungan!O25=konversi!$D$22,konversi!$E$22,IF(perhitungan!O25=konversi!$D$23,konversi!$E$23,IF(perhitungan!O25=konversi!$D$24,konversi!$E$24,"null")))))</f>
        <v>85</v>
      </c>
      <c r="L57" s="47">
        <f>IF(P25=konversi!$F$20,konversi!$G$20,IF(perhitungan!P25=konversi!$F$21,konversi!$G$21,IF(perhitungan!P25=konversi!$F$22,konversi!$G$22,"null")))</f>
        <v>10</v>
      </c>
      <c r="M57" s="47">
        <f t="shared" si="4"/>
        <v>12</v>
      </c>
      <c r="N57" s="47">
        <f t="shared" si="5"/>
        <v>512</v>
      </c>
      <c r="O57" s="47">
        <f t="shared" si="6"/>
        <v>200</v>
      </c>
      <c r="P57" s="47">
        <f>IF(T25=konversi!$H$20,konversi!$I$20,IF(perhitungan!T25=konversi!$H$21,konversi!$I$21,IF(perhitungan!T25=konversi!$H$22,konversi!$I$22,"null")))</f>
        <v>60</v>
      </c>
      <c r="Q57" s="47">
        <f>IF(perhitungan!U25=konversi!$B$32,konversi!$C$32,IF(perhitungan!U25=konversi!$B$33,konversi!$C$33,IF(perhitungan!U25=konversi!$B$34,konversi!$C$34,IF(perhitungan!U25=konversi!$B$35,konversi!$C$35,IF(perhitungan!U25=konversi!$B$36,konversi!$C$36,IF(perhitungan!U25=konversi!$B$37,konversi!$C$37,IF(perhitungan!U25=konversi!$B$38,konversi!$C$38,0))))))) + IF(perhitungan!V25=konversi!$B$32,konversi!$C$32,IF(perhitungan!V25=konversi!$B$33,konversi!$C$33,IF(perhitungan!V25=konversi!$B$34,konversi!$C$34,IF(perhitungan!V25=konversi!$B$35,konversi!$C$35,IF(perhitungan!U25=konversi!$B$36,konversi!$C$36,IF(perhitungan!V25=konversi!$B$37,konversi!$C$37,IF(perhitungan!V25=konversi!$B$38,konversi!$C$38,0)))))))  + IF(perhitungan!W25=konversi!$B$32,konversi!$C$32,IF(perhitungan!W25=konversi!$B$33,konversi!$C$33,IF(perhitungan!W25=konversi!$B$34,konversi!$C$34,IF(perhitungan!W25=konversi!$B$35,konversi!$C$35,IF(perhitungan!W25=konversi!$B$36,konversi!$C$36,IF(perhitungan!W25=konversi!$B$37,konversi!$C$37,IF(perhitungan!W25=konversi!$B$38,konversi!$C$38,0)))))))</f>
        <v>255</v>
      </c>
      <c r="R57" s="47">
        <f t="shared" si="7"/>
        <v>12</v>
      </c>
      <c r="S57" s="47">
        <f>IF(AA25=konversi!$H$28,konversi!$I$28,IF(AA25=konversi!$H$29,konversi!$I$29,IF(AA25=konversi!$H$30,konversi!$I$30,IF(AA25=konversi!$H$31,konversi!$I$31,IF(AA25=konversi!$H$32,konversi!$I$32,IF(AA25=konversi!$H$33,konversi!$I$33,IF(AA25=konversi!$H$34,konversi!$I$34,0))))))) + IF(AB25=konversi!$H$28,konversi!$I$28,IF(AB25=konversi!$H$29,konversi!$I$29,IF(AB25=konversi!$H$30,konversi!$I$30,IF(AB25=konversi!$H$31,konversi!$I$31,IF(AB25=konversi!$H$32,konversi!$I$32,IF(AB25=konversi!$H$33,konversi!$I$33,IF(AB25=konversi!$H$34,konversi!$I$34,0)))))))</f>
        <v>140</v>
      </c>
      <c r="T57" s="47">
        <f>IF(AC25=konversi!$D$33,konversi!$E$33,IF(AC25=konversi!$D$34,konversi!$E$34,IF(AC25=konversi!$D$35,konversi!$E$35,IF(AC25=konversi!$D$36,konversi!$E$36,IF(AC25=konversi!$D$37,konversi!$E$37,0)))))</f>
        <v>100</v>
      </c>
      <c r="U57" s="47">
        <f t="shared" si="8"/>
        <v>5000</v>
      </c>
      <c r="V57" s="47">
        <f t="shared" si="9"/>
        <v>23999000</v>
      </c>
    </row>
    <row r="58" spans="1:22" x14ac:dyDescent="0.25">
      <c r="A58">
        <v>21</v>
      </c>
      <c r="B58" s="47">
        <f>IF(B26='normalisasi data'!$E$3,'normalisasi data'!$E$14,IF(perhitungan!B26='normalisasi data'!$F$3,'normalisasi data'!$F$14,IF(perhitungan!B26='normalisasi data'!$G$3,'normalisasi data'!$G$14,"null")))</f>
        <v>79.3</v>
      </c>
      <c r="C58" s="47" t="str">
        <f t="shared" si="0"/>
        <v>Galaxy S24 Ultra</v>
      </c>
      <c r="D58" s="47">
        <f t="shared" si="10"/>
        <v>110266.62</v>
      </c>
      <c r="E58" s="47">
        <f t="shared" si="1"/>
        <v>232</v>
      </c>
      <c r="F58" s="47">
        <f>IF(H26=konversi!$D$6,konversi!$E$6,IF(perhitungan!H26=konversi!$D$7,konversi!$E$7,0))+IF(I26=konversi!$F$6,konversi!$G$6,IF(perhitungan!I26=konversi!$F$7,konversi!$G$7))</f>
        <v>160</v>
      </c>
      <c r="G58" s="47">
        <f>IF(J26=konversi!$H$6,konversi!$I$6,IF(perhitungan!J26=konversi!$H$7,konversi!$I$7,IF(perhitungan!J26=konversi!$H$8,konversi!$I$8,IF(perhitungan!J26=konversi!$H$9,konversi!I28,IF(perhitungan!J26=konversi!$H$10,konversi!$I$10,"null")))))</f>
        <v>85</v>
      </c>
      <c r="H58" s="47">
        <f t="shared" si="2"/>
        <v>113.5</v>
      </c>
      <c r="I58" s="47">
        <f t="shared" si="3"/>
        <v>4492800</v>
      </c>
      <c r="J58" s="47">
        <f>IF(N26=konversi!$J$6,konversi!$K$6,IF(perhitungan!N26=konversi!$J$7,konversi!$K$7,IF(perhitungan!N26=konversi!$J$8,konversi!$K$8,"null")))</f>
        <v>80</v>
      </c>
      <c r="K58" s="47">
        <f>IF(perhitungan!O26=konversi!$D$20,konversi!$E$20,IF(perhitungan!O26=konversi!$D$21,konversi!$E$21,IF(perhitungan!O26=konversi!$D$22,konversi!$E$22,IF(perhitungan!O26=konversi!$D$23,konversi!$E$23,IF(perhitungan!O26=konversi!$D$24,konversi!$E$24,"null")))))</f>
        <v>85</v>
      </c>
      <c r="L58" s="47">
        <f>IF(P26=konversi!$F$20,konversi!$G$20,IF(perhitungan!P26=konversi!$F$21,konversi!$G$21,IF(perhitungan!P26=konversi!$F$22,konversi!$G$22,"null")))</f>
        <v>10</v>
      </c>
      <c r="M58" s="47">
        <f t="shared" si="4"/>
        <v>12</v>
      </c>
      <c r="N58" s="47">
        <f t="shared" si="5"/>
        <v>1000</v>
      </c>
      <c r="O58" s="47">
        <f t="shared" si="6"/>
        <v>200</v>
      </c>
      <c r="P58" s="47">
        <f>IF(T26=konversi!$H$20,konversi!$I$20,IF(perhitungan!T26=konversi!$H$21,konversi!$I$21,IF(perhitungan!T26=konversi!$H$22,konversi!$I$22,"null")))</f>
        <v>60</v>
      </c>
      <c r="Q58" s="47">
        <f>IF(perhitungan!U26=konversi!$B$32,konversi!$C$32,IF(perhitungan!U26=konversi!$B$33,konversi!$C$33,IF(perhitungan!U26=konversi!$B$34,konversi!$C$34,IF(perhitungan!U26=konversi!$B$35,konversi!$C$35,IF(perhitungan!U26=konversi!$B$36,konversi!$C$36,IF(perhitungan!U26=konversi!$B$37,konversi!$C$37,IF(perhitungan!U26=konversi!$B$38,konversi!$C$38,0))))))) + IF(perhitungan!V26=konversi!$B$32,konversi!$C$32,IF(perhitungan!V26=konversi!$B$33,konversi!$C$33,IF(perhitungan!V26=konversi!$B$34,konversi!$C$34,IF(perhitungan!V26=konversi!$B$35,konversi!$C$35,IF(perhitungan!U26=konversi!$B$36,konversi!$C$36,IF(perhitungan!V26=konversi!$B$37,konversi!$C$37,IF(perhitungan!V26=konversi!$B$38,konversi!$C$38,0)))))))  + IF(perhitungan!W26=konversi!$B$32,konversi!$C$32,IF(perhitungan!W26=konversi!$B$33,konversi!$C$33,IF(perhitungan!W26=konversi!$B$34,konversi!$C$34,IF(perhitungan!W26=konversi!$B$35,konversi!$C$35,IF(perhitungan!W26=konversi!$B$36,konversi!$C$36,IF(perhitungan!W26=konversi!$B$37,konversi!$C$37,IF(perhitungan!W26=konversi!$B$38,konversi!$C$38,0)))))))</f>
        <v>255</v>
      </c>
      <c r="R58" s="47">
        <f t="shared" si="7"/>
        <v>12</v>
      </c>
      <c r="S58" s="47">
        <f>IF(AA26=konversi!$H$28,konversi!$I$28,IF(AA26=konversi!$H$29,konversi!$I$29,IF(AA26=konversi!$H$30,konversi!$I$30,IF(AA26=konversi!$H$31,konversi!$I$31,IF(AA26=konversi!$H$32,konversi!$I$32,IF(AA26=konversi!$H$33,konversi!$I$33,IF(AA26=konversi!$H$34,konversi!$I$34,0))))))) + IF(AB26=konversi!$H$28,konversi!$I$28,IF(AB26=konversi!$H$29,konversi!$I$29,IF(AB26=konversi!$H$30,konversi!$I$30,IF(AB26=konversi!$H$31,konversi!$I$31,IF(AB26=konversi!$H$32,konversi!$I$32,IF(AB26=konversi!$H$33,konversi!$I$33,IF(AB26=konversi!$H$34,konversi!$I$34,0)))))))</f>
        <v>140</v>
      </c>
      <c r="T58" s="47">
        <f>IF(AC26=konversi!$D$33,konversi!$E$33,IF(AC26=konversi!$D$34,konversi!$E$34,IF(AC26=konversi!$D$35,konversi!$E$35,IF(AC26=konversi!$D$36,konversi!$E$36,IF(AC26=konversi!$D$37,konversi!$E$37,0)))))</f>
        <v>100</v>
      </c>
      <c r="U58" s="47">
        <f t="shared" si="8"/>
        <v>5000</v>
      </c>
      <c r="V58" s="47">
        <f t="shared" si="9"/>
        <v>27999000</v>
      </c>
    </row>
    <row r="59" spans="1:22" x14ac:dyDescent="0.25">
      <c r="A59">
        <v>22</v>
      </c>
      <c r="B59" s="47">
        <f>IF(B27='normalisasi data'!$E$3,'normalisasi data'!$E$14,IF(perhitungan!B27='normalisasi data'!$F$3,'normalisasi data'!$F$14,IF(perhitungan!B27='normalisasi data'!$G$3,'normalisasi data'!$G$14,"null")))</f>
        <v>79.3</v>
      </c>
      <c r="C59" s="47" t="str">
        <f t="shared" si="0"/>
        <v>Galaxy S24+(Online Exclusive)</v>
      </c>
      <c r="D59" s="47">
        <f t="shared" si="10"/>
        <v>92632.155000000013</v>
      </c>
      <c r="E59" s="47">
        <f t="shared" si="1"/>
        <v>196</v>
      </c>
      <c r="F59" s="47">
        <f>IF(H27=konversi!$D$6,konversi!$E$6,IF(perhitungan!H27=konversi!$D$7,konversi!$E$7,0))+IF(I27=konversi!$F$6,konversi!$G$6,IF(perhitungan!I27=konversi!$F$7,konversi!$G$7))</f>
        <v>70</v>
      </c>
      <c r="G59" s="47">
        <f>IF(J27=konversi!$H$6,konversi!$I$6,IF(perhitungan!J27=konversi!$H$7,konversi!$I$7,IF(perhitungan!J27=konversi!$H$8,konversi!$I$8,IF(perhitungan!J27=konversi!$H$9,konversi!I29,IF(perhitungan!J27=konversi!$H$10,konversi!$I$10,"null")))))</f>
        <v>85</v>
      </c>
      <c r="H59" s="47">
        <f t="shared" si="2"/>
        <v>110.2</v>
      </c>
      <c r="I59" s="47">
        <f t="shared" si="3"/>
        <v>4492800</v>
      </c>
      <c r="J59" s="47">
        <f>IF(N27=konversi!$J$6,konversi!$K$6,IF(perhitungan!N27=konversi!$J$7,konversi!$K$7,IF(perhitungan!N27=konversi!$J$8,konversi!$K$8,"null")))</f>
        <v>80</v>
      </c>
      <c r="K59" s="47">
        <f>IF(perhitungan!O27=konversi!$D$20,konversi!$E$20,IF(perhitungan!O27=konversi!$D$21,konversi!$E$21,IF(perhitungan!O27=konversi!$D$22,konversi!$E$22,IF(perhitungan!O27=konversi!$D$23,konversi!$E$23,IF(perhitungan!O27=konversi!$D$24,konversi!$E$24,"null")))))</f>
        <v>85</v>
      </c>
      <c r="L59" s="47">
        <f>IF(P27=konversi!$F$20,konversi!$G$20,IF(perhitungan!P27=konversi!$F$21,konversi!$G$21,IF(perhitungan!P27=konversi!$F$22,konversi!$G$22,"null")))</f>
        <v>6</v>
      </c>
      <c r="M59" s="47">
        <f t="shared" si="4"/>
        <v>12</v>
      </c>
      <c r="N59" s="47">
        <f t="shared" si="5"/>
        <v>512</v>
      </c>
      <c r="O59" s="47">
        <f t="shared" si="6"/>
        <v>50</v>
      </c>
      <c r="P59" s="47">
        <f>IF(T27=konversi!$H$20,konversi!$I$20,IF(perhitungan!T27=konversi!$H$21,konversi!$I$21,IF(perhitungan!T27=konversi!$H$22,konversi!$I$22,"null")))</f>
        <v>40</v>
      </c>
      <c r="Q59" s="47">
        <f>IF(perhitungan!U27=konversi!$B$32,konversi!$C$32,IF(perhitungan!U27=konversi!$B$33,konversi!$C$33,IF(perhitungan!U27=konversi!$B$34,konversi!$C$34,IF(perhitungan!U27=konversi!$B$35,konversi!$C$35,IF(perhitungan!U27=konversi!$B$36,konversi!$C$36,IF(perhitungan!U27=konversi!$B$37,konversi!$C$37,IF(perhitungan!U27=konversi!$B$38,konversi!$C$38,0))))))) + IF(perhitungan!V27=konversi!$B$32,konversi!$C$32,IF(perhitungan!V27=konversi!$B$33,konversi!$C$33,IF(perhitungan!V27=konversi!$B$34,konversi!$C$34,IF(perhitungan!V27=konversi!$B$35,konversi!$C$35,IF(perhitungan!U27=konversi!$B$36,konversi!$C$36,IF(perhitungan!V27=konversi!$B$37,konversi!$C$37,IF(perhitungan!V27=konversi!$B$38,konversi!$C$38,0)))))))  + IF(perhitungan!W27=konversi!$B$32,konversi!$C$32,IF(perhitungan!W27=konversi!$B$33,konversi!$C$33,IF(perhitungan!W27=konversi!$B$34,konversi!$C$34,IF(perhitungan!W27=konversi!$B$35,konversi!$C$35,IF(perhitungan!W27=konversi!$B$36,konversi!$C$36,IF(perhitungan!W27=konversi!$B$37,konversi!$C$37,IF(perhitungan!W27=konversi!$B$38,konversi!$C$38,0)))))))</f>
        <v>245</v>
      </c>
      <c r="R59" s="47">
        <f t="shared" si="7"/>
        <v>12</v>
      </c>
      <c r="S59" s="47">
        <f>IF(AA27=konversi!$H$28,konversi!$I$28,IF(AA27=konversi!$H$29,konversi!$I$29,IF(AA27=konversi!$H$30,konversi!$I$30,IF(AA27=konversi!$H$31,konversi!$I$31,IF(AA27=konversi!$H$32,konversi!$I$32,IF(AA27=konversi!$H$33,konversi!$I$33,IF(AA27=konversi!$H$34,konversi!$I$34,0))))))) + IF(AB27=konversi!$H$28,konversi!$I$28,IF(AB27=konversi!$H$29,konversi!$I$29,IF(AB27=konversi!$H$30,konversi!$I$30,IF(AB27=konversi!$H$31,konversi!$I$31,IF(AB27=konversi!$H$32,konversi!$I$32,IF(AB27=konversi!$H$33,konversi!$I$33,IF(AB27=konversi!$H$34,konversi!$I$34,0)))))))</f>
        <v>140</v>
      </c>
      <c r="T59" s="47">
        <f>IF(AC27=konversi!$D$33,konversi!$E$33,IF(AC27=konversi!$D$34,konversi!$E$34,IF(AC27=konversi!$D$35,konversi!$E$35,IF(AC27=konversi!$D$36,konversi!$E$36,IF(AC27=konversi!$D$37,konversi!$E$37,0)))))</f>
        <v>100</v>
      </c>
      <c r="U59" s="47">
        <f t="shared" si="8"/>
        <v>4900</v>
      </c>
      <c r="V59" s="47">
        <f t="shared" si="9"/>
        <v>18999000</v>
      </c>
    </row>
    <row r="60" spans="1:22" x14ac:dyDescent="0.25">
      <c r="A60">
        <v>23</v>
      </c>
      <c r="B60" s="47">
        <f>IF(B28='normalisasi data'!$E$3,'normalisasi data'!$E$14,IF(perhitungan!B28='normalisasi data'!$F$3,'normalisasi data'!$F$14,IF(perhitungan!B28='normalisasi data'!$G$3,'normalisasi data'!$G$14,"null")))</f>
        <v>79.3</v>
      </c>
      <c r="C60" s="47" t="str">
        <f t="shared" si="0"/>
        <v>Galaxy S24 Ultra</v>
      </c>
      <c r="D60" s="47">
        <f t="shared" si="10"/>
        <v>110266.62</v>
      </c>
      <c r="E60" s="47">
        <f t="shared" si="1"/>
        <v>232</v>
      </c>
      <c r="F60" s="47">
        <f>IF(H28=konversi!$D$6,konversi!$E$6,IF(perhitungan!H28=konversi!$D$7,konversi!$E$7,0))+IF(I28=konversi!$F$6,konversi!$G$6,IF(perhitungan!I28=konversi!$F$7,konversi!$G$7))</f>
        <v>160</v>
      </c>
      <c r="G60" s="47">
        <f>IF(J28=konversi!$H$6,konversi!$I$6,IF(perhitungan!J28=konversi!$H$7,konversi!$I$7,IF(perhitungan!J28=konversi!$H$8,konversi!$I$8,IF(perhitungan!J28=konversi!$H$9,konversi!I30,IF(perhitungan!J28=konversi!$H$10,konversi!$I$10,"null")))))</f>
        <v>85</v>
      </c>
      <c r="H60" s="47">
        <f t="shared" si="2"/>
        <v>113.5</v>
      </c>
      <c r="I60" s="47">
        <f t="shared" si="3"/>
        <v>4492800</v>
      </c>
      <c r="J60" s="47">
        <f>IF(N28=konversi!$J$6,konversi!$K$6,IF(perhitungan!N28=konversi!$J$7,konversi!$K$7,IF(perhitungan!N28=konversi!$J$8,konversi!$K$8,"null")))</f>
        <v>80</v>
      </c>
      <c r="K60" s="47">
        <f>IF(perhitungan!O28=konversi!$D$20,konversi!$E$20,IF(perhitungan!O28=konversi!$D$21,konversi!$E$21,IF(perhitungan!O28=konversi!$D$22,konversi!$E$22,IF(perhitungan!O28=konversi!$D$23,konversi!$E$23,IF(perhitungan!O28=konversi!$D$24,konversi!$E$24,"null")))))</f>
        <v>85</v>
      </c>
      <c r="L60" s="47">
        <f>IF(P28=konversi!$F$20,konversi!$G$20,IF(perhitungan!P28=konversi!$F$21,konversi!$G$21,IF(perhitungan!P28=konversi!$F$22,konversi!$G$22,"null")))</f>
        <v>10</v>
      </c>
      <c r="M60" s="47">
        <f t="shared" si="4"/>
        <v>12</v>
      </c>
      <c r="N60" s="47">
        <f t="shared" si="5"/>
        <v>1000</v>
      </c>
      <c r="O60" s="47">
        <f t="shared" si="6"/>
        <v>200</v>
      </c>
      <c r="P60" s="47">
        <f>IF(T28=konversi!$H$20,konversi!$I$20,IF(perhitungan!T28=konversi!$H$21,konversi!$I$21,IF(perhitungan!T28=konversi!$H$22,konversi!$I$22,"null")))</f>
        <v>60</v>
      </c>
      <c r="Q60" s="47">
        <f>IF(perhitungan!U28=konversi!$B$32,konversi!$C$32,IF(perhitungan!U28=konversi!$B$33,konversi!$C$33,IF(perhitungan!U28=konversi!$B$34,konversi!$C$34,IF(perhitungan!U28=konversi!$B$35,konversi!$C$35,IF(perhitungan!U28=konversi!$B$36,konversi!$C$36,IF(perhitungan!U28=konversi!$B$37,konversi!$C$37,IF(perhitungan!U28=konversi!$B$38,konversi!$C$38,0))))))) + IF(perhitungan!V28=konversi!$B$32,konversi!$C$32,IF(perhitungan!V28=konversi!$B$33,konversi!$C$33,IF(perhitungan!V28=konversi!$B$34,konversi!$C$34,IF(perhitungan!V28=konversi!$B$35,konversi!$C$35,IF(perhitungan!U28=konversi!$B$36,konversi!$C$36,IF(perhitungan!V28=konversi!$B$37,konversi!$C$37,IF(perhitungan!V28=konversi!$B$38,konversi!$C$38,0)))))))  + IF(perhitungan!W28=konversi!$B$32,konversi!$C$32,IF(perhitungan!W28=konversi!$B$33,konversi!$C$33,IF(perhitungan!W28=konversi!$B$34,konversi!$C$34,IF(perhitungan!W28=konversi!$B$35,konversi!$C$35,IF(perhitungan!W28=konversi!$B$36,konversi!$C$36,IF(perhitungan!W28=konversi!$B$37,konversi!$C$37,IF(perhitungan!W28=konversi!$B$38,konversi!$C$38,0)))))))</f>
        <v>255</v>
      </c>
      <c r="R60" s="47">
        <f t="shared" si="7"/>
        <v>12</v>
      </c>
      <c r="S60" s="47">
        <f>IF(AA28=konversi!$H$28,konversi!$I$28,IF(AA28=konversi!$H$29,konversi!$I$29,IF(AA28=konversi!$H$30,konversi!$I$30,IF(AA28=konversi!$H$31,konversi!$I$31,IF(AA28=konversi!$H$32,konversi!$I$32,IF(AA28=konversi!$H$33,konversi!$I$33,IF(AA28=konversi!$H$34,konversi!$I$34,0))))))) + IF(AB28=konversi!$H$28,konversi!$I$28,IF(AB28=konversi!$H$29,konversi!$I$29,IF(AB28=konversi!$H$30,konversi!$I$30,IF(AB28=konversi!$H$31,konversi!$I$31,IF(AB28=konversi!$H$32,konversi!$I$32,IF(AB28=konversi!$H$33,konversi!$I$33,IF(AB28=konversi!$H$34,konversi!$I$34,0)))))))</f>
        <v>140</v>
      </c>
      <c r="T60" s="47">
        <f>IF(AC28=konversi!$D$33,konversi!$E$33,IF(AC28=konversi!$D$34,konversi!$E$34,IF(AC28=konversi!$D$35,konversi!$E$35,IF(AC28=konversi!$D$36,konversi!$E$36,IF(AC28=konversi!$D$37,konversi!$E$37,0)))))</f>
        <v>100</v>
      </c>
      <c r="U60" s="47">
        <f t="shared" si="8"/>
        <v>5000</v>
      </c>
      <c r="V60" s="47">
        <f t="shared" si="9"/>
        <v>21999000</v>
      </c>
    </row>
    <row r="61" spans="1:22" x14ac:dyDescent="0.25">
      <c r="A61">
        <v>24</v>
      </c>
      <c r="B61" s="47">
        <f>IF(B29='normalisasi data'!$E$3,'normalisasi data'!$E$14,IF(perhitungan!B29='normalisasi data'!$F$3,'normalisasi data'!$F$14,IF(perhitungan!B29='normalisasi data'!$G$3,'normalisasi data'!$G$14,"null")))</f>
        <v>79.3</v>
      </c>
      <c r="C61" s="47" t="str">
        <f t="shared" si="0"/>
        <v>Galaxy S23 FE</v>
      </c>
      <c r="D61" s="47">
        <f t="shared" si="10"/>
        <v>99113.4</v>
      </c>
      <c r="E61" s="47">
        <f t="shared" si="1"/>
        <v>209</v>
      </c>
      <c r="F61" s="47">
        <f>IF(H29=konversi!$D$6,konversi!$E$6,IF(perhitungan!H29=konversi!$D$7,konversi!$E$7,0))+IF(I29=konversi!$F$6,konversi!$G$6,IF(perhitungan!I29=konversi!$F$7,konversi!$G$7))</f>
        <v>150</v>
      </c>
      <c r="G61" s="47">
        <f>IF(J29=konversi!$H$6,konversi!$I$6,IF(perhitungan!J29=konversi!$H$7,konversi!$I$7,IF(perhitungan!J29=konversi!$H$8,konversi!$I$8,IF(perhitungan!J29=konversi!$H$9,konversi!I31,IF(perhitungan!J29=konversi!$H$10,konversi!$I$10,"null")))))</f>
        <v>80</v>
      </c>
      <c r="H61" s="47">
        <f t="shared" si="2"/>
        <v>100.5</v>
      </c>
      <c r="I61" s="47">
        <f t="shared" si="3"/>
        <v>2527200</v>
      </c>
      <c r="J61" s="47">
        <f>IF(N29=konversi!$J$6,konversi!$K$6,IF(perhitungan!N29=konversi!$J$7,konversi!$K$7,IF(perhitungan!N29=konversi!$J$8,konversi!$K$8,"null")))</f>
        <v>70</v>
      </c>
      <c r="K61" s="47">
        <f>IF(perhitungan!O29=konversi!$D$20,konversi!$E$20,IF(perhitungan!O29=konversi!$D$21,konversi!$E$21,IF(perhitungan!O29=konversi!$D$22,konversi!$E$22,IF(perhitungan!O29=konversi!$D$23,konversi!$E$23,IF(perhitungan!O29=konversi!$D$24,konversi!$E$24,"null")))))</f>
        <v>92</v>
      </c>
      <c r="L61" s="47">
        <f>IF(P29=konversi!$F$20,konversi!$G$20,IF(perhitungan!P29=konversi!$F$21,konversi!$G$21,IF(perhitungan!P29=konversi!$F$22,konversi!$G$22,"null")))</f>
        <v>10</v>
      </c>
      <c r="M61" s="47">
        <f t="shared" si="4"/>
        <v>8</v>
      </c>
      <c r="N61" s="47">
        <f t="shared" si="5"/>
        <v>256</v>
      </c>
      <c r="O61" s="47">
        <f t="shared" si="6"/>
        <v>50</v>
      </c>
      <c r="P61" s="47">
        <f>IF(T29=konversi!$H$20,konversi!$I$20,IF(perhitungan!T29=konversi!$H$21,konversi!$I$21,IF(perhitungan!T29=konversi!$H$22,konversi!$I$22,"null")))</f>
        <v>40</v>
      </c>
      <c r="Q61" s="47">
        <f>IF(perhitungan!U29=konversi!$B$32,konversi!$C$32,IF(perhitungan!U29=konversi!$B$33,konversi!$C$33,IF(perhitungan!U29=konversi!$B$34,konversi!$C$34,IF(perhitungan!U29=konversi!$B$35,konversi!$C$35,IF(perhitungan!U29=konversi!$B$36,konversi!$C$36,IF(perhitungan!U29=konversi!$B$37,konversi!$C$37,IF(perhitungan!U29=konversi!$B$38,konversi!$C$38,0))))))) + IF(perhitungan!V29=konversi!$B$32,konversi!$C$32,IF(perhitungan!V29=konversi!$B$33,konversi!$C$33,IF(perhitungan!V29=konversi!$B$34,konversi!$C$34,IF(perhitungan!V29=konversi!$B$35,konversi!$C$35,IF(perhitungan!U29=konversi!$B$36,konversi!$C$36,IF(perhitungan!V29=konversi!$B$37,konversi!$C$37,IF(perhitungan!V29=konversi!$B$38,konversi!$C$38,0)))))))  + IF(perhitungan!W29=konversi!$B$32,konversi!$C$32,IF(perhitungan!W29=konversi!$B$33,konversi!$C$33,IF(perhitungan!W29=konversi!$B$34,konversi!$C$34,IF(perhitungan!W29=konversi!$B$35,konversi!$C$35,IF(perhitungan!W29=konversi!$B$36,konversi!$C$36,IF(perhitungan!W29=konversi!$B$37,konversi!$C$37,IF(perhitungan!W29=konversi!$B$38,konversi!$C$38,0)))))))</f>
        <v>240</v>
      </c>
      <c r="R61" s="47">
        <f t="shared" si="7"/>
        <v>10</v>
      </c>
      <c r="S61" s="47">
        <f>IF(AA29=konversi!$H$28,konversi!$I$28,IF(AA29=konversi!$H$29,konversi!$I$29,IF(AA29=konversi!$H$30,konversi!$I$30,IF(AA29=konversi!$H$31,konversi!$I$31,IF(AA29=konversi!$H$32,konversi!$I$32,IF(AA29=konversi!$H$33,konversi!$I$33,IF(AA29=konversi!$H$34,konversi!$I$34,0))))))) + IF(AB29=konversi!$H$28,konversi!$I$28,IF(AB29=konversi!$H$29,konversi!$I$29,IF(AB29=konversi!$H$30,konversi!$I$30,IF(AB29=konversi!$H$31,konversi!$I$31,IF(AB29=konversi!$H$32,konversi!$I$32,IF(AB29=konversi!$H$33,konversi!$I$33,IF(AB29=konversi!$H$34,konversi!$I$34,0)))))))</f>
        <v>150</v>
      </c>
      <c r="T61" s="47">
        <f>IF(AC29=konversi!$D$33,konversi!$E$33,IF(AC29=konversi!$D$34,konversi!$E$34,IF(AC29=konversi!$D$35,konversi!$E$35,IF(AC29=konversi!$D$36,konversi!$E$36,IF(AC29=konversi!$D$37,konversi!$E$37,0)))))</f>
        <v>70</v>
      </c>
      <c r="U61" s="47">
        <f t="shared" si="8"/>
        <v>4500</v>
      </c>
      <c r="V61" s="47">
        <f t="shared" si="9"/>
        <v>9999000</v>
      </c>
    </row>
    <row r="62" spans="1:22" x14ac:dyDescent="0.25">
      <c r="A62">
        <v>25</v>
      </c>
      <c r="B62" s="47">
        <f>IF(B30='normalisasi data'!$E$3,'normalisasi data'!$E$14,IF(perhitungan!B30='normalisasi data'!$F$3,'normalisasi data'!$F$14,IF(perhitungan!B30='normalisasi data'!$G$3,'normalisasi data'!$G$14,"null")))</f>
        <v>79.3</v>
      </c>
      <c r="C62" s="47" t="str">
        <f t="shared" si="0"/>
        <v>Galaxy S23 FE</v>
      </c>
      <c r="D62" s="47">
        <f t="shared" si="10"/>
        <v>99113.4</v>
      </c>
      <c r="E62" s="47">
        <f t="shared" si="1"/>
        <v>209</v>
      </c>
      <c r="F62" s="47">
        <f>IF(H30=konversi!$D$6,konversi!$E$6,IF(perhitungan!H30=konversi!$D$7,konversi!$E$7,0))+IF(I30=konversi!$F$6,konversi!$G$6,IF(perhitungan!I30=konversi!$F$7,konversi!$G$7))</f>
        <v>150</v>
      </c>
      <c r="G62" s="47">
        <f>IF(J30=konversi!$H$6,konversi!$I$6,IF(perhitungan!J30=konversi!$H$7,konversi!$I$7,IF(perhitungan!J30=konversi!$H$8,konversi!$I$8,IF(perhitungan!J30=konversi!$H$9,konversi!I32,IF(perhitungan!J30=konversi!$H$10,konversi!$I$10,"null")))))</f>
        <v>80</v>
      </c>
      <c r="H62" s="47">
        <f t="shared" si="2"/>
        <v>100.5</v>
      </c>
      <c r="I62" s="47">
        <f t="shared" si="3"/>
        <v>2527200</v>
      </c>
      <c r="J62" s="47">
        <f>IF(N30=konversi!$J$6,konversi!$K$6,IF(perhitungan!N30=konversi!$J$7,konversi!$K$7,IF(perhitungan!N30=konversi!$J$8,konversi!$K$8,"null")))</f>
        <v>70</v>
      </c>
      <c r="K62" s="47">
        <f>IF(perhitungan!O30=konversi!$D$20,konversi!$E$20,IF(perhitungan!O30=konversi!$D$21,konversi!$E$21,IF(perhitungan!O30=konversi!$D$22,konversi!$E$22,IF(perhitungan!O30=konversi!$D$23,konversi!$E$23,IF(perhitungan!O30=konversi!$D$24,konversi!$E$24,"null")))))</f>
        <v>92</v>
      </c>
      <c r="L62" s="47">
        <f>IF(P30=konversi!$F$20,konversi!$G$20,IF(perhitungan!P30=konversi!$F$21,konversi!$G$21,IF(perhitungan!P30=konversi!$F$22,konversi!$G$22,"null")))</f>
        <v>10</v>
      </c>
      <c r="M62" s="47">
        <f t="shared" si="4"/>
        <v>8</v>
      </c>
      <c r="N62" s="47">
        <f t="shared" si="5"/>
        <v>128</v>
      </c>
      <c r="O62" s="47">
        <f t="shared" si="6"/>
        <v>50</v>
      </c>
      <c r="P62" s="47">
        <f>IF(T30=konversi!$H$20,konversi!$I$20,IF(perhitungan!T30=konversi!$H$21,konversi!$I$21,IF(perhitungan!T30=konversi!$H$22,konversi!$I$22,"null")))</f>
        <v>40</v>
      </c>
      <c r="Q62" s="47">
        <f>IF(perhitungan!U30=konversi!$B$32,konversi!$C$32,IF(perhitungan!U30=konversi!$B$33,konversi!$C$33,IF(perhitungan!U30=konversi!$B$34,konversi!$C$34,IF(perhitungan!U30=konversi!$B$35,konversi!$C$35,IF(perhitungan!U30=konversi!$B$36,konversi!$C$36,IF(perhitungan!U30=konversi!$B$37,konversi!$C$37,IF(perhitungan!U30=konversi!$B$38,konversi!$C$38,0))))))) + IF(perhitungan!V30=konversi!$B$32,konversi!$C$32,IF(perhitungan!V30=konversi!$B$33,konversi!$C$33,IF(perhitungan!V30=konversi!$B$34,konversi!$C$34,IF(perhitungan!V30=konversi!$B$35,konversi!$C$35,IF(perhitungan!U30=konversi!$B$36,konversi!$C$36,IF(perhitungan!V30=konversi!$B$37,konversi!$C$37,IF(perhitungan!V30=konversi!$B$38,konversi!$C$38,0)))))))  + IF(perhitungan!W30=konversi!$B$32,konversi!$C$32,IF(perhitungan!W30=konversi!$B$33,konversi!$C$33,IF(perhitungan!W30=konversi!$B$34,konversi!$C$34,IF(perhitungan!W30=konversi!$B$35,konversi!$C$35,IF(perhitungan!W30=konversi!$B$36,konversi!$C$36,IF(perhitungan!W30=konversi!$B$37,konversi!$C$37,IF(perhitungan!W30=konversi!$B$38,konversi!$C$38,0)))))))</f>
        <v>240</v>
      </c>
      <c r="R62" s="47">
        <f t="shared" si="7"/>
        <v>10</v>
      </c>
      <c r="S62" s="47">
        <f>IF(AA30=konversi!$H$28,konversi!$I$28,IF(AA30=konversi!$H$29,konversi!$I$29,IF(AA30=konversi!$H$30,konversi!$I$30,IF(AA30=konversi!$H$31,konversi!$I$31,IF(AA30=konversi!$H$32,konversi!$I$32,IF(AA30=konversi!$H$33,konversi!$I$33,IF(AA30=konversi!$H$34,konversi!$I$34,0))))))) + IF(AB30=konversi!$H$28,konversi!$I$28,IF(AB30=konversi!$H$29,konversi!$I$29,IF(AB30=konversi!$H$30,konversi!$I$30,IF(AB30=konversi!$H$31,konversi!$I$31,IF(AB30=konversi!$H$32,konversi!$I$32,IF(AB30=konversi!$H$33,konversi!$I$33,IF(AB30=konversi!$H$34,konversi!$I$34,0)))))))</f>
        <v>150</v>
      </c>
      <c r="T62" s="47">
        <f>IF(AC30=konversi!$D$33,konversi!$E$33,IF(AC30=konversi!$D$34,konversi!$E$34,IF(AC30=konversi!$D$35,konversi!$E$35,IF(AC30=konversi!$D$36,konversi!$E$36,IF(AC30=konversi!$D$37,konversi!$E$37,0)))))</f>
        <v>70</v>
      </c>
      <c r="U62" s="47">
        <f t="shared" si="8"/>
        <v>4500</v>
      </c>
      <c r="V62" s="47">
        <f t="shared" si="9"/>
        <v>8999000</v>
      </c>
    </row>
    <row r="63" spans="1:22" x14ac:dyDescent="0.25">
      <c r="A63">
        <v>26</v>
      </c>
      <c r="B63" s="47">
        <f>IF(B31='normalisasi data'!$E$3,'normalisasi data'!$E$14,IF(perhitungan!B31='normalisasi data'!$F$3,'normalisasi data'!$F$14,IF(perhitungan!B31='normalisasi data'!$G$3,'normalisasi data'!$G$14,"null")))</f>
        <v>79.3</v>
      </c>
      <c r="C63" s="47" t="str">
        <f t="shared" si="0"/>
        <v>Galaxy S23 Ultra</v>
      </c>
      <c r="D63" s="47">
        <f t="shared" si="10"/>
        <v>113577.70599999999</v>
      </c>
      <c r="E63" s="47">
        <f t="shared" si="1"/>
        <v>234</v>
      </c>
      <c r="F63" s="47">
        <f>IF(H31=konversi!$D$6,konversi!$E$6,IF(perhitungan!H31=konversi!$D$7,konversi!$E$7,0))+IF(I31=konversi!$F$6,konversi!$G$6,IF(perhitungan!I31=konversi!$F$7,konversi!$G$7))</f>
        <v>150</v>
      </c>
      <c r="G63" s="47">
        <f>IF(J31=konversi!$H$6,konversi!$I$6,IF(perhitungan!J31=konversi!$H$7,konversi!$I$7,IF(perhitungan!J31=konversi!$H$8,konversi!$I$8,IF(perhitungan!J31=konversi!$H$9,konversi!I33,IF(perhitungan!J31=konversi!$H$10,konversi!$I$10,"null")))))</f>
        <v>80</v>
      </c>
      <c r="H63" s="47">
        <f t="shared" si="2"/>
        <v>114.7</v>
      </c>
      <c r="I63" s="47">
        <f t="shared" si="3"/>
        <v>4446720</v>
      </c>
      <c r="J63" s="47">
        <f>IF(N31=konversi!$J$6,konversi!$K$6,IF(perhitungan!N31=konversi!$J$7,konversi!$K$7,IF(perhitungan!N31=konversi!$J$8,konversi!$K$8,"null")))</f>
        <v>70</v>
      </c>
      <c r="K63" s="47">
        <f>IF(perhitungan!O31=konversi!$D$20,konversi!$E$20,IF(perhitungan!O31=konversi!$D$21,konversi!$E$21,IF(perhitungan!O31=konversi!$D$22,konversi!$E$22,IF(perhitungan!O31=konversi!$D$23,konversi!$E$23,IF(perhitungan!O31=konversi!$D$24,konversi!$E$24,"null")))))</f>
        <v>85</v>
      </c>
      <c r="L63" s="47">
        <f>IF(P31=konversi!$F$20,konversi!$G$20,IF(perhitungan!P31=konversi!$F$21,konversi!$G$21,IF(perhitungan!P31=konversi!$F$22,konversi!$G$22,"null")))</f>
        <v>10</v>
      </c>
      <c r="M63" s="47">
        <f t="shared" si="4"/>
        <v>12</v>
      </c>
      <c r="N63" s="47">
        <f t="shared" si="5"/>
        <v>512</v>
      </c>
      <c r="O63" s="47">
        <f t="shared" si="6"/>
        <v>200</v>
      </c>
      <c r="P63" s="47">
        <f>IF(T31=konversi!$H$20,konversi!$I$20,IF(perhitungan!T31=konversi!$H$21,konversi!$I$21,IF(perhitungan!T31=konversi!$H$22,konversi!$I$22,"null")))</f>
        <v>60</v>
      </c>
      <c r="Q63" s="47">
        <f>IF(perhitungan!U31=konversi!$B$32,konversi!$C$32,IF(perhitungan!U31=konversi!$B$33,konversi!$C$33,IF(perhitungan!U31=konversi!$B$34,konversi!$C$34,IF(perhitungan!U31=konversi!$B$35,konversi!$C$35,IF(perhitungan!U31=konversi!$B$36,konversi!$C$36,IF(perhitungan!U31=konversi!$B$37,konversi!$C$37,IF(perhitungan!U31=konversi!$B$38,konversi!$C$38,0))))))) + IF(perhitungan!V31=konversi!$B$32,konversi!$C$32,IF(perhitungan!V31=konversi!$B$33,konversi!$C$33,IF(perhitungan!V31=konversi!$B$34,konversi!$C$34,IF(perhitungan!V31=konversi!$B$35,konversi!$C$35,IF(perhitungan!U31=konversi!$B$36,konversi!$C$36,IF(perhitungan!V31=konversi!$B$37,konversi!$C$37,IF(perhitungan!V31=konversi!$B$38,konversi!$C$38,0)))))))  + IF(perhitungan!W31=konversi!$B$32,konversi!$C$32,IF(perhitungan!W31=konversi!$B$33,konversi!$C$33,IF(perhitungan!W31=konversi!$B$34,konversi!$C$34,IF(perhitungan!W31=konversi!$B$35,konversi!$C$35,IF(perhitungan!W31=konversi!$B$36,konversi!$C$36,IF(perhitungan!W31=konversi!$B$37,konversi!$C$37,IF(perhitungan!W31=konversi!$B$38,konversi!$C$38,0)))))))</f>
        <v>245</v>
      </c>
      <c r="R63" s="47">
        <f t="shared" si="7"/>
        <v>12</v>
      </c>
      <c r="S63" s="47">
        <f>IF(AA31=konversi!$H$28,konversi!$I$28,IF(AA31=konversi!$H$29,konversi!$I$29,IF(AA31=konversi!$H$30,konversi!$I$30,IF(AA31=konversi!$H$31,konversi!$I$31,IF(AA31=konversi!$H$32,konversi!$I$32,IF(AA31=konversi!$H$33,konversi!$I$33,IF(AA31=konversi!$H$34,konversi!$I$34,0))))))) + IF(AB31=konversi!$H$28,konversi!$I$28,IF(AB31=konversi!$H$29,konversi!$I$29,IF(AB31=konversi!$H$30,konversi!$I$30,IF(AB31=konversi!$H$31,konversi!$I$31,IF(AB31=konversi!$H$32,konversi!$I$32,IF(AB31=konversi!$H$33,konversi!$I$33,IF(AB31=konversi!$H$34,konversi!$I$34,0)))))))</f>
        <v>140</v>
      </c>
      <c r="T63" s="47">
        <f>IF(AC31=konversi!$D$33,konversi!$E$33,IF(AC31=konversi!$D$34,konversi!$E$34,IF(AC31=konversi!$D$35,konversi!$E$35,IF(AC31=konversi!$D$36,konversi!$E$36,IF(AC31=konversi!$D$37,konversi!$E$37,0)))))</f>
        <v>70</v>
      </c>
      <c r="U63" s="47">
        <f t="shared" si="8"/>
        <v>5000</v>
      </c>
      <c r="V63" s="47">
        <f t="shared" si="9"/>
        <v>19999000</v>
      </c>
    </row>
    <row r="64" spans="1:22" x14ac:dyDescent="0.25">
      <c r="A64">
        <v>27</v>
      </c>
      <c r="B64" s="47">
        <f>IF(B32='normalisasi data'!$E$3,'normalisasi data'!$E$14,IF(perhitungan!B32='normalisasi data'!$F$3,'normalisasi data'!$F$14,IF(perhitungan!B32='normalisasi data'!$G$3,'normalisasi data'!$G$14,"null")))</f>
        <v>79.3</v>
      </c>
      <c r="C64" s="47" t="str">
        <f t="shared" si="0"/>
        <v>Galaxy S23+</v>
      </c>
      <c r="D64" s="47">
        <f t="shared" si="10"/>
        <v>91385.135999999999</v>
      </c>
      <c r="E64" s="47">
        <f t="shared" si="1"/>
        <v>196</v>
      </c>
      <c r="F64" s="47">
        <f>IF(H32=konversi!$D$6,konversi!$E$6,IF(perhitungan!H32=konversi!$D$7,konversi!$E$7,0))+IF(I32=konversi!$F$6,konversi!$G$6,IF(perhitungan!I32=konversi!$F$7,konversi!$G$7))</f>
        <v>150</v>
      </c>
      <c r="G64" s="47">
        <f>IF(J32=konversi!$H$6,konversi!$I$6,IF(perhitungan!J32=konversi!$H$7,konversi!$I$7,IF(perhitungan!J32=konversi!$H$8,konversi!$I$8,IF(perhitungan!J32=konversi!$H$9,konversi!I34,IF(perhitungan!J32=konversi!$H$10,konversi!$I$10,"null")))))</f>
        <v>80</v>
      </c>
      <c r="H64" s="47">
        <f t="shared" si="2"/>
        <v>105.3</v>
      </c>
      <c r="I64" s="47">
        <f t="shared" si="3"/>
        <v>2527200</v>
      </c>
      <c r="J64" s="47">
        <f>IF(N32=konversi!$J$6,konversi!$K$6,IF(perhitungan!N32=konversi!$J$7,konversi!$K$7,IF(perhitungan!N32=konversi!$J$8,konversi!$K$8,"null")))</f>
        <v>70</v>
      </c>
      <c r="K64" s="47">
        <f>IF(perhitungan!O32=konversi!$D$20,konversi!$E$20,IF(perhitungan!O32=konversi!$D$21,konversi!$E$21,IF(perhitungan!O32=konversi!$D$22,konversi!$E$22,IF(perhitungan!O32=konversi!$D$23,konversi!$E$23,IF(perhitungan!O32=konversi!$D$24,konversi!$E$24,"null")))))</f>
        <v>85</v>
      </c>
      <c r="L64" s="47">
        <f>IF(P32=konversi!$F$20,konversi!$G$20,IF(perhitungan!P32=konversi!$F$21,konversi!$G$21,IF(perhitungan!P32=konversi!$F$22,konversi!$G$22,"null")))</f>
        <v>10</v>
      </c>
      <c r="M64" s="47">
        <f t="shared" si="4"/>
        <v>8</v>
      </c>
      <c r="N64" s="47">
        <f t="shared" si="5"/>
        <v>256</v>
      </c>
      <c r="O64" s="47">
        <f t="shared" si="6"/>
        <v>50</v>
      </c>
      <c r="P64" s="47">
        <f>IF(T32=konversi!$H$20,konversi!$I$20,IF(perhitungan!T32=konversi!$H$21,konversi!$I$21,IF(perhitungan!T32=konversi!$H$22,konversi!$I$22,"null")))</f>
        <v>40</v>
      </c>
      <c r="Q64" s="47">
        <f>IF(perhitungan!U32=konversi!$B$32,konversi!$C$32,IF(perhitungan!U32=konversi!$B$33,konversi!$C$33,IF(perhitungan!U32=konversi!$B$34,konversi!$C$34,IF(perhitungan!U32=konversi!$B$35,konversi!$C$35,IF(perhitungan!U32=konversi!$B$36,konversi!$C$36,IF(perhitungan!U32=konversi!$B$37,konversi!$C$37,IF(perhitungan!U32=konversi!$B$38,konversi!$C$38,0))))))) + IF(perhitungan!V32=konversi!$B$32,konversi!$C$32,IF(perhitungan!V32=konversi!$B$33,konversi!$C$33,IF(perhitungan!V32=konversi!$B$34,konversi!$C$34,IF(perhitungan!V32=konversi!$B$35,konversi!$C$35,IF(perhitungan!U32=konversi!$B$36,konversi!$C$36,IF(perhitungan!V32=konversi!$B$37,konversi!$C$37,IF(perhitungan!V32=konversi!$B$38,konversi!$C$38,0)))))))  + IF(perhitungan!W32=konversi!$B$32,konversi!$C$32,IF(perhitungan!W32=konversi!$B$33,konversi!$C$33,IF(perhitungan!W32=konversi!$B$34,konversi!$C$34,IF(perhitungan!W32=konversi!$B$35,konversi!$C$35,IF(perhitungan!W32=konversi!$B$36,konversi!$C$36,IF(perhitungan!W32=konversi!$B$37,konversi!$C$37,IF(perhitungan!W32=konversi!$B$38,konversi!$C$38,0)))))))</f>
        <v>245</v>
      </c>
      <c r="R64" s="47">
        <f t="shared" si="7"/>
        <v>12</v>
      </c>
      <c r="S64" s="47">
        <f>IF(AA32=konversi!$H$28,konversi!$I$28,IF(AA32=konversi!$H$29,konversi!$I$29,IF(AA32=konversi!$H$30,konversi!$I$30,IF(AA32=konversi!$H$31,konversi!$I$31,IF(AA32=konversi!$H$32,konversi!$I$32,IF(AA32=konversi!$H$33,konversi!$I$33,IF(AA32=konversi!$H$34,konversi!$I$34,0))))))) + IF(AB32=konversi!$H$28,konversi!$I$28,IF(AB32=konversi!$H$29,konversi!$I$29,IF(AB32=konversi!$H$30,konversi!$I$30,IF(AB32=konversi!$H$31,konversi!$I$31,IF(AB32=konversi!$H$32,konversi!$I$32,IF(AB32=konversi!$H$33,konversi!$I$33,IF(AB32=konversi!$H$34,konversi!$I$34,0)))))))</f>
        <v>140</v>
      </c>
      <c r="T64" s="47">
        <f>IF(AC32=konversi!$D$33,konversi!$E$33,IF(AC32=konversi!$D$34,konversi!$E$34,IF(AC32=konversi!$D$35,konversi!$E$35,IF(AC32=konversi!$D$36,konversi!$E$36,IF(AC32=konversi!$D$37,konversi!$E$37,0)))))</f>
        <v>70</v>
      </c>
      <c r="U64" s="47">
        <f t="shared" si="8"/>
        <v>4700</v>
      </c>
      <c r="V64" s="47">
        <f t="shared" si="9"/>
        <v>15999000</v>
      </c>
    </row>
    <row r="65" spans="1:22" x14ac:dyDescent="0.25">
      <c r="A65">
        <v>28</v>
      </c>
      <c r="B65" s="47">
        <f>IF(B33='normalisasi data'!$E$3,'normalisasi data'!$E$14,IF(perhitungan!B33='normalisasi data'!$F$3,'normalisasi data'!$F$14,IF(perhitungan!B33='normalisasi data'!$G$3,'normalisasi data'!$G$14,"null")))</f>
        <v>79.3</v>
      </c>
      <c r="C65" s="47" t="str">
        <f t="shared" si="0"/>
        <v>Galaxy S23</v>
      </c>
      <c r="D65" s="47">
        <f t="shared" si="10"/>
        <v>78832.292000000016</v>
      </c>
      <c r="E65" s="47">
        <f t="shared" si="1"/>
        <v>168</v>
      </c>
      <c r="F65" s="47">
        <f>IF(H33=konversi!$D$6,konversi!$E$6,IF(perhitungan!H33=konversi!$D$7,konversi!$E$7,0))+IF(I33=konversi!$F$6,konversi!$G$6,IF(perhitungan!I33=konversi!$F$7,konversi!$G$7))</f>
        <v>150</v>
      </c>
      <c r="G65" s="47">
        <f>IF(J33=konversi!$H$6,konversi!$I$6,IF(perhitungan!J33=konversi!$H$7,konversi!$I$7,IF(perhitungan!J33=konversi!$H$8,konversi!$I$8,IF(perhitungan!J33=konversi!$H$9,konversi!I35,IF(perhitungan!J33=konversi!$H$10,konversi!$I$10,"null")))))</f>
        <v>80</v>
      </c>
      <c r="H65" s="47">
        <f t="shared" si="2"/>
        <v>90.1</v>
      </c>
      <c r="I65" s="47">
        <f t="shared" si="3"/>
        <v>2527200</v>
      </c>
      <c r="J65" s="47">
        <f>IF(N33=konversi!$J$6,konversi!$K$6,IF(perhitungan!N33=konversi!$J$7,konversi!$K$7,IF(perhitungan!N33=konversi!$J$8,konversi!$K$8,"null")))</f>
        <v>70</v>
      </c>
      <c r="K65" s="47">
        <f>IF(perhitungan!O33=konversi!$D$20,konversi!$E$20,IF(perhitungan!O33=konversi!$D$21,konversi!$E$21,IF(perhitungan!O33=konversi!$D$22,konversi!$E$22,IF(perhitungan!O33=konversi!$D$23,konversi!$E$23,IF(perhitungan!O33=konversi!$D$24,konversi!$E$24,"null")))))</f>
        <v>85</v>
      </c>
      <c r="L65" s="47">
        <f>IF(P33=konversi!$F$20,konversi!$G$20,IF(perhitungan!P33=konversi!$F$21,konversi!$G$21,IF(perhitungan!P33=konversi!$F$22,konversi!$G$22,"null")))</f>
        <v>10</v>
      </c>
      <c r="M65" s="47">
        <f t="shared" si="4"/>
        <v>8</v>
      </c>
      <c r="N65" s="47">
        <f t="shared" si="5"/>
        <v>256</v>
      </c>
      <c r="O65" s="47">
        <f t="shared" si="6"/>
        <v>50</v>
      </c>
      <c r="P65" s="47">
        <f>IF(T33=konversi!$H$20,konversi!$I$20,IF(perhitungan!T33=konversi!$H$21,konversi!$I$21,IF(perhitungan!T33=konversi!$H$22,konversi!$I$22,"null")))</f>
        <v>40</v>
      </c>
      <c r="Q65" s="47">
        <f>IF(perhitungan!U33=konversi!$B$32,konversi!$C$32,IF(perhitungan!U33=konversi!$B$33,konversi!$C$33,IF(perhitungan!U33=konversi!$B$34,konversi!$C$34,IF(perhitungan!U33=konversi!$B$35,konversi!$C$35,IF(perhitungan!U33=konversi!$B$36,konversi!$C$36,IF(perhitungan!U33=konversi!$B$37,konversi!$C$37,IF(perhitungan!U33=konversi!$B$38,konversi!$C$38,0))))))) + IF(perhitungan!V33=konversi!$B$32,konversi!$C$32,IF(perhitungan!V33=konversi!$B$33,konversi!$C$33,IF(perhitungan!V33=konversi!$B$34,konversi!$C$34,IF(perhitungan!V33=konversi!$B$35,konversi!$C$35,IF(perhitungan!U33=konversi!$B$36,konversi!$C$36,IF(perhitungan!V33=konversi!$B$37,konversi!$C$37,IF(perhitungan!V33=konversi!$B$38,konversi!$C$38,0)))))))  + IF(perhitungan!W33=konversi!$B$32,konversi!$C$32,IF(perhitungan!W33=konversi!$B$33,konversi!$C$33,IF(perhitungan!W33=konversi!$B$34,konversi!$C$34,IF(perhitungan!W33=konversi!$B$35,konversi!$C$35,IF(perhitungan!W33=konversi!$B$36,konversi!$C$36,IF(perhitungan!W33=konversi!$B$37,konversi!$C$37,IF(perhitungan!W33=konversi!$B$38,konversi!$C$38,0)))))))</f>
        <v>245</v>
      </c>
      <c r="R65" s="47">
        <f t="shared" si="7"/>
        <v>12</v>
      </c>
      <c r="S65" s="47">
        <f>IF(AA33=konversi!$H$28,konversi!$I$28,IF(AA33=konversi!$H$29,konversi!$I$29,IF(AA33=konversi!$H$30,konversi!$I$30,IF(AA33=konversi!$H$31,konversi!$I$31,IF(AA33=konversi!$H$32,konversi!$I$32,IF(AA33=konversi!$H$33,konversi!$I$33,IF(AA33=konversi!$H$34,konversi!$I$34,0))))))) + IF(AB33=konversi!$H$28,konversi!$I$28,IF(AB33=konversi!$H$29,konversi!$I$29,IF(AB33=konversi!$H$30,konversi!$I$30,IF(AB33=konversi!$H$31,konversi!$I$31,IF(AB33=konversi!$H$32,konversi!$I$32,IF(AB33=konversi!$H$33,konversi!$I$33,IF(AB33=konversi!$H$34,konversi!$I$34,0)))))))</f>
        <v>140</v>
      </c>
      <c r="T65" s="47">
        <f>IF(AC33=konversi!$D$33,konversi!$E$33,IF(AC33=konversi!$D$34,konversi!$E$34,IF(AC33=konversi!$D$35,konversi!$E$35,IF(AC33=konversi!$D$36,konversi!$E$36,IF(AC33=konversi!$D$37,konversi!$E$37,0)))))</f>
        <v>70</v>
      </c>
      <c r="U65" s="47">
        <f t="shared" si="8"/>
        <v>3900</v>
      </c>
      <c r="V65" s="47">
        <f>AF33</f>
        <v>13999000</v>
      </c>
    </row>
    <row r="68" spans="1:22" x14ac:dyDescent="0.25">
      <c r="B68" s="89" t="s">
        <v>293</v>
      </c>
      <c r="C68" s="89"/>
      <c r="D68" s="89"/>
    </row>
    <row r="69" spans="1:22" x14ac:dyDescent="0.25">
      <c r="A69" t="s">
        <v>9</v>
      </c>
      <c r="B69" s="47" t="s">
        <v>10</v>
      </c>
      <c r="C69" s="47" t="s">
        <v>217</v>
      </c>
      <c r="D69" s="47" t="s">
        <v>218</v>
      </c>
      <c r="E69" s="47" t="s">
        <v>219</v>
      </c>
      <c r="F69" s="47" t="s">
        <v>272</v>
      </c>
      <c r="G69" s="47" t="s">
        <v>221</v>
      </c>
      <c r="H69" s="47" t="s">
        <v>222</v>
      </c>
      <c r="I69" s="47" t="s">
        <v>223</v>
      </c>
      <c r="J69" s="47" t="s">
        <v>19</v>
      </c>
      <c r="K69" s="47" t="s">
        <v>20</v>
      </c>
      <c r="L69" s="47" t="s">
        <v>21</v>
      </c>
      <c r="M69" s="47" t="s">
        <v>23</v>
      </c>
      <c r="N69" s="47" t="s">
        <v>24</v>
      </c>
      <c r="O69" s="47" t="s">
        <v>225</v>
      </c>
      <c r="P69" s="47" t="s">
        <v>224</v>
      </c>
      <c r="Q69" s="47" t="s">
        <v>228</v>
      </c>
      <c r="R69" s="47" t="s">
        <v>226</v>
      </c>
      <c r="S69" s="47" t="s">
        <v>227</v>
      </c>
      <c r="T69" s="47" t="s">
        <v>229</v>
      </c>
      <c r="U69" s="47" t="s">
        <v>31</v>
      </c>
      <c r="V69" s="47" t="s">
        <v>159</v>
      </c>
    </row>
    <row r="70" spans="1:22" x14ac:dyDescent="0.25">
      <c r="A70">
        <v>1</v>
      </c>
      <c r="B70">
        <f t="shared" ref="B70:B97" si="11">B38</f>
        <v>66.2</v>
      </c>
      <c r="C70" t="str">
        <f t="shared" ref="C70:C97" si="12">C38</f>
        <v>Zenfone 10</v>
      </c>
      <c r="D70">
        <f>IF(D38&lt;=konversi2!$D$8,konversi2!$E$7,IF(D38&lt;=konversi2!$D$10,konversi2!$E$9,IF(D38&lt;=konversi2!$D$15,konversi2!$E$11,IF(D38&lt;=konversi2!$D$19,konversi2!$E$18,IF(D38&lt;=konversi2!$D$21,konversi2!$E$20,IF(D38&gt;konversi2!$D$23,konversi2!$E$22,"kosong"))))))</f>
        <v>40</v>
      </c>
      <c r="E70">
        <f>IF(E38&lt;=konversi2!$G$7,konversi2!$H$7,IF(E38&lt;=konversi2!$G$8,konversi2!$H$8,IF(E35&lt;=konversi2!$G$9,konversi2!$H$9,IF(E35&lt;=konversi2!$G$10,konversi2!$H$10,IF(E35&lt;=konversi2!$G$11,konversi2!$H$11,IF(E35&lt;=konversi2!$G$12,konversi2!$H$12,IF(E35&lt;konversi2!$G$13,konversi2!$H$13,IF(E35&gt;=konversi2!$G$13,konversi2!$H$14,"kosong"))))))))</f>
        <v>40</v>
      </c>
      <c r="F70">
        <f t="shared" ref="F70:F97" si="13">F38</f>
        <v>50</v>
      </c>
      <c r="G70">
        <f t="shared" ref="G70:G97" si="14">G38</f>
        <v>85</v>
      </c>
      <c r="H70">
        <f>IF(H38&lt;=konversi2!$L$7,konversi2!$M$7,IF(H38&lt;=konversi2!$L$8,konversi2!$M$8,IF(H38&lt;=konversi2!$L$9,konversi2!$M$9,IF(H38&lt;=konversi2!$L$10,konversi2!$M$10,IF(H38&lt;=konversi2!$L$11,konversi2!$M$11,IF(H38&lt;=konversi2!$L$12,konversi2!$M$12,IF(H38&lt;konversi2!$L$13,konversi2!$M$13,IF(H38&gt;=konversi2!$M$14,0))))))))</f>
        <v>30</v>
      </c>
      <c r="I70">
        <f>IF(I38&lt;konversi2!$O$7,konversi2!$P$7,IF(I38&lt;konversi2!$O$8,konversi2!$P$8,IF(I38&lt;konversi2!$O$9,konversi2!$P$9,IF(I38&gt;konversi2!$O$10,konversi2!$P$10,"null"))))</f>
        <v>25</v>
      </c>
      <c r="J70">
        <f t="shared" ref="J70:J97" si="15">J38</f>
        <v>70</v>
      </c>
      <c r="K70">
        <f t="shared" ref="K70:K97" si="16">K38</f>
        <v>85</v>
      </c>
      <c r="L70">
        <f t="shared" ref="L70:L97" si="17">L38</f>
        <v>10</v>
      </c>
      <c r="M70">
        <f>IF(M38=konversi2!$Q$7,konversi2!$R$7,IF(M38=konversi2!$Q$8,konversi2!$R$8,IF(M38=konversi2!$Q$9,konversi2!$R$9,"null")))</f>
        <v>50</v>
      </c>
      <c r="N70">
        <f>IF(N38=konversi2!$S$7,konversi2!$T$7,IF(N38=konversi2!$S$8,konversi2!$T$8,IF(N38=konversi2!$S$9,konversi2!$T$9,IF(N38=konversi2!$S$10,konversi2!$T$10,"null"))))</f>
        <v>25</v>
      </c>
      <c r="O70">
        <f t="shared" ref="O70:O97" si="18">O38</f>
        <v>50</v>
      </c>
      <c r="P70">
        <f t="shared" ref="P70:P97" si="19">P38</f>
        <v>20</v>
      </c>
      <c r="Q70">
        <f>perhitungan!Q38</f>
        <v>155</v>
      </c>
      <c r="R70">
        <f t="shared" ref="R70:R97" si="20">R38</f>
        <v>32</v>
      </c>
      <c r="S70">
        <f t="shared" ref="S70:S97" si="21">S38</f>
        <v>60</v>
      </c>
      <c r="T70">
        <f t="shared" ref="T70:T97" si="22">T38</f>
        <v>20</v>
      </c>
      <c r="U70">
        <f>IF(U38&lt;konversi2!$V$7,konversi2!$W$7,IF(U38&lt;konversi2!$V$8,konversi2!$W$8,IF(U38&lt;konversi2!$V$9,konversi2!$W$9,IF(U38&lt;konversi2!$V$10,konversi2!$W$10,IF(U38&lt;konversi2!$V$11,konversi2!$W$11,IF(U38&gt;=konversi2!$V$12,konversi2!$W$12,"null"))))))</f>
        <v>40</v>
      </c>
      <c r="V70">
        <f>IF(V38&lt;konversi2!$Y$7,konversi2!$Z$7,IF(V38&lt;konversi2!$Y$8,konversi2!$Z$8,IF(V38&lt;konversi2!$Y$9,konversi2!$Z$9,IF(V38&lt;konversi2!$Y$10,konversi2!$Z$10,IF(V38&lt;konversi2!$Y$11,konversi2!$Z$11,IF(V38&lt;konversi2!$Y$12,konversi2!$Z$12,IF(V38&lt;konversi2!$Y$13,konversi2!$Z$13,IF(V38&gt;=konversi2!$Y$13,konversi2!$Z$14,"null"))))))))</f>
        <v>30</v>
      </c>
    </row>
    <row r="71" spans="1:22" x14ac:dyDescent="0.25">
      <c r="A71">
        <v>2</v>
      </c>
      <c r="B71">
        <f t="shared" si="11"/>
        <v>66.2</v>
      </c>
      <c r="C71" t="str">
        <f t="shared" si="12"/>
        <v>Zenfone 10</v>
      </c>
      <c r="D71">
        <f>IF(D39&lt;=konversi2!$D$8,konversi2!$E$7,IF(D39&lt;=konversi2!$D$10,konversi2!$E$9,IF(D39&lt;=konversi2!$D$15,konversi2!$E$11,IF(D39&lt;=konversi2!$D$19,konversi2!$E$18,IF(D39&lt;=konversi2!$D$21,konversi2!$E$20,IF(D39&gt;konversi2!$D$23,konversi2!$E$22,"kosong"))))))</f>
        <v>40</v>
      </c>
      <c r="E71">
        <f>IF(E39&lt;=konversi2!$G$7,konversi2!$H$7,IF(E39&lt;=konversi2!$G$8,konversi2!$H$8,IF(E36&lt;=konversi2!$G$9,konversi2!$H$9,IF(E36&lt;=konversi2!$G$10,konversi2!$H$10,IF(E36&lt;=konversi2!$G$11,konversi2!$H$11,IF(E36&lt;=konversi2!$G$12,konversi2!$H$12,IF(E36&lt;konversi2!$G$13,konversi2!$H$13,IF(E36&gt;=konversi2!$G$13,konversi2!$H$14,"kosong"))))))))</f>
        <v>40</v>
      </c>
      <c r="F71">
        <f t="shared" si="13"/>
        <v>50</v>
      </c>
      <c r="G71">
        <f t="shared" si="14"/>
        <v>75</v>
      </c>
      <c r="H71">
        <f>IF(H39&lt;=konversi2!$L$7,konversi2!$M$7,IF(H39&lt;=konversi2!$L$8,konversi2!$M$8,IF(H39&lt;=konversi2!$L$9,konversi2!$M$9,IF(H39&lt;=konversi2!$L$10,konversi2!$M$10,IF(H39&lt;=konversi2!$L$11,konversi2!$M$11,IF(H39&lt;=konversi2!$L$12,konversi2!$M$12,IF(H39&lt;konversi2!$L$13,konversi2!$M$13,IF(H39&gt;=konversi2!$M$14,0))))))))</f>
        <v>30</v>
      </c>
      <c r="I71">
        <f>IF(I39&lt;konversi2!$O$7,konversi2!$P$7,IF(I39&lt;konversi2!$O$8,konversi2!$P$8,IF(I39&lt;konversi2!$O$9,konversi2!$P$9,IF(I39&gt;konversi2!$O$10,konversi2!$P$10,"null"))))</f>
        <v>25</v>
      </c>
      <c r="J71">
        <f t="shared" si="15"/>
        <v>70</v>
      </c>
      <c r="K71">
        <f t="shared" si="16"/>
        <v>85</v>
      </c>
      <c r="L71">
        <f t="shared" si="17"/>
        <v>10</v>
      </c>
      <c r="M71">
        <f>IF(M39=konversi2!$Q$7,konversi2!$R$7,IF(M39=konversi2!$Q$8,konversi2!$R$8,IF(M39=konversi2!$Q$9,konversi2!$R$9,"null")))</f>
        <v>100</v>
      </c>
      <c r="N71">
        <f>IF(N39=konversi2!$S$7,konversi2!$T$7,IF(N39=konversi2!$S$8,konversi2!$T$8,IF(N39=konversi2!$S$9,konversi2!$T$9,IF(N39=konversi2!$S$10,konversi2!$T$10,"null"))))</f>
        <v>75</v>
      </c>
      <c r="O71">
        <f t="shared" si="18"/>
        <v>50</v>
      </c>
      <c r="P71">
        <f t="shared" si="19"/>
        <v>20</v>
      </c>
      <c r="Q71">
        <f>perhitungan!Q39</f>
        <v>155</v>
      </c>
      <c r="R71">
        <f t="shared" si="20"/>
        <v>32</v>
      </c>
      <c r="S71">
        <f t="shared" si="21"/>
        <v>60</v>
      </c>
      <c r="T71">
        <f t="shared" si="22"/>
        <v>20</v>
      </c>
      <c r="U71">
        <f>IF(U39&lt;konversi2!$V$7,konversi2!$W$7,IF(U39&lt;konversi2!$V$8,konversi2!$W$8,IF(U39&lt;konversi2!$V$9,konversi2!$W$9,IF(U39&lt;konversi2!$V$10,konversi2!$W$10,IF(U39&lt;konversi2!$V$11,konversi2!$W$11,IF(U39&gt;=konversi2!$V$12,konversi2!$W$12,"null"))))))</f>
        <v>40</v>
      </c>
      <c r="V71">
        <f>IF(V39&lt;konversi2!$Y$7,konversi2!$Z$7,IF(V39&lt;konversi2!$Y$8,konversi2!$Z$8,IF(V39&lt;konversi2!$Y$9,konversi2!$Z$9,IF(V39&lt;konversi2!$Y$10,konversi2!$Z$10,IF(V39&lt;konversi2!$Y$11,konversi2!$Z$11,IF(V39&lt;konversi2!$Y$12,konversi2!$Z$12,IF(V39&lt;konversi2!$Y$13,konversi2!$Z$13,IF(V39&gt;=konversi2!$Y$13,konversi2!$Z$14,"null"))))))))</f>
        <v>40</v>
      </c>
    </row>
    <row r="72" spans="1:22" x14ac:dyDescent="0.25">
      <c r="A72">
        <v>3</v>
      </c>
      <c r="B72">
        <f t="shared" si="11"/>
        <v>66.2</v>
      </c>
      <c r="C72" t="str">
        <f t="shared" si="12"/>
        <v>ROG Phone 7 Ultimate</v>
      </c>
      <c r="D72">
        <f>IF(D40&lt;=konversi2!$D$8,konversi2!$E$7,IF(D40&lt;=konversi2!$D$10,konversi2!$E$9,IF(D40&lt;=konversi2!$D$15,konversi2!$E$11,IF(D40&lt;=konversi2!$D$19,konversi2!$E$18,IF(D40&lt;=konversi2!$D$21,konversi2!$E$20,IF(D40&gt;konversi2!$D$23,konversi2!$E$22,"kosong"))))))</f>
        <v>100</v>
      </c>
      <c r="E72">
        <f>IF(E40&lt;=konversi2!$G$7,konversi2!$H$7,IF(E40&lt;=konversi2!$G$8,konversi2!$H$8,IF(E37&lt;=konversi2!$G$9,konversi2!$H$9,IF(E37&lt;=konversi2!$G$10,konversi2!$H$10,IF(E37&lt;=konversi2!$G$11,konversi2!$H$11,IF(E37&lt;=konversi2!$G$12,konversi2!$H$12,IF(E37&lt;konversi2!$G$13,konversi2!$H$13,IF(E37&gt;=konversi2!$G$13,konversi2!$H$14,"kosong"))))))))</f>
        <v>100</v>
      </c>
      <c r="F72">
        <f t="shared" si="13"/>
        <v>70</v>
      </c>
      <c r="G72">
        <f t="shared" si="14"/>
        <v>70</v>
      </c>
      <c r="H72">
        <f>IF(H40&lt;=konversi2!$L$7,konversi2!$M$7,IF(H40&lt;=konversi2!$L$8,konversi2!$M$8,IF(H40&lt;=konversi2!$L$9,konversi2!$M$9,IF(H40&lt;=konversi2!$L$10,konversi2!$M$10,IF(H40&lt;=konversi2!$L$11,konversi2!$M$11,IF(H40&lt;=konversi2!$L$12,konversi2!$M$12,IF(H40&lt;konversi2!$L$13,konversi2!$M$13,IF(H40&gt;=konversi2!$M$14,0))))))))</f>
        <v>80</v>
      </c>
      <c r="I72">
        <f>IF(I40&lt;konversi2!$O$7,konversi2!$P$7,IF(I40&lt;konversi2!$O$8,konversi2!$P$8,IF(I40&lt;konversi2!$O$9,konversi2!$P$9,IF(I40&gt;konversi2!$O$10,konversi2!$P$10,"null"))))</f>
        <v>25</v>
      </c>
      <c r="J72">
        <f t="shared" si="15"/>
        <v>70</v>
      </c>
      <c r="K72">
        <f t="shared" si="16"/>
        <v>85</v>
      </c>
      <c r="L72">
        <f t="shared" si="17"/>
        <v>10</v>
      </c>
      <c r="M72">
        <f>IF(M40=konversi2!$Q$7,konversi2!$R$7,IF(M40=konversi2!$Q$8,konversi2!$R$8,IF(M40=konversi2!$Q$9,konversi2!$R$9,"null")))</f>
        <v>100</v>
      </c>
      <c r="N72">
        <f>IF(N40=konversi2!$S$7,konversi2!$T$7,IF(N40=konversi2!$S$8,konversi2!$T$8,IF(N40=konversi2!$S$9,konversi2!$T$9,IF(N40=konversi2!$S$10,konversi2!$T$10,"null"))))</f>
        <v>75</v>
      </c>
      <c r="O72">
        <f t="shared" si="18"/>
        <v>50</v>
      </c>
      <c r="P72">
        <f t="shared" si="19"/>
        <v>40</v>
      </c>
      <c r="Q72">
        <f>perhitungan!Q40</f>
        <v>240</v>
      </c>
      <c r="R72">
        <f t="shared" si="20"/>
        <v>32</v>
      </c>
      <c r="S72">
        <f t="shared" si="21"/>
        <v>60</v>
      </c>
      <c r="T72">
        <f t="shared" si="22"/>
        <v>40</v>
      </c>
      <c r="U72">
        <f>IF(U40&lt;konversi2!$V$7,konversi2!$W$7,IF(U40&lt;konversi2!$V$8,konversi2!$W$8,IF(U40&lt;konversi2!$V$9,konversi2!$W$9,IF(U40&lt;konversi2!$V$10,konversi2!$W$10,IF(U40&lt;konversi2!$V$11,konversi2!$W$11,IF(U40&gt;=konversi2!$V$12,konversi2!$W$12,"null"))))))</f>
        <v>100</v>
      </c>
      <c r="V72">
        <f>IF(V40&lt;konversi2!$Y$7,konversi2!$Z$7,IF(V40&lt;konversi2!$Y$8,konversi2!$Z$8,IF(V40&lt;konversi2!$Y$9,konversi2!$Z$9,IF(V40&lt;konversi2!$Y$10,konversi2!$Z$10,IF(V40&lt;konversi2!$Y$11,konversi2!$Z$11,IF(V40&lt;konversi2!$Y$12,konversi2!$Z$12,IF(V40&lt;konversi2!$Y$13,konversi2!$Z$13,IF(V40&gt;=konversi2!$Y$13,konversi2!$Z$14,"null"))))))))</f>
        <v>80</v>
      </c>
    </row>
    <row r="73" spans="1:22" x14ac:dyDescent="0.25">
      <c r="A73">
        <v>4</v>
      </c>
      <c r="B73">
        <f t="shared" si="11"/>
        <v>66.2</v>
      </c>
      <c r="C73" t="str">
        <f t="shared" si="12"/>
        <v>ROG Phone 7</v>
      </c>
      <c r="D73">
        <f>IF(D41&lt;=konversi2!$D$8,konversi2!$E$7,IF(D41&lt;=konversi2!$D$10,konversi2!$E$9,IF(D41&lt;=konversi2!$D$15,konversi2!$E$11,IF(D41&lt;=konversi2!$D$19,konversi2!$E$18,IF(D41&lt;=konversi2!$D$21,konversi2!$E$20,IF(D41&gt;konversi2!$D$23,konversi2!$E$22,"kosong"))))))</f>
        <v>100</v>
      </c>
      <c r="E73">
        <f>IF(E41&lt;=konversi2!$G$7,konversi2!$H$7,IF(E41&lt;=konversi2!$G$8,konversi2!$H$8,IF(E38&lt;=konversi2!$G$9,konversi2!$H$9,IF(E38&lt;=konversi2!$G$10,konversi2!$H$10,IF(E38&lt;=konversi2!$G$11,konversi2!$H$11,IF(E38&lt;=konversi2!$G$12,konversi2!$H$12,IF(E38&lt;konversi2!$G$13,konversi2!$H$13,IF(E38&gt;=konversi2!$G$13,konversi2!$H$14,"kosong"))))))))</f>
        <v>50</v>
      </c>
      <c r="F73">
        <f t="shared" si="13"/>
        <v>70</v>
      </c>
      <c r="G73">
        <f t="shared" si="14"/>
        <v>70</v>
      </c>
      <c r="H73">
        <f>IF(H41&lt;=konversi2!$L$7,konversi2!$M$7,IF(H41&lt;=konversi2!$L$8,konversi2!$M$8,IF(H41&lt;=konversi2!$L$9,konversi2!$M$9,IF(H41&lt;=konversi2!$L$10,konversi2!$M$10,IF(H41&lt;=konversi2!$L$11,konversi2!$M$11,IF(H41&lt;=konversi2!$L$12,konversi2!$M$12,IF(H41&lt;konversi2!$L$13,konversi2!$M$13,IF(H41&gt;=konversi2!$M$14,0))))))))</f>
        <v>80</v>
      </c>
      <c r="I73">
        <f>IF(I41&lt;konversi2!$O$7,konversi2!$P$7,IF(I41&lt;konversi2!$O$8,konversi2!$P$8,IF(I41&lt;konversi2!$O$9,konversi2!$P$9,IF(I41&gt;konversi2!$O$10,konversi2!$P$10,"null"))))</f>
        <v>25</v>
      </c>
      <c r="J73">
        <f t="shared" si="15"/>
        <v>70</v>
      </c>
      <c r="K73">
        <f t="shared" si="16"/>
        <v>85</v>
      </c>
      <c r="L73">
        <f t="shared" si="17"/>
        <v>10</v>
      </c>
      <c r="M73">
        <f>IF(M41=konversi2!$Q$7,konversi2!$R$7,IF(M41=konversi2!$Q$8,konversi2!$R$8,IF(M41=konversi2!$Q$9,konversi2!$R$9,"null")))</f>
        <v>75</v>
      </c>
      <c r="N73">
        <f>IF(N41=konversi2!$S$7,konversi2!$T$7,IF(N41=konversi2!$S$8,konversi2!$T$8,IF(N41=konversi2!$S$9,konversi2!$T$9,IF(N41=konversi2!$S$10,konversi2!$T$10,"null"))))</f>
        <v>50</v>
      </c>
      <c r="O73">
        <f t="shared" si="18"/>
        <v>50</v>
      </c>
      <c r="P73">
        <f t="shared" si="19"/>
        <v>40</v>
      </c>
      <c r="Q73">
        <f>perhitungan!Q41</f>
        <v>240</v>
      </c>
      <c r="R73">
        <f t="shared" si="20"/>
        <v>32</v>
      </c>
      <c r="S73">
        <f t="shared" si="21"/>
        <v>60</v>
      </c>
      <c r="T73">
        <f t="shared" si="22"/>
        <v>40</v>
      </c>
      <c r="U73">
        <f>IF(U41&lt;konversi2!$V$7,konversi2!$W$7,IF(U41&lt;konversi2!$V$8,konversi2!$W$8,IF(U41&lt;konversi2!$V$9,konversi2!$W$9,IF(U41&lt;konversi2!$V$10,konversi2!$W$10,IF(U41&lt;konversi2!$V$11,konversi2!$W$11,IF(U41&gt;=konversi2!$V$12,konversi2!$W$12,"null"))))))</f>
        <v>100</v>
      </c>
      <c r="V73">
        <f>IF(V41&lt;konversi2!$Y$7,konversi2!$Z$7,IF(V41&lt;konversi2!$Y$8,konversi2!$Z$8,IF(V41&lt;konversi2!$Y$9,konversi2!$Z$9,IF(V41&lt;konversi2!$Y$10,konversi2!$Z$10,IF(V41&lt;konversi2!$Y$11,konversi2!$Z$11,IF(V41&lt;konversi2!$Y$12,konversi2!$Z$12,IF(V41&lt;konversi2!$Y$13,konversi2!$Z$13,IF(V41&gt;=konversi2!$Y$13,konversi2!$Z$14,"null"))))))))</f>
        <v>50</v>
      </c>
    </row>
    <row r="74" spans="1:22" x14ac:dyDescent="0.25">
      <c r="A74">
        <v>5</v>
      </c>
      <c r="B74">
        <f t="shared" si="11"/>
        <v>66.2</v>
      </c>
      <c r="C74" t="str">
        <f t="shared" si="12"/>
        <v>ROG Phone 7</v>
      </c>
      <c r="D74">
        <f>IF(D42&lt;=konversi2!$D$8,konversi2!$E$7,IF(D42&lt;=konversi2!$D$10,konversi2!$E$9,IF(D42&lt;=konversi2!$D$15,konversi2!$E$11,IF(D42&lt;=konversi2!$D$19,konversi2!$E$18,IF(D42&lt;=konversi2!$D$21,konversi2!$E$20,IF(D42&gt;konversi2!$D$23,konversi2!$E$22,"kosong"))))))</f>
        <v>100</v>
      </c>
      <c r="E74">
        <f>IF(E42&lt;=konversi2!$G$7,konversi2!$H$7,IF(E42&lt;=konversi2!$G$8,konversi2!$H$8,IF(E39&lt;=konversi2!$G$9,konversi2!$H$9,IF(E39&lt;=konversi2!$G$10,konversi2!$H$10,IF(E39&lt;=konversi2!$G$11,konversi2!$H$11,IF(E39&lt;=konversi2!$G$12,konversi2!$H$12,IF(E39&lt;konversi2!$G$13,konversi2!$H$13,IF(E39&gt;=konversi2!$G$13,konversi2!$H$14,"kosong"))))))))</f>
        <v>50</v>
      </c>
      <c r="F74">
        <f t="shared" si="13"/>
        <v>70</v>
      </c>
      <c r="G74">
        <f t="shared" si="14"/>
        <v>70</v>
      </c>
      <c r="H74">
        <f>IF(H42&lt;=konversi2!$L$7,konversi2!$M$7,IF(H42&lt;=konversi2!$L$8,konversi2!$M$8,IF(H42&lt;=konversi2!$L$9,konversi2!$M$9,IF(H42&lt;=konversi2!$L$10,konversi2!$M$10,IF(H42&lt;=konversi2!$L$11,konversi2!$M$11,IF(H42&lt;=konversi2!$L$12,konversi2!$M$12,IF(H42&lt;konversi2!$L$13,konversi2!$M$13,IF(H42&gt;=konversi2!$M$14,0))))))))</f>
        <v>80</v>
      </c>
      <c r="I74">
        <f>IF(I42&lt;konversi2!$O$7,konversi2!$P$7,IF(I42&lt;konversi2!$O$8,konversi2!$P$8,IF(I42&lt;konversi2!$O$9,konversi2!$P$9,IF(I42&gt;konversi2!$O$10,konversi2!$P$10,"null"))))</f>
        <v>25</v>
      </c>
      <c r="J74">
        <f t="shared" si="15"/>
        <v>70</v>
      </c>
      <c r="K74">
        <f t="shared" si="16"/>
        <v>85</v>
      </c>
      <c r="L74">
        <f t="shared" si="17"/>
        <v>10</v>
      </c>
      <c r="M74">
        <f>IF(M42=konversi2!$Q$7,konversi2!$R$7,IF(M42=konversi2!$Q$8,konversi2!$R$8,IF(M42=konversi2!$Q$9,konversi2!$R$9,"null")))</f>
        <v>100</v>
      </c>
      <c r="N74">
        <f>IF(N42=konversi2!$S$7,konversi2!$T$7,IF(N42=konversi2!$S$8,konversi2!$T$8,IF(N42=konversi2!$S$9,konversi2!$T$9,IF(N42=konversi2!$S$10,konversi2!$T$10,"null"))))</f>
        <v>75</v>
      </c>
      <c r="O74">
        <f t="shared" si="18"/>
        <v>50</v>
      </c>
      <c r="P74">
        <f t="shared" si="19"/>
        <v>40</v>
      </c>
      <c r="Q74">
        <f>perhitungan!Q42</f>
        <v>240</v>
      </c>
      <c r="R74">
        <f t="shared" si="20"/>
        <v>32</v>
      </c>
      <c r="S74">
        <f t="shared" si="21"/>
        <v>60</v>
      </c>
      <c r="T74">
        <f t="shared" si="22"/>
        <v>40</v>
      </c>
      <c r="U74">
        <f>IF(U42&lt;konversi2!$V$7,konversi2!$W$7,IF(U42&lt;konversi2!$V$8,konversi2!$W$8,IF(U42&lt;konversi2!$V$9,konversi2!$W$9,IF(U42&lt;konversi2!$V$10,konversi2!$W$10,IF(U42&lt;konversi2!$V$11,konversi2!$W$11,IF(U42&gt;=konversi2!$V$12,konversi2!$W$12,"null"))))))</f>
        <v>100</v>
      </c>
      <c r="V74">
        <f>IF(V42&lt;konversi2!$Y$7,konversi2!$Z$7,IF(V42&lt;konversi2!$Y$8,konversi2!$Z$8,IF(V42&lt;konversi2!$Y$9,konversi2!$Z$9,IF(V42&lt;konversi2!$Y$10,konversi2!$Z$10,IF(V42&lt;konversi2!$Y$11,konversi2!$Z$11,IF(V42&lt;konversi2!$Y$12,konversi2!$Z$12,IF(V42&lt;konversi2!$Y$13,konversi2!$Z$13,IF(V42&gt;=konversi2!$Y$13,konversi2!$Z$14,"null"))))))))</f>
        <v>100</v>
      </c>
    </row>
    <row r="75" spans="1:22" x14ac:dyDescent="0.25">
      <c r="A75">
        <v>6</v>
      </c>
      <c r="B75">
        <f t="shared" si="11"/>
        <v>86.3</v>
      </c>
      <c r="C75" t="str">
        <f t="shared" si="12"/>
        <v>Iphone 15 Pro Max</v>
      </c>
      <c r="D75">
        <f>IF(D43&lt;=konversi2!$D$8,konversi2!$E$7,IF(D43&lt;=konversi2!$D$10,konversi2!$E$9,IF(D43&lt;=konversi2!$D$15,konversi2!$E$11,IF(D43&lt;=konversi2!$D$19,konversi2!$E$18,IF(D43&lt;=konversi2!$D$21,konversi2!$E$20,IF(D43&gt;konversi2!$D$23,konversi2!$E$22,"kosong"))))))</f>
        <v>80</v>
      </c>
      <c r="E75">
        <f>IF(E43&lt;=konversi2!$G$7,konversi2!$H$7,IF(E43&lt;=konversi2!$G$8,konversi2!$H$8,IF(E40&lt;=konversi2!$G$9,konversi2!$H$9,IF(E40&lt;=konversi2!$G$10,konversi2!$H$10,IF(E40&lt;=konversi2!$G$11,konversi2!$H$11,IF(E40&lt;=konversi2!$G$12,konversi2!$H$12,IF(E40&lt;konversi2!$G$13,konversi2!$H$13,IF(E40&gt;=konversi2!$G$13,konversi2!$H$14,"kosong"))))))))</f>
        <v>100</v>
      </c>
      <c r="F75">
        <f t="shared" si="13"/>
        <v>160</v>
      </c>
      <c r="G75">
        <f t="shared" si="14"/>
        <v>90</v>
      </c>
      <c r="H75">
        <f>IF(H43&lt;=konversi2!$L$7,konversi2!$M$7,IF(H43&lt;=konversi2!$L$8,konversi2!$M$8,IF(H43&lt;=konversi2!$L$9,konversi2!$M$9,IF(H43&lt;=konversi2!$L$10,konversi2!$M$10,IF(H43&lt;=konversi2!$L$11,konversi2!$M$11,IF(H43&lt;=konversi2!$L$12,konversi2!$M$12,IF(H43&lt;konversi2!$L$13,konversi2!$M$13,IF(H43&gt;=konversi2!$M$14,0))))))))</f>
        <v>90</v>
      </c>
      <c r="I75">
        <f>IF(I43&lt;konversi2!$O$7,konversi2!$P$7,IF(I43&lt;konversi2!$O$8,konversi2!$P$8,IF(I43&lt;konversi2!$O$9,konversi2!$P$9,IF(I43&gt;konversi2!$O$10,konversi2!$P$10,"null"))))</f>
        <v>75</v>
      </c>
      <c r="J75">
        <f t="shared" si="15"/>
        <v>90</v>
      </c>
      <c r="K75">
        <f t="shared" si="16"/>
        <v>79</v>
      </c>
      <c r="L75">
        <f t="shared" si="17"/>
        <v>8</v>
      </c>
      <c r="M75">
        <f>IF(M43=konversi2!$Q$7,konversi2!$R$7,IF(M43=konversi2!$Q$8,konversi2!$R$8,IF(M43=konversi2!$Q$9,konversi2!$R$9,"null")))</f>
        <v>50</v>
      </c>
      <c r="N75">
        <f>IF(N43=konversi2!$S$7,konversi2!$T$7,IF(N43=konversi2!$S$8,konversi2!$T$8,IF(N43=konversi2!$S$9,konversi2!$T$9,IF(N43=konversi2!$S$10,konversi2!$T$10,"null"))))</f>
        <v>50</v>
      </c>
      <c r="O75">
        <f t="shared" si="18"/>
        <v>48</v>
      </c>
      <c r="P75">
        <f t="shared" si="19"/>
        <v>40</v>
      </c>
      <c r="Q75">
        <f>perhitungan!Q43</f>
        <v>90</v>
      </c>
      <c r="R75">
        <f t="shared" si="20"/>
        <v>12</v>
      </c>
      <c r="S75">
        <f t="shared" si="21"/>
        <v>175</v>
      </c>
      <c r="T75">
        <f t="shared" si="22"/>
        <v>100</v>
      </c>
      <c r="U75">
        <f>IF(U43&lt;konversi2!$V$7,konversi2!$W$7,IF(U43&lt;konversi2!$V$8,konversi2!$W$8,IF(U43&lt;konversi2!$V$9,konversi2!$W$9,IF(U43&lt;konversi2!$V$10,konversi2!$W$10,IF(U43&lt;konversi2!$V$11,konversi2!$W$11,IF(U43&gt;=konversi2!$V$12,konversi2!$W$12,"null"))))))</f>
        <v>40</v>
      </c>
      <c r="V75">
        <f>IF(V43&lt;konversi2!$Y$7,konversi2!$Z$7,IF(V43&lt;konversi2!$Y$8,konversi2!$Z$8,IF(V43&lt;konversi2!$Y$9,konversi2!$Z$9,IF(V43&lt;konversi2!$Y$10,konversi2!$Z$10,IF(V43&lt;konversi2!$Y$11,konversi2!$Z$11,IF(V43&lt;konversi2!$Y$12,konversi2!$Z$12,IF(V43&lt;konversi2!$Y$13,konversi2!$Z$13,IF(V43&gt;=konversi2!$Y$13,konversi2!$Z$14,"null"))))))))</f>
        <v>80</v>
      </c>
    </row>
    <row r="76" spans="1:22" x14ac:dyDescent="0.25">
      <c r="A76">
        <v>7</v>
      </c>
      <c r="B76">
        <f t="shared" si="11"/>
        <v>86.3</v>
      </c>
      <c r="C76" t="str">
        <f t="shared" si="12"/>
        <v>Iphone 15 Pro Max</v>
      </c>
      <c r="D76">
        <f>IF(D44&lt;=konversi2!$D$8,konversi2!$E$7,IF(D44&lt;=konversi2!$D$10,konversi2!$E$9,IF(D44&lt;=konversi2!$D$15,konversi2!$E$11,IF(D44&lt;=konversi2!$D$19,konversi2!$E$18,IF(D44&lt;=konversi2!$D$21,konversi2!$E$20,IF(D44&gt;konversi2!$D$23,konversi2!$E$22,"kosong"))))))</f>
        <v>80</v>
      </c>
      <c r="E76">
        <f>IF(E44&lt;=konversi2!$G$7,konversi2!$H$7,IF(E44&lt;=konversi2!$G$8,konversi2!$H$8,IF(E41&lt;=konversi2!$G$9,konversi2!$H$9,IF(E41&lt;=konversi2!$G$10,konversi2!$H$10,IF(E41&lt;=konversi2!$G$11,konversi2!$H$11,IF(E41&lt;=konversi2!$G$12,konversi2!$H$12,IF(E41&lt;konversi2!$G$13,konversi2!$H$13,IF(E41&gt;=konversi2!$G$13,konversi2!$H$14,"kosong"))))))))</f>
        <v>100</v>
      </c>
      <c r="F76">
        <f t="shared" si="13"/>
        <v>160</v>
      </c>
      <c r="G76">
        <f t="shared" si="14"/>
        <v>90</v>
      </c>
      <c r="H76">
        <f>IF(H44&lt;=konversi2!$L$7,konversi2!$M$7,IF(H44&lt;=konversi2!$L$8,konversi2!$M$8,IF(H44&lt;=konversi2!$L$9,konversi2!$M$9,IF(H44&lt;=konversi2!$L$10,konversi2!$M$10,IF(H44&lt;=konversi2!$L$11,konversi2!$M$11,IF(H44&lt;=konversi2!$L$12,konversi2!$M$12,IF(H44&lt;konversi2!$L$13,konversi2!$M$13,IF(H44&gt;=konversi2!$M$14,0))))))))</f>
        <v>90</v>
      </c>
      <c r="I76">
        <f>IF(I44&lt;konversi2!$O$7,konversi2!$P$7,IF(I44&lt;konversi2!$O$8,konversi2!$P$8,IF(I44&lt;konversi2!$O$9,konversi2!$P$9,IF(I44&gt;konversi2!$O$10,konversi2!$P$10,"null"))))</f>
        <v>75</v>
      </c>
      <c r="J76">
        <f t="shared" si="15"/>
        <v>90</v>
      </c>
      <c r="K76">
        <f t="shared" si="16"/>
        <v>79</v>
      </c>
      <c r="L76">
        <f t="shared" si="17"/>
        <v>8</v>
      </c>
      <c r="M76">
        <f>IF(M44=konversi2!$Q$7,konversi2!$R$7,IF(M44=konversi2!$Q$8,konversi2!$R$8,IF(M44=konversi2!$Q$9,konversi2!$R$9,"null")))</f>
        <v>50</v>
      </c>
      <c r="N76">
        <f>IF(N44=konversi2!$S$7,konversi2!$T$7,IF(N44=konversi2!$S$8,konversi2!$T$8,IF(N44=konversi2!$S$9,konversi2!$T$9,IF(N44=konversi2!$S$10,konversi2!$T$10,"null"))))</f>
        <v>75</v>
      </c>
      <c r="O76">
        <f t="shared" si="18"/>
        <v>48</v>
      </c>
      <c r="P76">
        <f t="shared" si="19"/>
        <v>40</v>
      </c>
      <c r="Q76">
        <f>perhitungan!Q44</f>
        <v>90</v>
      </c>
      <c r="R76">
        <f t="shared" si="20"/>
        <v>12</v>
      </c>
      <c r="S76">
        <f t="shared" si="21"/>
        <v>175</v>
      </c>
      <c r="T76">
        <f t="shared" si="22"/>
        <v>100</v>
      </c>
      <c r="U76">
        <f>IF(U44&lt;konversi2!$V$7,konversi2!$W$7,IF(U44&lt;konversi2!$V$8,konversi2!$W$8,IF(U44&lt;konversi2!$V$9,konversi2!$W$9,IF(U44&lt;konversi2!$V$10,konversi2!$W$10,IF(U44&lt;konversi2!$V$11,konversi2!$W$11,IF(U44&gt;=konversi2!$V$12,konversi2!$W$12,"null"))))))</f>
        <v>40</v>
      </c>
      <c r="V76">
        <f>IF(V44&lt;konversi2!$Y$7,konversi2!$Z$7,IF(V44&lt;konversi2!$Y$8,konversi2!$Z$8,IF(V44&lt;konversi2!$Y$9,konversi2!$Z$9,IF(V44&lt;konversi2!$Y$10,konversi2!$Z$10,IF(V44&lt;konversi2!$Y$11,konversi2!$Z$11,IF(V44&lt;konversi2!$Y$12,konversi2!$Z$12,IF(V44&lt;konversi2!$Y$13,konversi2!$Z$13,IF(V44&gt;=konversi2!$Y$13,konversi2!$Z$14,"null"))))))))</f>
        <v>90</v>
      </c>
    </row>
    <row r="77" spans="1:22" x14ac:dyDescent="0.25">
      <c r="A77">
        <v>8</v>
      </c>
      <c r="B77">
        <f t="shared" si="11"/>
        <v>86.3</v>
      </c>
      <c r="C77" t="str">
        <f t="shared" si="12"/>
        <v>Iphone 15 Pro Max</v>
      </c>
      <c r="D77">
        <f>IF(D45&lt;=konversi2!$D$8,konversi2!$E$7,IF(D45&lt;=konversi2!$D$10,konversi2!$E$9,IF(D45&lt;=konversi2!$D$15,konversi2!$E$11,IF(D45&lt;=konversi2!$D$19,konversi2!$E$18,IF(D45&lt;=konversi2!$D$21,konversi2!$E$20,IF(D45&gt;konversi2!$D$23,konversi2!$E$22,"kosong"))))))</f>
        <v>80</v>
      </c>
      <c r="E77">
        <f>IF(E45&lt;=konversi2!$G$7,konversi2!$H$7,IF(E45&lt;=konversi2!$G$8,konversi2!$H$8,IF(E42&lt;=konversi2!$G$9,konversi2!$H$9,IF(E42&lt;=konversi2!$G$10,konversi2!$H$10,IF(E42&lt;=konversi2!$G$11,konversi2!$H$11,IF(E42&lt;=konversi2!$G$12,konversi2!$H$12,IF(E42&lt;konversi2!$G$13,konversi2!$H$13,IF(E42&gt;=konversi2!$G$13,konversi2!$H$14,"kosong"))))))))</f>
        <v>100</v>
      </c>
      <c r="F77">
        <f t="shared" si="13"/>
        <v>160</v>
      </c>
      <c r="G77">
        <f t="shared" si="14"/>
        <v>90</v>
      </c>
      <c r="H77">
        <f>IF(H45&lt;=konversi2!$L$7,konversi2!$M$7,IF(H45&lt;=konversi2!$L$8,konversi2!$M$8,IF(H45&lt;=konversi2!$L$9,konversi2!$M$9,IF(H45&lt;=konversi2!$L$10,konversi2!$M$10,IF(H45&lt;=konversi2!$L$11,konversi2!$M$11,IF(H45&lt;=konversi2!$L$12,konversi2!$M$12,IF(H45&lt;konversi2!$L$13,konversi2!$M$13,IF(H45&gt;=konversi2!$M$14,0))))))))</f>
        <v>90</v>
      </c>
      <c r="I77">
        <f>IF(I45&lt;konversi2!$O$7,konversi2!$P$7,IF(I45&lt;konversi2!$O$8,konversi2!$P$8,IF(I45&lt;konversi2!$O$9,konversi2!$P$9,IF(I45&gt;konversi2!$O$10,konversi2!$P$10,"null"))))</f>
        <v>75</v>
      </c>
      <c r="J77">
        <f t="shared" si="15"/>
        <v>90</v>
      </c>
      <c r="K77">
        <f t="shared" si="16"/>
        <v>79</v>
      </c>
      <c r="L77">
        <f t="shared" si="17"/>
        <v>8</v>
      </c>
      <c r="M77">
        <f>IF(M45=konversi2!$Q$7,konversi2!$R$7,IF(M45=konversi2!$Q$8,konversi2!$R$8,IF(M45=konversi2!$Q$9,konversi2!$R$9,"null")))</f>
        <v>50</v>
      </c>
      <c r="N77">
        <f>IF(N45=konversi2!$S$7,konversi2!$T$7,IF(N45=konversi2!$S$8,konversi2!$T$8,IF(N45=konversi2!$S$9,konversi2!$T$9,IF(N45=konversi2!$S$10,konversi2!$T$10,"null"))))</f>
        <v>100</v>
      </c>
      <c r="O77">
        <f t="shared" si="18"/>
        <v>48</v>
      </c>
      <c r="P77">
        <f t="shared" si="19"/>
        <v>40</v>
      </c>
      <c r="Q77">
        <f>perhitungan!Q45</f>
        <v>90</v>
      </c>
      <c r="R77">
        <f t="shared" si="20"/>
        <v>12</v>
      </c>
      <c r="S77">
        <f t="shared" si="21"/>
        <v>175</v>
      </c>
      <c r="T77">
        <f t="shared" si="22"/>
        <v>100</v>
      </c>
      <c r="U77">
        <f>IF(U45&lt;konversi2!$V$7,konversi2!$W$7,IF(U45&lt;konversi2!$V$8,konversi2!$W$8,IF(U45&lt;konversi2!$V$9,konversi2!$W$9,IF(U45&lt;konversi2!$V$10,konversi2!$W$10,IF(U45&lt;konversi2!$V$11,konversi2!$W$11,IF(U45&gt;=konversi2!$V$12,konversi2!$W$12,"null"))))))</f>
        <v>40</v>
      </c>
      <c r="V77">
        <f>IF(V45&lt;konversi2!$Y$7,konversi2!$Z$7,IF(V45&lt;konversi2!$Y$8,konversi2!$Z$8,IF(V45&lt;konversi2!$Y$9,konversi2!$Z$9,IF(V45&lt;konversi2!$Y$10,konversi2!$Z$10,IF(V45&lt;konversi2!$Y$11,konversi2!$Z$11,IF(V45&lt;konversi2!$Y$12,konversi2!$Z$12,IF(V45&lt;konversi2!$Y$13,konversi2!$Z$13,IF(V45&gt;=konversi2!$Y$13,konversi2!$Z$14,"null"))))))))</f>
        <v>100</v>
      </c>
    </row>
    <row r="78" spans="1:22" x14ac:dyDescent="0.25">
      <c r="A78">
        <v>9</v>
      </c>
      <c r="B78">
        <f t="shared" si="11"/>
        <v>86.3</v>
      </c>
      <c r="C78" t="str">
        <f t="shared" si="12"/>
        <v>Iphone 15 Pro</v>
      </c>
      <c r="D78">
        <f>IF(D46&lt;=konversi2!$D$8,konversi2!$E$7,IF(D46&lt;=konversi2!$D$10,konversi2!$E$9,IF(D46&lt;=konversi2!$D$15,konversi2!$E$11,IF(D46&lt;=konversi2!$D$19,konversi2!$E$18,IF(D46&lt;=konversi2!$D$21,konversi2!$E$20,IF(D46&gt;konversi2!$D$23,konversi2!$E$22,"kosong"))))))</f>
        <v>20</v>
      </c>
      <c r="E78">
        <f>IF(E46&lt;=konversi2!$G$7,konversi2!$H$7,IF(E46&lt;=konversi2!$G$8,konversi2!$H$8,IF(E43&lt;=konversi2!$G$9,konversi2!$H$9,IF(E43&lt;=konversi2!$G$10,konversi2!$H$10,IF(E43&lt;=konversi2!$G$11,konversi2!$H$11,IF(E43&lt;=konversi2!$G$12,konversi2!$H$12,IF(E43&lt;konversi2!$G$13,konversi2!$H$13,IF(E43&gt;=konversi2!$G$13,konversi2!$H$14,"kosong"))))))))</f>
        <v>90</v>
      </c>
      <c r="F78">
        <f t="shared" si="13"/>
        <v>160</v>
      </c>
      <c r="G78">
        <f t="shared" si="14"/>
        <v>90</v>
      </c>
      <c r="H78">
        <f>IF(H46&lt;=konversi2!$L$7,konversi2!$M$7,IF(H46&lt;=konversi2!$L$8,konversi2!$M$8,IF(H46&lt;=konversi2!$L$9,konversi2!$M$9,IF(H46&lt;=konversi2!$L$10,konversi2!$M$10,IF(H46&lt;=konversi2!$L$11,konversi2!$M$11,IF(H46&lt;=konversi2!$L$12,konversi2!$M$12,IF(H46&lt;konversi2!$L$13,konversi2!$M$13,IF(H46&gt;=konversi2!$M$14,0))))))))</f>
        <v>50</v>
      </c>
      <c r="I78">
        <f>IF(I46&lt;konversi2!$O$7,konversi2!$P$7,IF(I46&lt;konversi2!$O$8,konversi2!$P$8,IF(I46&lt;konversi2!$O$9,konversi2!$P$9,IF(I46&gt;konversi2!$O$10,konversi2!$P$10,"null"))))</f>
        <v>50</v>
      </c>
      <c r="J78">
        <f t="shared" si="15"/>
        <v>90</v>
      </c>
      <c r="K78">
        <f t="shared" si="16"/>
        <v>79</v>
      </c>
      <c r="L78">
        <f t="shared" si="17"/>
        <v>8</v>
      </c>
      <c r="M78">
        <f>IF(M46=konversi2!$Q$7,konversi2!$R$7,IF(M46=konversi2!$Q$8,konversi2!$R$8,IF(M46=konversi2!$Q$9,konversi2!$R$9,"null")))</f>
        <v>50</v>
      </c>
      <c r="N78">
        <f>IF(N46=konversi2!$S$7,konversi2!$T$7,IF(N46=konversi2!$S$8,konversi2!$T$8,IF(N46=konversi2!$S$9,konversi2!$T$9,IF(N46=konversi2!$S$10,konversi2!$T$10,"null"))))</f>
        <v>25</v>
      </c>
      <c r="O78">
        <f t="shared" si="18"/>
        <v>48</v>
      </c>
      <c r="P78">
        <f t="shared" si="19"/>
        <v>40</v>
      </c>
      <c r="Q78">
        <f>perhitungan!Q46</f>
        <v>90</v>
      </c>
      <c r="R78">
        <f t="shared" si="20"/>
        <v>12</v>
      </c>
      <c r="S78">
        <f t="shared" si="21"/>
        <v>175</v>
      </c>
      <c r="T78">
        <f t="shared" si="22"/>
        <v>100</v>
      </c>
      <c r="U78">
        <f>IF(U46&lt;konversi2!$V$7,konversi2!$W$7,IF(U46&lt;konversi2!$V$8,konversi2!$W$8,IF(U46&lt;konversi2!$V$9,konversi2!$W$9,IF(U46&lt;konversi2!$V$10,konversi2!$W$10,IF(U46&lt;konversi2!$V$11,konversi2!$W$11,IF(U46&gt;=konversi2!$V$12,konversi2!$W$12,"null"))))))</f>
        <v>0</v>
      </c>
      <c r="V78">
        <f>IF(V46&lt;konversi2!$Y$7,konversi2!$Z$7,IF(V46&lt;konversi2!$Y$8,konversi2!$Z$8,IF(V46&lt;konversi2!$Y$9,konversi2!$Z$9,IF(V46&lt;konversi2!$Y$10,konversi2!$Z$10,IF(V46&lt;konversi2!$Y$11,konversi2!$Z$11,IF(V46&lt;konversi2!$Y$12,konversi2!$Z$12,IF(V46&lt;konversi2!$Y$13,konversi2!$Z$13,IF(V46&gt;=konversi2!$Y$13,konversi2!$Z$14,"null"))))))))</f>
        <v>60</v>
      </c>
    </row>
    <row r="79" spans="1:22" x14ac:dyDescent="0.25">
      <c r="A79">
        <v>10</v>
      </c>
      <c r="B79">
        <f t="shared" si="11"/>
        <v>86.3</v>
      </c>
      <c r="C79" t="str">
        <f t="shared" si="12"/>
        <v>Iphone 15 Pro</v>
      </c>
      <c r="D79">
        <f>IF(D47&lt;=konversi2!$D$8,konversi2!$E$7,IF(D47&lt;=konversi2!$D$10,konversi2!$E$9,IF(D47&lt;=konversi2!$D$15,konversi2!$E$11,IF(D47&lt;=konversi2!$D$19,konversi2!$E$18,IF(D47&lt;=konversi2!$D$21,konversi2!$E$20,IF(D47&gt;konversi2!$D$23,konversi2!$E$22,"kosong"))))))</f>
        <v>20</v>
      </c>
      <c r="E79">
        <f>IF(E47&lt;=konversi2!$G$7,konversi2!$H$7,IF(E47&lt;=konversi2!$G$8,konversi2!$H$8,IF(E44&lt;=konversi2!$G$9,konversi2!$H$9,IF(E44&lt;=konversi2!$G$10,konversi2!$H$10,IF(E44&lt;=konversi2!$G$11,konversi2!$H$11,IF(E44&lt;=konversi2!$G$12,konversi2!$H$12,IF(E44&lt;konversi2!$G$13,konversi2!$H$13,IF(E44&gt;=konversi2!$G$13,konversi2!$H$14,"kosong"))))))))</f>
        <v>90</v>
      </c>
      <c r="F79">
        <f t="shared" si="13"/>
        <v>160</v>
      </c>
      <c r="G79">
        <f t="shared" si="14"/>
        <v>90</v>
      </c>
      <c r="H79">
        <f>IF(H47&lt;=konversi2!$L$7,konversi2!$M$7,IF(H47&lt;=konversi2!$L$8,konversi2!$M$8,IF(H47&lt;=konversi2!$L$9,konversi2!$M$9,IF(H47&lt;=konversi2!$L$10,konversi2!$M$10,IF(H47&lt;=konversi2!$L$11,konversi2!$M$11,IF(H47&lt;=konversi2!$L$12,konversi2!$M$12,IF(H47&lt;konversi2!$L$13,konversi2!$M$13,IF(H47&gt;=konversi2!$M$14,0))))))))</f>
        <v>50</v>
      </c>
      <c r="I79">
        <f>IF(I47&lt;konversi2!$O$7,konversi2!$P$7,IF(I47&lt;konversi2!$O$8,konversi2!$P$8,IF(I47&lt;konversi2!$O$9,konversi2!$P$9,IF(I47&gt;konversi2!$O$10,konversi2!$P$10,"null"))))</f>
        <v>50</v>
      </c>
      <c r="J79">
        <f t="shared" si="15"/>
        <v>90</v>
      </c>
      <c r="K79">
        <f t="shared" si="16"/>
        <v>79</v>
      </c>
      <c r="L79">
        <f t="shared" si="17"/>
        <v>8</v>
      </c>
      <c r="M79">
        <f>IF(M47=konversi2!$Q$7,konversi2!$R$7,IF(M47=konversi2!$Q$8,konversi2!$R$8,IF(M47=konversi2!$Q$9,konversi2!$R$9,"null")))</f>
        <v>50</v>
      </c>
      <c r="N79">
        <f>IF(N47=konversi2!$S$7,konversi2!$T$7,IF(N47=konversi2!$S$8,konversi2!$T$8,IF(N47=konversi2!$S$9,konversi2!$T$9,IF(N47=konversi2!$S$10,konversi2!$T$10,"null"))))</f>
        <v>50</v>
      </c>
      <c r="O79">
        <f t="shared" si="18"/>
        <v>48</v>
      </c>
      <c r="P79">
        <f t="shared" si="19"/>
        <v>40</v>
      </c>
      <c r="Q79">
        <f>perhitungan!Q47</f>
        <v>90</v>
      </c>
      <c r="R79">
        <f t="shared" si="20"/>
        <v>12</v>
      </c>
      <c r="S79">
        <f t="shared" si="21"/>
        <v>175</v>
      </c>
      <c r="T79">
        <f t="shared" si="22"/>
        <v>100</v>
      </c>
      <c r="U79">
        <f>IF(U47&lt;konversi2!$V$7,konversi2!$W$7,IF(U47&lt;konversi2!$V$8,konversi2!$W$8,IF(U47&lt;konversi2!$V$9,konversi2!$W$9,IF(U47&lt;konversi2!$V$10,konversi2!$W$10,IF(U47&lt;konversi2!$V$11,konversi2!$W$11,IF(U47&gt;=konversi2!$V$12,konversi2!$W$12,"null"))))))</f>
        <v>0</v>
      </c>
      <c r="V79">
        <f>IF(V47&lt;konversi2!$Y$7,konversi2!$Z$7,IF(V47&lt;konversi2!$Y$8,konversi2!$Z$8,IF(V47&lt;konversi2!$Y$9,konversi2!$Z$9,IF(V47&lt;konversi2!$Y$10,konversi2!$Z$10,IF(V47&lt;konversi2!$Y$11,konversi2!$Z$11,IF(V47&lt;konversi2!$Y$12,konversi2!$Z$12,IF(V47&lt;konversi2!$Y$13,konversi2!$Z$13,IF(V47&gt;=konversi2!$Y$13,konversi2!$Z$14,"null"))))))))</f>
        <v>70</v>
      </c>
    </row>
    <row r="80" spans="1:22" x14ac:dyDescent="0.25">
      <c r="A80">
        <v>11</v>
      </c>
      <c r="B80">
        <f t="shared" si="11"/>
        <v>86.3</v>
      </c>
      <c r="C80" t="str">
        <f t="shared" si="12"/>
        <v>Iphone 15 Pro</v>
      </c>
      <c r="D80">
        <f>IF(D48&lt;=konversi2!$D$8,konversi2!$E$7,IF(D48&lt;=konversi2!$D$10,konversi2!$E$9,IF(D48&lt;=konversi2!$D$15,konversi2!$E$11,IF(D48&lt;=konversi2!$D$19,konversi2!$E$18,IF(D48&lt;=konversi2!$D$21,konversi2!$E$20,IF(D48&gt;konversi2!$D$23,konversi2!$E$22,"kosong"))))))</f>
        <v>20</v>
      </c>
      <c r="E80">
        <f>IF(E48&lt;=konversi2!$G$7,konversi2!$H$7,IF(E48&lt;=konversi2!$G$8,konversi2!$H$8,IF(E45&lt;=konversi2!$G$9,konversi2!$H$9,IF(E45&lt;=konversi2!$G$10,konversi2!$H$10,IF(E45&lt;=konversi2!$G$11,konversi2!$H$11,IF(E45&lt;=konversi2!$G$12,konversi2!$H$12,IF(E45&lt;konversi2!$G$13,konversi2!$H$13,IF(E45&gt;=konversi2!$G$13,konversi2!$H$14,"kosong"))))))))</f>
        <v>90</v>
      </c>
      <c r="F80">
        <f t="shared" si="13"/>
        <v>160</v>
      </c>
      <c r="G80">
        <f t="shared" si="14"/>
        <v>90</v>
      </c>
      <c r="H80">
        <f>IF(H48&lt;=konversi2!$L$7,konversi2!$M$7,IF(H48&lt;=konversi2!$L$8,konversi2!$M$8,IF(H48&lt;=konversi2!$L$9,konversi2!$M$9,IF(H48&lt;=konversi2!$L$10,konversi2!$M$10,IF(H48&lt;=konversi2!$L$11,konversi2!$M$11,IF(H48&lt;=konversi2!$L$12,konversi2!$M$12,IF(H48&lt;konversi2!$L$13,konversi2!$M$13,IF(H48&gt;=konversi2!$M$14,0))))))))</f>
        <v>50</v>
      </c>
      <c r="I80">
        <f>IF(I48&lt;konversi2!$O$7,konversi2!$P$7,IF(I48&lt;konversi2!$O$8,konversi2!$P$8,IF(I48&lt;konversi2!$O$9,konversi2!$P$9,IF(I48&gt;konversi2!$O$10,konversi2!$P$10,"null"))))</f>
        <v>50</v>
      </c>
      <c r="J80">
        <f t="shared" si="15"/>
        <v>90</v>
      </c>
      <c r="K80">
        <f t="shared" si="16"/>
        <v>79</v>
      </c>
      <c r="L80">
        <f t="shared" si="17"/>
        <v>8</v>
      </c>
      <c r="M80">
        <f>IF(M48=konversi2!$Q$7,konversi2!$R$7,IF(M48=konversi2!$Q$8,konversi2!$R$8,IF(M48=konversi2!$Q$9,konversi2!$R$9,"null")))</f>
        <v>50</v>
      </c>
      <c r="N80">
        <f>IF(N48=konversi2!$S$7,konversi2!$T$7,IF(N48=konversi2!$S$8,konversi2!$T$8,IF(N48=konversi2!$S$9,konversi2!$T$9,IF(N48=konversi2!$S$10,konversi2!$T$10,"null"))))</f>
        <v>75</v>
      </c>
      <c r="O80">
        <f t="shared" si="18"/>
        <v>48</v>
      </c>
      <c r="P80">
        <f t="shared" si="19"/>
        <v>40</v>
      </c>
      <c r="Q80">
        <f>perhitungan!Q48</f>
        <v>90</v>
      </c>
      <c r="R80">
        <f t="shared" si="20"/>
        <v>12</v>
      </c>
      <c r="S80">
        <f t="shared" si="21"/>
        <v>175</v>
      </c>
      <c r="T80">
        <f t="shared" si="22"/>
        <v>100</v>
      </c>
      <c r="U80">
        <f>IF(U48&lt;konversi2!$V$7,konversi2!$W$7,IF(U48&lt;konversi2!$V$8,konversi2!$W$8,IF(U48&lt;konversi2!$V$9,konversi2!$W$9,IF(U48&lt;konversi2!$V$10,konversi2!$W$10,IF(U48&lt;konversi2!$V$11,konversi2!$W$11,IF(U48&gt;=konversi2!$V$12,konversi2!$W$12,"null"))))))</f>
        <v>0</v>
      </c>
      <c r="V80">
        <f>IF(V48&lt;konversi2!$Y$7,konversi2!$Z$7,IF(V48&lt;konversi2!$Y$8,konversi2!$Z$8,IF(V48&lt;konversi2!$Y$9,konversi2!$Z$9,IF(V48&lt;konversi2!$Y$10,konversi2!$Z$10,IF(V48&lt;konversi2!$Y$11,konversi2!$Z$11,IF(V48&lt;konversi2!$Y$12,konversi2!$Z$12,IF(V48&lt;konversi2!$Y$13,konversi2!$Z$13,IF(V48&gt;=konversi2!$Y$13,konversi2!$Z$14,"null"))))))))</f>
        <v>90</v>
      </c>
    </row>
    <row r="81" spans="1:22" x14ac:dyDescent="0.25">
      <c r="A81">
        <v>12</v>
      </c>
      <c r="B81">
        <f t="shared" si="11"/>
        <v>86.3</v>
      </c>
      <c r="C81" t="str">
        <f t="shared" si="12"/>
        <v>Iphone 15 Pro</v>
      </c>
      <c r="D81">
        <f>IF(D49&lt;=konversi2!$D$8,konversi2!$E$7,IF(D49&lt;=konversi2!$D$10,konversi2!$E$9,IF(D49&lt;=konversi2!$D$15,konversi2!$E$11,IF(D49&lt;=konversi2!$D$19,konversi2!$E$18,IF(D49&lt;=konversi2!$D$21,konversi2!$E$20,IF(D49&gt;konversi2!$D$23,konversi2!$E$22,"kosong"))))))</f>
        <v>20</v>
      </c>
      <c r="E81">
        <f>IF(E49&lt;=konversi2!$G$7,konversi2!$H$7,IF(E49&lt;=konversi2!$G$8,konversi2!$H$8,IF(E46&lt;=konversi2!$G$9,konversi2!$H$9,IF(E46&lt;=konversi2!$G$10,konversi2!$H$10,IF(E46&lt;=konversi2!$G$11,konversi2!$H$11,IF(E46&lt;=konversi2!$G$12,konversi2!$H$12,IF(E46&lt;konversi2!$G$13,konversi2!$H$13,IF(E46&gt;=konversi2!$G$13,konversi2!$H$14,"kosong"))))))))</f>
        <v>50</v>
      </c>
      <c r="F81">
        <f t="shared" si="13"/>
        <v>160</v>
      </c>
      <c r="G81">
        <f t="shared" si="14"/>
        <v>90</v>
      </c>
      <c r="H81">
        <f>IF(H49&lt;=konversi2!$L$7,konversi2!$M$7,IF(H49&lt;=konversi2!$L$8,konversi2!$M$8,IF(H49&lt;=konversi2!$L$9,konversi2!$M$9,IF(H49&lt;=konversi2!$L$10,konversi2!$M$10,IF(H49&lt;=konversi2!$L$11,konversi2!$M$11,IF(H49&lt;=konversi2!$L$12,konversi2!$M$12,IF(H49&lt;konversi2!$L$13,konversi2!$M$13,IF(H49&gt;=konversi2!$M$14,0))))))))</f>
        <v>50</v>
      </c>
      <c r="I81">
        <f>IF(I49&lt;konversi2!$O$7,konversi2!$P$7,IF(I49&lt;konversi2!$O$8,konversi2!$P$8,IF(I49&lt;konversi2!$O$9,konversi2!$P$9,IF(I49&gt;konversi2!$O$10,konversi2!$P$10,"null"))))</f>
        <v>50</v>
      </c>
      <c r="J81">
        <f t="shared" si="15"/>
        <v>90</v>
      </c>
      <c r="K81">
        <f t="shared" si="16"/>
        <v>79</v>
      </c>
      <c r="L81">
        <f t="shared" si="17"/>
        <v>8</v>
      </c>
      <c r="M81">
        <f>IF(M49=konversi2!$Q$7,konversi2!$R$7,IF(M49=konversi2!$Q$8,konversi2!$R$8,IF(M49=konversi2!$Q$9,konversi2!$R$9,"null")))</f>
        <v>50</v>
      </c>
      <c r="N81">
        <f>IF(N49=konversi2!$S$7,konversi2!$T$7,IF(N49=konversi2!$S$8,konversi2!$T$8,IF(N49=konversi2!$S$9,konversi2!$T$9,IF(N49=konversi2!$S$10,konversi2!$T$10,"null"))))</f>
        <v>100</v>
      </c>
      <c r="O81">
        <f t="shared" si="18"/>
        <v>48</v>
      </c>
      <c r="P81">
        <f t="shared" si="19"/>
        <v>40</v>
      </c>
      <c r="Q81">
        <f>perhitungan!Q49</f>
        <v>90</v>
      </c>
      <c r="R81">
        <f t="shared" si="20"/>
        <v>12</v>
      </c>
      <c r="S81">
        <f t="shared" si="21"/>
        <v>175</v>
      </c>
      <c r="T81">
        <f t="shared" si="22"/>
        <v>100</v>
      </c>
      <c r="U81">
        <f>IF(U49&lt;konversi2!$V$7,konversi2!$W$7,IF(U49&lt;konversi2!$V$8,konversi2!$W$8,IF(U49&lt;konversi2!$V$9,konversi2!$W$9,IF(U49&lt;konversi2!$V$10,konversi2!$W$10,IF(U49&lt;konversi2!$V$11,konversi2!$W$11,IF(U49&gt;=konversi2!$V$12,konversi2!$W$12,"null"))))))</f>
        <v>0</v>
      </c>
      <c r="V81">
        <f>IF(V49&lt;konversi2!$Y$7,konversi2!$Z$7,IF(V49&lt;konversi2!$Y$8,konversi2!$Z$8,IF(V49&lt;konversi2!$Y$9,konversi2!$Z$9,IF(V49&lt;konversi2!$Y$10,konversi2!$Z$10,IF(V49&lt;konversi2!$Y$11,konversi2!$Z$11,IF(V49&lt;konversi2!$Y$12,konversi2!$Z$12,IF(V49&lt;konversi2!$Y$13,konversi2!$Z$13,IF(V49&gt;=konversi2!$Y$13,konversi2!$Z$14,"null"))))))))</f>
        <v>100</v>
      </c>
    </row>
    <row r="82" spans="1:22" x14ac:dyDescent="0.25">
      <c r="A82">
        <v>13</v>
      </c>
      <c r="B82">
        <f t="shared" si="11"/>
        <v>86.3</v>
      </c>
      <c r="C82" t="str">
        <f t="shared" si="12"/>
        <v>Iphone 15 Plus</v>
      </c>
      <c r="D82">
        <f>IF(D50&lt;=konversi2!$D$8,konversi2!$E$7,IF(D50&lt;=konversi2!$D$10,konversi2!$E$9,IF(D50&lt;=konversi2!$D$15,konversi2!$E$11,IF(D50&lt;=konversi2!$D$19,konversi2!$E$18,IF(D50&lt;=konversi2!$D$21,konversi2!$E$20,IF(D50&gt;konversi2!$D$23,konversi2!$E$22,"kosong"))))))</f>
        <v>40</v>
      </c>
      <c r="E82">
        <f>IF(E50&lt;=konversi2!$G$7,konversi2!$H$7,IF(E50&lt;=konversi2!$G$8,konversi2!$H$8,IF(E47&lt;=konversi2!$G$9,konversi2!$H$9,IF(E47&lt;=konversi2!$G$10,konversi2!$H$10,IF(E47&lt;=konversi2!$G$11,konversi2!$H$11,IF(E47&lt;=konversi2!$G$12,konversi2!$H$12,IF(E47&lt;konversi2!$G$13,konversi2!$H$13,IF(E47&gt;=konversi2!$G$13,konversi2!$H$14,"kosong"))))))))</f>
        <v>50</v>
      </c>
      <c r="F82">
        <f t="shared" si="13"/>
        <v>70</v>
      </c>
      <c r="G82">
        <f t="shared" si="14"/>
        <v>90</v>
      </c>
      <c r="H82">
        <f>IF(H50&lt;=konversi2!$L$7,konversi2!$M$7,IF(H50&lt;=konversi2!$L$8,konversi2!$M$8,IF(H50&lt;=konversi2!$L$9,konversi2!$M$9,IF(H50&lt;=konversi2!$L$10,konversi2!$M$10,IF(H50&lt;=konversi2!$L$11,konversi2!$M$11,IF(H50&lt;=konversi2!$L$12,konversi2!$M$12,IF(H50&lt;konversi2!$L$13,konversi2!$M$13,IF(H50&gt;=konversi2!$M$14,0))))))))</f>
        <v>90</v>
      </c>
      <c r="I82">
        <f>IF(I50&lt;konversi2!$O$7,konversi2!$P$7,IF(I50&lt;konversi2!$O$8,konversi2!$P$8,IF(I50&lt;konversi2!$O$9,konversi2!$P$9,IF(I50&gt;konversi2!$O$10,konversi2!$P$10,"null"))))</f>
        <v>75</v>
      </c>
      <c r="J82">
        <f t="shared" si="15"/>
        <v>90</v>
      </c>
      <c r="K82">
        <f t="shared" si="16"/>
        <v>78</v>
      </c>
      <c r="L82">
        <f t="shared" si="17"/>
        <v>8</v>
      </c>
      <c r="M82">
        <f>IF(M50=konversi2!$Q$7,konversi2!$R$7,IF(M50=konversi2!$Q$8,konversi2!$R$8,IF(M50=konversi2!$Q$9,konversi2!$R$9,"null")))</f>
        <v>50</v>
      </c>
      <c r="N82">
        <f>IF(N50=konversi2!$S$7,konversi2!$T$7,IF(N50=konversi2!$S$8,konversi2!$T$8,IF(N50=konversi2!$S$9,konversi2!$T$9,IF(N50=konversi2!$S$10,konversi2!$T$10,"null"))))</f>
        <v>25</v>
      </c>
      <c r="O82">
        <f t="shared" si="18"/>
        <v>48</v>
      </c>
      <c r="P82">
        <f t="shared" si="19"/>
        <v>20</v>
      </c>
      <c r="Q82">
        <f>perhitungan!Q50</f>
        <v>90</v>
      </c>
      <c r="R82">
        <f t="shared" si="20"/>
        <v>12</v>
      </c>
      <c r="S82">
        <f t="shared" si="21"/>
        <v>160</v>
      </c>
      <c r="T82">
        <f t="shared" si="22"/>
        <v>20</v>
      </c>
      <c r="U82">
        <f>IF(U50&lt;konversi2!$V$7,konversi2!$W$7,IF(U50&lt;konversi2!$V$8,konversi2!$W$8,IF(U50&lt;konversi2!$V$9,konversi2!$W$9,IF(U50&lt;konversi2!$V$10,konversi2!$W$10,IF(U50&lt;konversi2!$V$11,konversi2!$W$11,IF(U50&gt;=konversi2!$V$12,konversi2!$W$12,"null"))))))</f>
        <v>40</v>
      </c>
      <c r="V82">
        <f>IF(V50&lt;konversi2!$Y$7,konversi2!$Z$7,IF(V50&lt;konversi2!$Y$8,konversi2!$Z$8,IF(V50&lt;konversi2!$Y$9,konversi2!$Z$9,IF(V50&lt;konversi2!$Y$10,konversi2!$Z$10,IF(V50&lt;konversi2!$Y$11,konversi2!$Z$11,IF(V50&lt;konversi2!$Y$12,konversi2!$Z$12,IF(V50&lt;konversi2!$Y$13,konversi2!$Z$13,IF(V50&gt;=konversi2!$Y$13,konversi2!$Z$14,"null"))))))))</f>
        <v>50</v>
      </c>
    </row>
    <row r="83" spans="1:22" x14ac:dyDescent="0.25">
      <c r="A83">
        <v>14</v>
      </c>
      <c r="B83">
        <f t="shared" si="11"/>
        <v>86.3</v>
      </c>
      <c r="C83" t="str">
        <f t="shared" si="12"/>
        <v>Iphone 15 Plus</v>
      </c>
      <c r="D83">
        <f>IF(D51&lt;=konversi2!$D$8,konversi2!$E$7,IF(D51&lt;=konversi2!$D$10,konversi2!$E$9,IF(D51&lt;=konversi2!$D$15,konversi2!$E$11,IF(D51&lt;=konversi2!$D$19,konversi2!$E$18,IF(D51&lt;=konversi2!$D$21,konversi2!$E$20,IF(D51&gt;konversi2!$D$23,konversi2!$E$22,"kosong"))))))</f>
        <v>40</v>
      </c>
      <c r="E83">
        <f>IF(E51&lt;=konversi2!$G$7,konversi2!$H$7,IF(E51&lt;=konversi2!$G$8,konversi2!$H$8,IF(E48&lt;=konversi2!$G$9,konversi2!$H$9,IF(E48&lt;=konversi2!$G$10,konversi2!$H$10,IF(E48&lt;=konversi2!$G$11,konversi2!$H$11,IF(E48&lt;=konversi2!$G$12,konversi2!$H$12,IF(E48&lt;konversi2!$G$13,konversi2!$H$13,IF(E48&gt;=konversi2!$G$13,konversi2!$H$14,"kosong"))))))))</f>
        <v>50</v>
      </c>
      <c r="F83">
        <f t="shared" si="13"/>
        <v>70</v>
      </c>
      <c r="G83">
        <f t="shared" si="14"/>
        <v>90</v>
      </c>
      <c r="H83">
        <f>IF(H51&lt;=konversi2!$L$7,konversi2!$M$7,IF(H51&lt;=konversi2!$L$8,konversi2!$M$8,IF(H51&lt;=konversi2!$L$9,konversi2!$M$9,IF(H51&lt;=konversi2!$L$10,konversi2!$M$10,IF(H51&lt;=konversi2!$L$11,konversi2!$M$11,IF(H51&lt;=konversi2!$L$12,konversi2!$M$12,IF(H51&lt;konversi2!$L$13,konversi2!$M$13,IF(H51&gt;=konversi2!$M$14,0))))))))</f>
        <v>90</v>
      </c>
      <c r="I83">
        <f>IF(I51&lt;konversi2!$O$7,konversi2!$P$7,IF(I51&lt;konversi2!$O$8,konversi2!$P$8,IF(I51&lt;konversi2!$O$9,konversi2!$P$9,IF(I51&gt;konversi2!$O$10,konversi2!$P$10,"null"))))</f>
        <v>75</v>
      </c>
      <c r="J83">
        <f t="shared" si="15"/>
        <v>90</v>
      </c>
      <c r="K83">
        <f t="shared" si="16"/>
        <v>78</v>
      </c>
      <c r="L83">
        <f t="shared" si="17"/>
        <v>8</v>
      </c>
      <c r="M83">
        <f>IF(M51=konversi2!$Q$7,konversi2!$R$7,IF(M51=konversi2!$Q$8,konversi2!$R$8,IF(M51=konversi2!$Q$9,konversi2!$R$9,"null")))</f>
        <v>50</v>
      </c>
      <c r="N83">
        <f>IF(N51=konversi2!$S$7,konversi2!$T$7,IF(N51=konversi2!$S$8,konversi2!$T$8,IF(N51=konversi2!$S$9,konversi2!$T$9,IF(N51=konversi2!$S$10,konversi2!$T$10,"null"))))</f>
        <v>50</v>
      </c>
      <c r="O83">
        <f t="shared" si="18"/>
        <v>48</v>
      </c>
      <c r="P83">
        <f t="shared" si="19"/>
        <v>20</v>
      </c>
      <c r="Q83">
        <f>perhitungan!Q51</f>
        <v>90</v>
      </c>
      <c r="R83">
        <f t="shared" si="20"/>
        <v>12</v>
      </c>
      <c r="S83">
        <f t="shared" si="21"/>
        <v>160</v>
      </c>
      <c r="T83">
        <f t="shared" si="22"/>
        <v>20</v>
      </c>
      <c r="U83">
        <f>IF(U51&lt;konversi2!$V$7,konversi2!$W$7,IF(U51&lt;konversi2!$V$8,konversi2!$W$8,IF(U51&lt;konversi2!$V$9,konversi2!$W$9,IF(U51&lt;konversi2!$V$10,konversi2!$W$10,IF(U51&lt;konversi2!$V$11,konversi2!$W$11,IF(U51&gt;=konversi2!$V$12,konversi2!$W$12,"null"))))))</f>
        <v>40</v>
      </c>
      <c r="V83">
        <f>IF(V51&lt;konversi2!$Y$7,konversi2!$Z$7,IF(V51&lt;konversi2!$Y$8,konversi2!$Z$8,IF(V51&lt;konversi2!$Y$9,konversi2!$Z$9,IF(V51&lt;konversi2!$Y$10,konversi2!$Z$10,IF(V51&lt;konversi2!$Y$11,konversi2!$Z$11,IF(V51&lt;konversi2!$Y$12,konversi2!$Z$12,IF(V51&lt;konversi2!$Y$13,konversi2!$Z$13,IF(V51&gt;=konversi2!$Y$13,konversi2!$Z$14,"null"))))))))</f>
        <v>60</v>
      </c>
    </row>
    <row r="84" spans="1:22" x14ac:dyDescent="0.25">
      <c r="A84">
        <v>15</v>
      </c>
      <c r="B84">
        <f t="shared" si="11"/>
        <v>86.3</v>
      </c>
      <c r="C84" t="str">
        <f t="shared" si="12"/>
        <v>Iphone 15 Plus</v>
      </c>
      <c r="D84">
        <f>IF(D52&lt;=konversi2!$D$8,konversi2!$E$7,IF(D52&lt;=konversi2!$D$10,konversi2!$E$9,IF(D52&lt;=konversi2!$D$15,konversi2!$E$11,IF(D52&lt;=konversi2!$D$19,konversi2!$E$18,IF(D52&lt;=konversi2!$D$21,konversi2!$E$20,IF(D52&gt;konversi2!$D$23,konversi2!$E$22,"kosong"))))))</f>
        <v>40</v>
      </c>
      <c r="E84">
        <f>IF(E52&lt;=konversi2!$G$7,konversi2!$H$7,IF(E52&lt;=konversi2!$G$8,konversi2!$H$8,IF(E49&lt;=konversi2!$G$9,konversi2!$H$9,IF(E49&lt;=konversi2!$G$10,konversi2!$H$10,IF(E49&lt;=konversi2!$G$11,konversi2!$H$11,IF(E49&lt;=konversi2!$G$12,konversi2!$H$12,IF(E49&lt;konversi2!$G$13,konversi2!$H$13,IF(E49&gt;=konversi2!$G$13,konversi2!$H$14,"kosong"))))))))</f>
        <v>50</v>
      </c>
      <c r="F84">
        <f t="shared" si="13"/>
        <v>160</v>
      </c>
      <c r="G84">
        <f t="shared" si="14"/>
        <v>90</v>
      </c>
      <c r="H84">
        <f>IF(H52&lt;=konversi2!$L$7,konversi2!$M$7,IF(H52&lt;=konversi2!$L$8,konversi2!$M$8,IF(H52&lt;=konversi2!$L$9,konversi2!$M$9,IF(H52&lt;=konversi2!$L$10,konversi2!$M$10,IF(H52&lt;=konversi2!$L$11,konversi2!$M$11,IF(H52&lt;=konversi2!$L$12,konversi2!$M$12,IF(H52&lt;konversi2!$L$13,konversi2!$M$13,IF(H52&gt;=konversi2!$M$14,0))))))))</f>
        <v>90</v>
      </c>
      <c r="I84">
        <f>IF(I52&lt;konversi2!$O$7,konversi2!$P$7,IF(I52&lt;konversi2!$O$8,konversi2!$P$8,IF(I52&lt;konversi2!$O$9,konversi2!$P$9,IF(I52&gt;konversi2!$O$10,konversi2!$P$10,"null"))))</f>
        <v>75</v>
      </c>
      <c r="J84">
        <f t="shared" si="15"/>
        <v>90</v>
      </c>
      <c r="K84">
        <f t="shared" si="16"/>
        <v>78</v>
      </c>
      <c r="L84">
        <f t="shared" si="17"/>
        <v>8</v>
      </c>
      <c r="M84">
        <f>IF(M52=konversi2!$Q$7,konversi2!$R$7,IF(M52=konversi2!$Q$8,konversi2!$R$8,IF(M52=konversi2!$Q$9,konversi2!$R$9,"null")))</f>
        <v>50</v>
      </c>
      <c r="N84">
        <f>IF(N52=konversi2!$S$7,konversi2!$T$7,IF(N52=konversi2!$S$8,konversi2!$T$8,IF(N52=konversi2!$S$9,konversi2!$T$9,IF(N52=konversi2!$S$10,konversi2!$T$10,"null"))))</f>
        <v>75</v>
      </c>
      <c r="O84">
        <f t="shared" si="18"/>
        <v>48</v>
      </c>
      <c r="P84">
        <f t="shared" si="19"/>
        <v>20</v>
      </c>
      <c r="Q84">
        <f>perhitungan!Q52</f>
        <v>90</v>
      </c>
      <c r="R84">
        <f t="shared" si="20"/>
        <v>12</v>
      </c>
      <c r="S84">
        <f t="shared" si="21"/>
        <v>160</v>
      </c>
      <c r="T84">
        <f t="shared" si="22"/>
        <v>20</v>
      </c>
      <c r="U84">
        <f>IF(U52&lt;konversi2!$V$7,konversi2!$W$7,IF(U52&lt;konversi2!$V$8,konversi2!$W$8,IF(U52&lt;konversi2!$V$9,konversi2!$W$9,IF(U52&lt;konversi2!$V$10,konversi2!$W$10,IF(U52&lt;konversi2!$V$11,konversi2!$W$11,IF(U52&gt;=konversi2!$V$12,konversi2!$W$12,"null"))))))</f>
        <v>40</v>
      </c>
      <c r="V84">
        <f>IF(V52&lt;konversi2!$Y$7,konversi2!$Z$7,IF(V52&lt;konversi2!$Y$8,konversi2!$Z$8,IF(V52&lt;konversi2!$Y$9,konversi2!$Z$9,IF(V52&lt;konversi2!$Y$10,konversi2!$Z$10,IF(V52&lt;konversi2!$Y$11,konversi2!$Z$11,IF(V52&lt;konversi2!$Y$12,konversi2!$Z$12,IF(V52&lt;konversi2!$Y$13,konversi2!$Z$13,IF(V52&gt;=konversi2!$Y$13,konversi2!$Z$14,"null"))))))))</f>
        <v>80</v>
      </c>
    </row>
    <row r="85" spans="1:22" x14ac:dyDescent="0.25">
      <c r="A85">
        <v>16</v>
      </c>
      <c r="B85">
        <f t="shared" si="11"/>
        <v>86.3</v>
      </c>
      <c r="C85" t="str">
        <f t="shared" si="12"/>
        <v>Iphone 15</v>
      </c>
      <c r="D85">
        <f>IF(D53&lt;=konversi2!$D$8,konversi2!$E$7,IF(D53&lt;=konversi2!$D$10,konversi2!$E$9,IF(D53&lt;=konversi2!$D$15,konversi2!$E$11,IF(D53&lt;=konversi2!$D$19,konversi2!$E$18,IF(D53&lt;=konversi2!$D$21,konversi2!$E$20,IF(D53&gt;konversi2!$D$23,konversi2!$E$22,"kosong"))))))</f>
        <v>20</v>
      </c>
      <c r="E85">
        <f>IF(E53&lt;=konversi2!$G$7,konversi2!$H$7,IF(E53&lt;=konversi2!$G$8,konversi2!$H$8,IF(E50&lt;=konversi2!$G$9,konversi2!$H$9,IF(E50&lt;=konversi2!$G$10,konversi2!$H$10,IF(E50&lt;=konversi2!$G$11,konversi2!$H$11,IF(E50&lt;=konversi2!$G$12,konversi2!$H$12,IF(E50&lt;konversi2!$G$13,konversi2!$H$13,IF(E50&gt;=konversi2!$G$13,konversi2!$H$14,"kosong"))))))))</f>
        <v>40</v>
      </c>
      <c r="F85">
        <f t="shared" si="13"/>
        <v>70</v>
      </c>
      <c r="G85">
        <f t="shared" si="14"/>
        <v>90</v>
      </c>
      <c r="H85">
        <f>IF(H53&lt;=konversi2!$L$7,konversi2!$M$7,IF(H53&lt;=konversi2!$L$8,konversi2!$M$8,IF(H53&lt;=konversi2!$L$9,konversi2!$M$9,IF(H53&lt;=konversi2!$L$10,konversi2!$M$10,IF(H53&lt;=konversi2!$L$11,konversi2!$M$11,IF(H53&lt;=konversi2!$L$12,konversi2!$M$12,IF(H53&lt;konversi2!$L$13,konversi2!$M$13,IF(H53&gt;=konversi2!$M$14,0))))))))</f>
        <v>50</v>
      </c>
      <c r="I85">
        <f>IF(I53&lt;konversi2!$O$7,konversi2!$P$7,IF(I53&lt;konversi2!$O$8,konversi2!$P$8,IF(I53&lt;konversi2!$O$9,konversi2!$P$9,IF(I53&gt;konversi2!$O$10,konversi2!$P$10,"null"))))</f>
        <v>50</v>
      </c>
      <c r="J85">
        <f t="shared" si="15"/>
        <v>90</v>
      </c>
      <c r="K85">
        <f t="shared" si="16"/>
        <v>78</v>
      </c>
      <c r="L85">
        <f t="shared" si="17"/>
        <v>8</v>
      </c>
      <c r="M85">
        <f>IF(M53=konversi2!$Q$7,konversi2!$R$7,IF(M53=konversi2!$Q$8,konversi2!$R$8,IF(M53=konversi2!$Q$9,konversi2!$R$9,"null")))</f>
        <v>50</v>
      </c>
      <c r="N85">
        <f>IF(N53=konversi2!$S$7,konversi2!$T$7,IF(N53=konversi2!$S$8,konversi2!$T$8,IF(N53=konversi2!$S$9,konversi2!$T$9,IF(N53=konversi2!$S$10,konversi2!$T$10,"null"))))</f>
        <v>25</v>
      </c>
      <c r="O85">
        <f t="shared" si="18"/>
        <v>48</v>
      </c>
      <c r="P85">
        <f t="shared" si="19"/>
        <v>20</v>
      </c>
      <c r="Q85">
        <f>perhitungan!Q53</f>
        <v>90</v>
      </c>
      <c r="R85">
        <f t="shared" si="20"/>
        <v>12</v>
      </c>
      <c r="S85">
        <f t="shared" si="21"/>
        <v>160</v>
      </c>
      <c r="T85">
        <f t="shared" si="22"/>
        <v>20</v>
      </c>
      <c r="U85">
        <f>IF(U53&lt;konversi2!$V$7,konversi2!$W$7,IF(U53&lt;konversi2!$V$8,konversi2!$W$8,IF(U53&lt;konversi2!$V$9,konversi2!$W$9,IF(U53&lt;konversi2!$V$10,konversi2!$W$10,IF(U53&lt;konversi2!$V$11,konversi2!$W$11,IF(U53&gt;=konversi2!$V$12,konversi2!$W$12,"null"))))))</f>
        <v>0</v>
      </c>
      <c r="V85">
        <f>IF(V53&lt;konversi2!$Y$7,konversi2!$Z$7,IF(V53&lt;konversi2!$Y$8,konversi2!$Z$8,IF(V53&lt;konversi2!$Y$9,konversi2!$Z$9,IF(V53&lt;konversi2!$Y$10,konversi2!$Z$10,IF(V53&lt;konversi2!$Y$11,konversi2!$Z$11,IF(V53&lt;konversi2!$Y$12,konversi2!$Z$12,IF(V53&lt;konversi2!$Y$13,konversi2!$Z$13,IF(V53&gt;=konversi2!$Y$13,konversi2!$Z$14,"null"))))))))</f>
        <v>50</v>
      </c>
    </row>
    <row r="86" spans="1:22" x14ac:dyDescent="0.25">
      <c r="A86">
        <v>17</v>
      </c>
      <c r="B86">
        <f t="shared" si="11"/>
        <v>86.3</v>
      </c>
      <c r="C86" t="str">
        <f t="shared" si="12"/>
        <v>Iphone 15</v>
      </c>
      <c r="D86">
        <f>IF(D54&lt;=konversi2!$D$8,konversi2!$E$7,IF(D54&lt;=konversi2!$D$10,konversi2!$E$9,IF(D54&lt;=konversi2!$D$15,konversi2!$E$11,IF(D54&lt;=konversi2!$D$19,konversi2!$E$18,IF(D54&lt;=konversi2!$D$21,konversi2!$E$20,IF(D54&gt;konversi2!$D$23,konversi2!$E$22,"kosong"))))))</f>
        <v>20</v>
      </c>
      <c r="E86">
        <f>IF(E54&lt;=konversi2!$G$7,konversi2!$H$7,IF(E54&lt;=konversi2!$G$8,konversi2!$H$8,IF(E51&lt;=konversi2!$G$9,konversi2!$H$9,IF(E51&lt;=konversi2!$G$10,konversi2!$H$10,IF(E51&lt;=konversi2!$G$11,konversi2!$H$11,IF(E51&lt;=konversi2!$G$12,konversi2!$H$12,IF(E51&lt;konversi2!$G$13,konversi2!$H$13,IF(E51&gt;=konversi2!$G$13,konversi2!$H$14,"kosong"))))))))</f>
        <v>40</v>
      </c>
      <c r="F86">
        <f t="shared" si="13"/>
        <v>70</v>
      </c>
      <c r="G86">
        <f t="shared" si="14"/>
        <v>90</v>
      </c>
      <c r="H86">
        <f>IF(H54&lt;=konversi2!$L$7,konversi2!$M$7,IF(H54&lt;=konversi2!$L$8,konversi2!$M$8,IF(H54&lt;=konversi2!$L$9,konversi2!$M$9,IF(H54&lt;=konversi2!$L$10,konversi2!$M$10,IF(H54&lt;=konversi2!$L$11,konversi2!$M$11,IF(H54&lt;=konversi2!$L$12,konversi2!$M$12,IF(H54&lt;konversi2!$L$13,konversi2!$M$13,IF(H54&gt;=konversi2!$M$14,0))))))))</f>
        <v>50</v>
      </c>
      <c r="I86">
        <f>IF(I54&lt;konversi2!$O$7,konversi2!$P$7,IF(I54&lt;konversi2!$O$8,konversi2!$P$8,IF(I54&lt;konversi2!$O$9,konversi2!$P$9,IF(I54&gt;konversi2!$O$10,konversi2!$P$10,"null"))))</f>
        <v>50</v>
      </c>
      <c r="J86">
        <f t="shared" si="15"/>
        <v>90</v>
      </c>
      <c r="K86">
        <f t="shared" si="16"/>
        <v>78</v>
      </c>
      <c r="L86">
        <f t="shared" si="17"/>
        <v>8</v>
      </c>
      <c r="M86">
        <f>IF(M54=konversi2!$Q$7,konversi2!$R$7,IF(M54=konversi2!$Q$8,konversi2!$R$8,IF(M54=konversi2!$Q$9,konversi2!$R$9,"null")))</f>
        <v>50</v>
      </c>
      <c r="N86">
        <f>IF(N54=konversi2!$S$7,konversi2!$T$7,IF(N54=konversi2!$S$8,konversi2!$T$8,IF(N54=konversi2!$S$9,konversi2!$T$9,IF(N54=konversi2!$S$10,konversi2!$T$10,"null"))))</f>
        <v>50</v>
      </c>
      <c r="O86">
        <f t="shared" si="18"/>
        <v>48</v>
      </c>
      <c r="P86">
        <f t="shared" si="19"/>
        <v>20</v>
      </c>
      <c r="Q86">
        <f>perhitungan!Q54</f>
        <v>90</v>
      </c>
      <c r="R86">
        <f t="shared" si="20"/>
        <v>12</v>
      </c>
      <c r="S86">
        <f t="shared" si="21"/>
        <v>160</v>
      </c>
      <c r="T86">
        <f t="shared" si="22"/>
        <v>20</v>
      </c>
      <c r="U86">
        <f>IF(U54&lt;konversi2!$V$7,konversi2!$W$7,IF(U54&lt;konversi2!$V$8,konversi2!$W$8,IF(U54&lt;konversi2!$V$9,konversi2!$W$9,IF(U54&lt;konversi2!$V$10,konversi2!$W$10,IF(U54&lt;konversi2!$V$11,konversi2!$W$11,IF(U54&gt;=konversi2!$V$12,konversi2!$W$12,"null"))))))</f>
        <v>0</v>
      </c>
      <c r="V86">
        <f>IF(V54&lt;konversi2!$Y$7,konversi2!$Z$7,IF(V54&lt;konversi2!$Y$8,konversi2!$Z$8,IF(V54&lt;konversi2!$Y$9,konversi2!$Z$9,IF(V54&lt;konversi2!$Y$10,konversi2!$Z$10,IF(V54&lt;konversi2!$Y$11,konversi2!$Z$11,IF(V54&lt;konversi2!$Y$12,konversi2!$Z$12,IF(V54&lt;konversi2!$Y$13,konversi2!$Z$13,IF(V54&gt;=konversi2!$Y$13,konversi2!$Z$14,"null"))))))))</f>
        <v>60</v>
      </c>
    </row>
    <row r="87" spans="1:22" x14ac:dyDescent="0.25">
      <c r="A87">
        <v>18</v>
      </c>
      <c r="B87">
        <f t="shared" si="11"/>
        <v>86.3</v>
      </c>
      <c r="C87" t="str">
        <f t="shared" si="12"/>
        <v>Iphone 15</v>
      </c>
      <c r="D87">
        <f>IF(D55&lt;=konversi2!$D$8,konversi2!$E$7,IF(D55&lt;=konversi2!$D$10,konversi2!$E$9,IF(D55&lt;=konversi2!$D$15,konversi2!$E$11,IF(D55&lt;=konversi2!$D$19,konversi2!$E$18,IF(D55&lt;=konversi2!$D$21,konversi2!$E$20,IF(D55&gt;konversi2!$D$23,konversi2!$E$22,"kosong"))))))</f>
        <v>20</v>
      </c>
      <c r="E87">
        <f>IF(E55&lt;=konversi2!$G$7,konversi2!$H$7,IF(E55&lt;=konversi2!$G$8,konversi2!$H$8,IF(E52&lt;=konversi2!$G$9,konversi2!$H$9,IF(E52&lt;=konversi2!$G$10,konversi2!$H$10,IF(E52&lt;=konversi2!$G$11,konversi2!$H$11,IF(E52&lt;=konversi2!$G$12,konversi2!$H$12,IF(E52&lt;konversi2!$G$13,konversi2!$H$13,IF(E52&gt;=konversi2!$G$13,konversi2!$H$14,"kosong"))))))))</f>
        <v>40</v>
      </c>
      <c r="F87">
        <f t="shared" si="13"/>
        <v>70</v>
      </c>
      <c r="G87">
        <f t="shared" si="14"/>
        <v>90</v>
      </c>
      <c r="H87">
        <f>IF(H55&lt;=konversi2!$L$7,konversi2!$M$7,IF(H55&lt;=konversi2!$L$8,konversi2!$M$8,IF(H55&lt;=konversi2!$L$9,konversi2!$M$9,IF(H55&lt;=konversi2!$L$10,konversi2!$M$10,IF(H55&lt;=konversi2!$L$11,konversi2!$M$11,IF(H55&lt;=konversi2!$L$12,konversi2!$M$12,IF(H55&lt;konversi2!$L$13,konversi2!$M$13,IF(H55&gt;=konversi2!$M$14,0))))))))</f>
        <v>50</v>
      </c>
      <c r="I87">
        <f>IF(I55&lt;konversi2!$O$7,konversi2!$P$7,IF(I55&lt;konversi2!$O$8,konversi2!$P$8,IF(I55&lt;konversi2!$O$9,konversi2!$P$9,IF(I55&gt;konversi2!$O$10,konversi2!$P$10,"null"))))</f>
        <v>50</v>
      </c>
      <c r="J87">
        <f t="shared" si="15"/>
        <v>90</v>
      </c>
      <c r="K87">
        <f t="shared" si="16"/>
        <v>78</v>
      </c>
      <c r="L87">
        <f t="shared" si="17"/>
        <v>8</v>
      </c>
      <c r="M87">
        <f>IF(M55=konversi2!$Q$7,konversi2!$R$7,IF(M55=konversi2!$Q$8,konversi2!$R$8,IF(M55=konversi2!$Q$9,konversi2!$R$9,"null")))</f>
        <v>50</v>
      </c>
      <c r="N87">
        <f>IF(N55=konversi2!$S$7,konversi2!$T$7,IF(N55=konversi2!$S$8,konversi2!$T$8,IF(N55=konversi2!$S$9,konversi2!$T$9,IF(N55=konversi2!$S$10,konversi2!$T$10,"null"))))</f>
        <v>75</v>
      </c>
      <c r="O87">
        <f t="shared" si="18"/>
        <v>48</v>
      </c>
      <c r="P87">
        <f t="shared" si="19"/>
        <v>20</v>
      </c>
      <c r="Q87">
        <f>perhitungan!Q55</f>
        <v>90</v>
      </c>
      <c r="R87">
        <f t="shared" si="20"/>
        <v>12</v>
      </c>
      <c r="S87">
        <f t="shared" si="21"/>
        <v>160</v>
      </c>
      <c r="T87">
        <f t="shared" si="22"/>
        <v>20</v>
      </c>
      <c r="U87">
        <f>IF(U55&lt;konversi2!$V$7,konversi2!$W$7,IF(U55&lt;konversi2!$V$8,konversi2!$W$8,IF(U55&lt;konversi2!$V$9,konversi2!$W$9,IF(U55&lt;konversi2!$V$10,konversi2!$W$10,IF(U55&lt;konversi2!$V$11,konversi2!$W$11,IF(U55&gt;=konversi2!$V$12,konversi2!$W$12,"null"))))))</f>
        <v>0</v>
      </c>
      <c r="V87">
        <f>IF(V55&lt;konversi2!$Y$7,konversi2!$Z$7,IF(V55&lt;konversi2!$Y$8,konversi2!$Z$8,IF(V55&lt;konversi2!$Y$9,konversi2!$Z$9,IF(V55&lt;konversi2!$Y$10,konversi2!$Z$10,IF(V55&lt;konversi2!$Y$11,konversi2!$Z$11,IF(V55&lt;konversi2!$Y$12,konversi2!$Z$12,IF(V55&lt;konversi2!$Y$13,konversi2!$Z$13,IF(V55&gt;=konversi2!$Y$13,konversi2!$Z$14,"null"))))))))</f>
        <v>80</v>
      </c>
    </row>
    <row r="88" spans="1:22" x14ac:dyDescent="0.25">
      <c r="A88">
        <v>19</v>
      </c>
      <c r="B88">
        <f t="shared" si="11"/>
        <v>79.3</v>
      </c>
      <c r="C88" t="str">
        <f t="shared" si="12"/>
        <v>Galaxy S24</v>
      </c>
      <c r="D88">
        <f>IF(D56&lt;=konversi2!$D$8,konversi2!$E$7,IF(D56&lt;=konversi2!$D$10,konversi2!$E$9,IF(D56&lt;=konversi2!$D$15,konversi2!$E$11,IF(D56&lt;=konversi2!$D$19,konversi2!$E$18,IF(D56&lt;=konversi2!$D$21,konversi2!$E$20,IF(D56&gt;konversi2!$D$23,konversi2!$E$22,"kosong"))))))</f>
        <v>0</v>
      </c>
      <c r="E88">
        <f>IF(E56&lt;=konversi2!$G$7,konversi2!$H$7,IF(E56&lt;=konversi2!$G$8,konversi2!$H$8,IF(E53&lt;=konversi2!$G$9,konversi2!$H$9,IF(E53&lt;=konversi2!$G$10,konversi2!$H$10,IF(E53&lt;=konversi2!$G$11,konversi2!$H$11,IF(E53&lt;=konversi2!$G$12,konversi2!$H$12,IF(E53&lt;konversi2!$G$13,konversi2!$H$13,IF(E53&gt;=konversi2!$G$13,konversi2!$H$14,"kosong"))))))))</f>
        <v>30</v>
      </c>
      <c r="F88">
        <f t="shared" si="13"/>
        <v>160</v>
      </c>
      <c r="G88">
        <f t="shared" si="14"/>
        <v>85</v>
      </c>
      <c r="H88">
        <f>IF(H56&lt;=konversi2!$L$7,konversi2!$M$7,IF(H56&lt;=konversi2!$L$8,konversi2!$M$8,IF(H56&lt;=konversi2!$L$9,konversi2!$M$9,IF(H56&lt;=konversi2!$L$10,konversi2!$M$10,IF(H56&lt;=konversi2!$L$11,konversi2!$M$11,IF(H56&lt;=konversi2!$L$12,konversi2!$M$12,IF(H56&lt;konversi2!$L$13,konversi2!$M$13,IF(H56&gt;=konversi2!$M$14,0))))))))</f>
        <v>50</v>
      </c>
      <c r="I88">
        <f>IF(I56&lt;konversi2!$O$7,konversi2!$P$7,IF(I56&lt;konversi2!$O$8,konversi2!$P$8,IF(I56&lt;konversi2!$O$9,konversi2!$P$9,IF(I56&gt;konversi2!$O$10,konversi2!$P$10,"null"))))</f>
        <v>25</v>
      </c>
      <c r="J88">
        <f t="shared" si="15"/>
        <v>80</v>
      </c>
      <c r="K88">
        <f t="shared" si="16"/>
        <v>85</v>
      </c>
      <c r="L88">
        <f t="shared" si="17"/>
        <v>10</v>
      </c>
      <c r="M88">
        <f>IF(M56=konversi2!$Q$7,konversi2!$R$7,IF(M56=konversi2!$Q$8,konversi2!$R$8,IF(M56=konversi2!$Q$9,konversi2!$R$9,"null")))</f>
        <v>50</v>
      </c>
      <c r="N88">
        <f>IF(N56=konversi2!$S$7,konversi2!$T$7,IF(N56=konversi2!$S$8,konversi2!$T$8,IF(N56=konversi2!$S$9,konversi2!$T$9,IF(N56=konversi2!$S$10,konversi2!$T$10,"null"))))</f>
        <v>75</v>
      </c>
      <c r="O88">
        <f t="shared" si="18"/>
        <v>50</v>
      </c>
      <c r="P88">
        <f t="shared" si="19"/>
        <v>40</v>
      </c>
      <c r="Q88">
        <f>perhitungan!Q56</f>
        <v>240</v>
      </c>
      <c r="R88">
        <f t="shared" si="20"/>
        <v>12</v>
      </c>
      <c r="S88">
        <f t="shared" si="21"/>
        <v>140</v>
      </c>
      <c r="T88">
        <f t="shared" si="22"/>
        <v>100</v>
      </c>
      <c r="U88">
        <f>IF(U56&lt;konversi2!$V$7,konversi2!$W$7,IF(U56&lt;konversi2!$V$8,konversi2!$W$8,IF(U56&lt;konversi2!$V$9,konversi2!$W$9,IF(U56&lt;konversi2!$V$10,konversi2!$W$10,IF(U56&lt;konversi2!$V$11,konversi2!$W$11,IF(U56&gt;=konversi2!$V$12,konversi2!$W$12,"null"))))))</f>
        <v>40</v>
      </c>
      <c r="V88">
        <f>IF(V56&lt;konversi2!$Y$7,konversi2!$Z$7,IF(V56&lt;konversi2!$Y$8,konversi2!$Z$8,IF(V56&lt;konversi2!$Y$9,konversi2!$Z$9,IF(V56&lt;konversi2!$Y$10,konversi2!$Z$10,IF(V56&lt;konversi2!$Y$11,konversi2!$Z$11,IF(V56&lt;konversi2!$Y$12,konversi2!$Z$12,IF(V56&lt;konversi2!$Y$13,konversi2!$Z$13,IF(V56&gt;=konversi2!$Y$13,konversi2!$Z$14,"null"))))))))</f>
        <v>50</v>
      </c>
    </row>
    <row r="89" spans="1:22" x14ac:dyDescent="0.25">
      <c r="A89">
        <v>20</v>
      </c>
      <c r="B89">
        <f t="shared" si="11"/>
        <v>79.3</v>
      </c>
      <c r="C89" t="str">
        <f t="shared" si="12"/>
        <v>Galaxy S24 Ultra</v>
      </c>
      <c r="D89">
        <f>IF(D57&lt;=konversi2!$D$8,konversi2!$E$7,IF(D57&lt;=konversi2!$D$10,konversi2!$E$9,IF(D57&lt;=konversi2!$D$15,konversi2!$E$11,IF(D57&lt;=konversi2!$D$19,konversi2!$E$18,IF(D57&lt;=konversi2!$D$21,konversi2!$E$20,IF(D57&gt;konversi2!$D$23,konversi2!$E$22,"kosong"))))))</f>
        <v>80</v>
      </c>
      <c r="E89">
        <f>IF(E57&lt;=konversi2!$G$7,konversi2!$H$7,IF(E57&lt;=konversi2!$G$8,konversi2!$H$8,IF(E54&lt;=konversi2!$G$9,konversi2!$H$9,IF(E54&lt;=konversi2!$G$10,konversi2!$H$10,IF(E54&lt;=konversi2!$G$11,konversi2!$H$11,IF(E54&lt;=konversi2!$G$12,konversi2!$H$12,IF(E54&lt;konversi2!$G$13,konversi2!$H$13,IF(E54&gt;=konversi2!$G$13,konversi2!$H$14,"kosong"))))))))</f>
        <v>50</v>
      </c>
      <c r="F89">
        <f t="shared" si="13"/>
        <v>160</v>
      </c>
      <c r="G89">
        <f t="shared" si="14"/>
        <v>85</v>
      </c>
      <c r="H89">
        <f>IF(H57&lt;=konversi2!$L$7,konversi2!$M$7,IF(H57&lt;=konversi2!$L$8,konversi2!$M$8,IF(H57&lt;=konversi2!$L$9,konversi2!$M$9,IF(H57&lt;=konversi2!$L$10,konversi2!$M$10,IF(H57&lt;=konversi2!$L$11,konversi2!$M$11,IF(H57&lt;=konversi2!$L$12,konversi2!$M$12,IF(H57&lt;konversi2!$L$13,konversi2!$M$13,IF(H57&gt;=konversi2!$M$14,0))))))))</f>
        <v>90</v>
      </c>
      <c r="I89">
        <f>IF(I57&lt;konversi2!$O$7,konversi2!$P$7,IF(I57&lt;konversi2!$O$8,konversi2!$P$8,IF(I57&lt;konversi2!$O$9,konversi2!$P$9,IF(I57&gt;konversi2!$O$10,konversi2!$P$10,"null"))))</f>
        <v>100</v>
      </c>
      <c r="J89">
        <f t="shared" si="15"/>
        <v>80</v>
      </c>
      <c r="K89">
        <f t="shared" si="16"/>
        <v>85</v>
      </c>
      <c r="L89">
        <f t="shared" si="17"/>
        <v>10</v>
      </c>
      <c r="M89">
        <f>IF(M57=konversi2!$Q$7,konversi2!$R$7,IF(M57=konversi2!$Q$8,konversi2!$R$8,IF(M57=konversi2!$Q$9,konversi2!$R$9,"null")))</f>
        <v>75</v>
      </c>
      <c r="N89">
        <f>IF(N57=konversi2!$S$7,konversi2!$T$7,IF(N57=konversi2!$S$8,konversi2!$T$8,IF(N57=konversi2!$S$9,konversi2!$T$9,IF(N57=konversi2!$S$10,konversi2!$T$10,"null"))))</f>
        <v>75</v>
      </c>
      <c r="O89">
        <f t="shared" si="18"/>
        <v>200</v>
      </c>
      <c r="P89">
        <f t="shared" si="19"/>
        <v>60</v>
      </c>
      <c r="Q89">
        <f>perhitungan!Q57</f>
        <v>255</v>
      </c>
      <c r="R89">
        <f t="shared" si="20"/>
        <v>12</v>
      </c>
      <c r="S89">
        <f t="shared" si="21"/>
        <v>140</v>
      </c>
      <c r="T89">
        <f t="shared" si="22"/>
        <v>100</v>
      </c>
      <c r="U89">
        <f>IF(U57&lt;konversi2!$V$7,konversi2!$W$7,IF(U57&lt;konversi2!$V$8,konversi2!$W$8,IF(U57&lt;konversi2!$V$9,konversi2!$W$9,IF(U57&lt;konversi2!$V$10,konversi2!$W$10,IF(U57&lt;konversi2!$V$11,konversi2!$W$11,IF(U57&gt;=konversi2!$V$12,konversi2!$W$12,"null"))))))</f>
        <v>80</v>
      </c>
      <c r="V89">
        <f>IF(V57&lt;konversi2!$Y$7,konversi2!$Z$7,IF(V57&lt;konversi2!$Y$8,konversi2!$Z$8,IF(V57&lt;konversi2!$Y$9,konversi2!$Z$9,IF(V57&lt;konversi2!$Y$10,konversi2!$Z$10,IF(V57&lt;konversi2!$Y$11,konversi2!$Z$11,IF(V57&lt;konversi2!$Y$12,konversi2!$Z$12,IF(V57&lt;konversi2!$Y$13,konversi2!$Z$13,IF(V57&gt;=konversi2!$Y$13,konversi2!$Z$14,"null"))))))))</f>
        <v>80</v>
      </c>
    </row>
    <row r="90" spans="1:22" x14ac:dyDescent="0.25">
      <c r="A90">
        <v>21</v>
      </c>
      <c r="B90">
        <f t="shared" si="11"/>
        <v>79.3</v>
      </c>
      <c r="C90" t="str">
        <f t="shared" si="12"/>
        <v>Galaxy S24 Ultra</v>
      </c>
      <c r="D90">
        <f>IF(D58&lt;=konversi2!$D$8,konversi2!$E$7,IF(D58&lt;=konversi2!$D$10,konversi2!$E$9,IF(D58&lt;=konversi2!$D$15,konversi2!$E$11,IF(D58&lt;=konversi2!$D$19,konversi2!$E$18,IF(D58&lt;=konversi2!$D$21,konversi2!$E$20,IF(D58&gt;konversi2!$D$23,konversi2!$E$22,"kosong"))))))</f>
        <v>80</v>
      </c>
      <c r="E90">
        <f>IF(E58&lt;=konversi2!$G$7,konversi2!$H$7,IF(E58&lt;=konversi2!$G$8,konversi2!$H$8,IF(E55&lt;=konversi2!$G$9,konversi2!$H$9,IF(E55&lt;=konversi2!$G$10,konversi2!$H$10,IF(E55&lt;=konversi2!$G$11,konversi2!$H$11,IF(E55&lt;=konversi2!$G$12,konversi2!$H$12,IF(E55&lt;konversi2!$G$13,konversi2!$H$13,IF(E55&gt;=konversi2!$G$13,konversi2!$H$14,"kosong"))))))))</f>
        <v>50</v>
      </c>
      <c r="F90">
        <f t="shared" si="13"/>
        <v>160</v>
      </c>
      <c r="G90">
        <f t="shared" si="14"/>
        <v>85</v>
      </c>
      <c r="H90">
        <f>IF(H58&lt;=konversi2!$L$7,konversi2!$M$7,IF(H58&lt;=konversi2!$L$8,konversi2!$M$8,IF(H58&lt;=konversi2!$L$9,konversi2!$M$9,IF(H58&lt;=konversi2!$L$10,konversi2!$M$10,IF(H58&lt;=konversi2!$L$11,konversi2!$M$11,IF(H58&lt;=konversi2!$L$12,konversi2!$M$12,IF(H58&lt;konversi2!$L$13,konversi2!$M$13,IF(H58&gt;=konversi2!$M$14,0))))))))</f>
        <v>90</v>
      </c>
      <c r="I90">
        <f>IF(I58&lt;konversi2!$O$7,konversi2!$P$7,IF(I58&lt;konversi2!$O$8,konversi2!$P$8,IF(I58&lt;konversi2!$O$9,konversi2!$P$9,IF(I58&gt;konversi2!$O$10,konversi2!$P$10,"null"))))</f>
        <v>100</v>
      </c>
      <c r="J90">
        <f t="shared" si="15"/>
        <v>80</v>
      </c>
      <c r="K90">
        <f t="shared" si="16"/>
        <v>85</v>
      </c>
      <c r="L90">
        <f t="shared" si="17"/>
        <v>10</v>
      </c>
      <c r="M90">
        <f>IF(M58=konversi2!$Q$7,konversi2!$R$7,IF(M58=konversi2!$Q$8,konversi2!$R$8,IF(M58=konversi2!$Q$9,konversi2!$R$9,"null")))</f>
        <v>75</v>
      </c>
      <c r="N90">
        <f>IF(N58=konversi2!$S$7,konversi2!$T$7,IF(N58=konversi2!$S$8,konversi2!$T$8,IF(N58=konversi2!$S$9,konversi2!$T$9,IF(N58=konversi2!$S$10,konversi2!$T$10,"null"))))</f>
        <v>100</v>
      </c>
      <c r="O90">
        <f t="shared" si="18"/>
        <v>200</v>
      </c>
      <c r="P90">
        <f t="shared" si="19"/>
        <v>60</v>
      </c>
      <c r="Q90">
        <f>perhitungan!Q58</f>
        <v>255</v>
      </c>
      <c r="R90">
        <f t="shared" si="20"/>
        <v>12</v>
      </c>
      <c r="S90">
        <f t="shared" si="21"/>
        <v>140</v>
      </c>
      <c r="T90">
        <f t="shared" si="22"/>
        <v>100</v>
      </c>
      <c r="U90">
        <f>IF(U58&lt;konversi2!$V$7,konversi2!$W$7,IF(U58&lt;konversi2!$V$8,konversi2!$W$8,IF(U58&lt;konversi2!$V$9,konversi2!$W$9,IF(U58&lt;konversi2!$V$10,konversi2!$W$10,IF(U58&lt;konversi2!$V$11,konversi2!$W$11,IF(U58&gt;=konversi2!$V$12,konversi2!$W$12,"null"))))))</f>
        <v>80</v>
      </c>
      <c r="V90">
        <f>IF(V58&lt;konversi2!$Y$7,konversi2!$Z$7,IF(V58&lt;konversi2!$Y$8,konversi2!$Z$8,IF(V58&lt;konversi2!$Y$9,konversi2!$Z$9,IF(V58&lt;konversi2!$Y$10,konversi2!$Z$10,IF(V58&lt;konversi2!$Y$11,konversi2!$Z$11,IF(V58&lt;konversi2!$Y$12,konversi2!$Z$12,IF(V58&lt;konversi2!$Y$13,konversi2!$Z$13,IF(V58&gt;=konversi2!$Y$13,konversi2!$Z$14,"null"))))))))</f>
        <v>90</v>
      </c>
    </row>
    <row r="91" spans="1:22" x14ac:dyDescent="0.25">
      <c r="A91">
        <v>22</v>
      </c>
      <c r="B91">
        <f t="shared" si="11"/>
        <v>79.3</v>
      </c>
      <c r="C91" t="str">
        <f t="shared" si="12"/>
        <v>Galaxy S24+(Online Exclusive)</v>
      </c>
      <c r="D91">
        <f>IF(D59&lt;=konversi2!$D$8,konversi2!$E$7,IF(D59&lt;=konversi2!$D$10,konversi2!$E$9,IF(D59&lt;=konversi2!$D$15,konversi2!$E$11,IF(D59&lt;=konversi2!$D$19,konversi2!$E$18,IF(D59&lt;=konversi2!$D$21,konversi2!$E$20,IF(D59&gt;konversi2!$D$23,konversi2!$E$22,"kosong"))))))</f>
        <v>40</v>
      </c>
      <c r="E91">
        <f>IF(E59&lt;=konversi2!$G$7,konversi2!$H$7,IF(E59&lt;=konversi2!$G$8,konversi2!$H$8,IF(E56&lt;=konversi2!$G$9,konversi2!$H$9,IF(E56&lt;=konversi2!$G$10,konversi2!$H$10,IF(E56&lt;=konversi2!$G$11,konversi2!$H$11,IF(E56&lt;=konversi2!$G$12,konversi2!$H$12,IF(E56&lt;konversi2!$G$13,konversi2!$H$13,IF(E56&gt;=konversi2!$G$13,konversi2!$H$14,"kosong"))))))))</f>
        <v>50</v>
      </c>
      <c r="F91">
        <f t="shared" si="13"/>
        <v>70</v>
      </c>
      <c r="G91">
        <f t="shared" si="14"/>
        <v>85</v>
      </c>
      <c r="H91">
        <f>IF(H59&lt;=konversi2!$L$7,konversi2!$M$7,IF(H59&lt;=konversi2!$L$8,konversi2!$M$8,IF(H59&lt;=konversi2!$L$9,konversi2!$M$9,IF(H59&lt;=konversi2!$L$10,konversi2!$M$10,IF(H59&lt;=konversi2!$L$11,konversi2!$M$11,IF(H59&lt;=konversi2!$L$12,konversi2!$M$12,IF(H59&lt;konversi2!$L$13,konversi2!$M$13,IF(H59&gt;=konversi2!$M$14,0))))))))</f>
        <v>90</v>
      </c>
      <c r="I91">
        <f>IF(I59&lt;konversi2!$O$7,konversi2!$P$7,IF(I59&lt;konversi2!$O$8,konversi2!$P$8,IF(I59&lt;konversi2!$O$9,konversi2!$P$9,IF(I59&gt;konversi2!$O$10,konversi2!$P$10,"null"))))</f>
        <v>100</v>
      </c>
      <c r="J91">
        <f t="shared" si="15"/>
        <v>80</v>
      </c>
      <c r="K91">
        <f t="shared" si="16"/>
        <v>85</v>
      </c>
      <c r="L91">
        <f t="shared" si="17"/>
        <v>6</v>
      </c>
      <c r="M91">
        <f>IF(M59=konversi2!$Q$7,konversi2!$R$7,IF(M59=konversi2!$Q$8,konversi2!$R$8,IF(M59=konversi2!$Q$9,konversi2!$R$9,"null")))</f>
        <v>75</v>
      </c>
      <c r="N91">
        <f>IF(N59=konversi2!$S$7,konversi2!$T$7,IF(N59=konversi2!$S$8,konversi2!$T$8,IF(N59=konversi2!$S$9,konversi2!$T$9,IF(N59=konversi2!$S$10,konversi2!$T$10,"null"))))</f>
        <v>75</v>
      </c>
      <c r="O91">
        <f t="shared" si="18"/>
        <v>50</v>
      </c>
      <c r="P91">
        <f t="shared" si="19"/>
        <v>40</v>
      </c>
      <c r="Q91">
        <f>perhitungan!Q59</f>
        <v>245</v>
      </c>
      <c r="R91">
        <f t="shared" si="20"/>
        <v>12</v>
      </c>
      <c r="S91">
        <f t="shared" si="21"/>
        <v>140</v>
      </c>
      <c r="T91">
        <f t="shared" si="22"/>
        <v>100</v>
      </c>
      <c r="U91">
        <f>IF(U59&lt;konversi2!$V$7,konversi2!$W$7,IF(U59&lt;konversi2!$V$8,konversi2!$W$8,IF(U59&lt;konversi2!$V$9,konversi2!$W$9,IF(U59&lt;konversi2!$V$10,konversi2!$W$10,IF(U59&lt;konversi2!$V$11,konversi2!$W$11,IF(U59&gt;=konversi2!$V$12,konversi2!$W$12,"null"))))))</f>
        <v>60</v>
      </c>
      <c r="V91">
        <f>IF(V59&lt;konversi2!$Y$7,konversi2!$Z$7,IF(V59&lt;konversi2!$Y$8,konversi2!$Z$8,IF(V59&lt;konversi2!$Y$9,konversi2!$Z$9,IF(V59&lt;konversi2!$Y$10,konversi2!$Z$10,IF(V59&lt;konversi2!$Y$11,konversi2!$Z$11,IF(V59&lt;konversi2!$Y$12,konversi2!$Z$12,IF(V59&lt;konversi2!$Y$13,konversi2!$Z$13,IF(V59&gt;=konversi2!$Y$13,konversi2!$Z$14,"null"))))))))</f>
        <v>60</v>
      </c>
    </row>
    <row r="92" spans="1:22" x14ac:dyDescent="0.25">
      <c r="A92">
        <v>23</v>
      </c>
      <c r="B92">
        <f t="shared" si="11"/>
        <v>79.3</v>
      </c>
      <c r="C92" t="str">
        <f t="shared" si="12"/>
        <v>Galaxy S24 Ultra</v>
      </c>
      <c r="D92">
        <f>IF(D60&lt;=konversi2!$D$8,konversi2!$E$7,IF(D60&lt;=konversi2!$D$10,konversi2!$E$9,IF(D60&lt;=konversi2!$D$15,konversi2!$E$11,IF(D60&lt;=konversi2!$D$19,konversi2!$E$18,IF(D60&lt;=konversi2!$D$21,konversi2!$E$20,IF(D60&gt;konversi2!$D$23,konversi2!$E$22,"kosong"))))))</f>
        <v>80</v>
      </c>
      <c r="E92">
        <f>IF(E60&lt;=konversi2!$G$7,konversi2!$H$7,IF(E60&lt;=konversi2!$G$8,konversi2!$H$8,IF(E57&lt;=konversi2!$G$9,konversi2!$H$9,IF(E57&lt;=konversi2!$G$10,konversi2!$H$10,IF(E57&lt;=konversi2!$G$11,konversi2!$H$11,IF(E57&lt;=konversi2!$G$12,konversi2!$H$12,IF(E57&lt;konversi2!$G$13,konversi2!$H$13,IF(E57&gt;=konversi2!$G$13,konversi2!$H$14,"kosong"))))))))</f>
        <v>100</v>
      </c>
      <c r="F92">
        <f t="shared" si="13"/>
        <v>160</v>
      </c>
      <c r="G92">
        <f t="shared" si="14"/>
        <v>85</v>
      </c>
      <c r="H92">
        <f>IF(H60&lt;=konversi2!$L$7,konversi2!$M$7,IF(H60&lt;=konversi2!$L$8,konversi2!$M$8,IF(H60&lt;=konversi2!$L$9,konversi2!$M$9,IF(H60&lt;=konversi2!$L$10,konversi2!$M$10,IF(H60&lt;=konversi2!$L$11,konversi2!$M$11,IF(H60&lt;=konversi2!$L$12,konversi2!$M$12,IF(H60&lt;konversi2!$L$13,konversi2!$M$13,IF(H60&gt;=konversi2!$M$14,0))))))))</f>
        <v>90</v>
      </c>
      <c r="I92">
        <f>IF(I60&lt;konversi2!$O$7,konversi2!$P$7,IF(I60&lt;konversi2!$O$8,konversi2!$P$8,IF(I60&lt;konversi2!$O$9,konversi2!$P$9,IF(I60&gt;konversi2!$O$10,konversi2!$P$10,"null"))))</f>
        <v>100</v>
      </c>
      <c r="J92">
        <f t="shared" si="15"/>
        <v>80</v>
      </c>
      <c r="K92">
        <f t="shared" si="16"/>
        <v>85</v>
      </c>
      <c r="L92">
        <f t="shared" si="17"/>
        <v>10</v>
      </c>
      <c r="M92">
        <f>IF(M60=konversi2!$Q$7,konversi2!$R$7,IF(M60=konversi2!$Q$8,konversi2!$R$8,IF(M60=konversi2!$Q$9,konversi2!$R$9,"null")))</f>
        <v>75</v>
      </c>
      <c r="N92">
        <f>IF(N60=konversi2!$S$7,konversi2!$T$7,IF(N60=konversi2!$S$8,konversi2!$T$8,IF(N60=konversi2!$S$9,konversi2!$T$9,IF(N60=konversi2!$S$10,konversi2!$T$10,"null"))))</f>
        <v>100</v>
      </c>
      <c r="O92">
        <f t="shared" si="18"/>
        <v>200</v>
      </c>
      <c r="P92">
        <f t="shared" si="19"/>
        <v>60</v>
      </c>
      <c r="Q92">
        <f>perhitungan!Q60</f>
        <v>255</v>
      </c>
      <c r="R92">
        <f t="shared" si="20"/>
        <v>12</v>
      </c>
      <c r="S92">
        <f t="shared" si="21"/>
        <v>140</v>
      </c>
      <c r="T92">
        <f t="shared" si="22"/>
        <v>100</v>
      </c>
      <c r="U92">
        <f>IF(U60&lt;konversi2!$V$7,konversi2!$W$7,IF(U60&lt;konversi2!$V$8,konversi2!$W$8,IF(U60&lt;konversi2!$V$9,konversi2!$W$9,IF(U60&lt;konversi2!$V$10,konversi2!$W$10,IF(U60&lt;konversi2!$V$11,konversi2!$W$11,IF(U60&gt;=konversi2!$V$12,konversi2!$W$12,"null"))))))</f>
        <v>80</v>
      </c>
      <c r="V92">
        <f>IF(V60&lt;konversi2!$Y$7,konversi2!$Z$7,IF(V60&lt;konversi2!$Y$8,konversi2!$Z$8,IF(V60&lt;konversi2!$Y$9,konversi2!$Z$9,IF(V60&lt;konversi2!$Y$10,konversi2!$Z$10,IF(V60&lt;konversi2!$Y$11,konversi2!$Z$11,IF(V60&lt;konversi2!$Y$12,konversi2!$Z$12,IF(V60&lt;konversi2!$Y$13,konversi2!$Z$13,IF(V60&gt;=konversi2!$Y$13,konversi2!$Z$14,"null"))))))))</f>
        <v>70</v>
      </c>
    </row>
    <row r="93" spans="1:22" x14ac:dyDescent="0.25">
      <c r="A93">
        <v>24</v>
      </c>
      <c r="B93">
        <f t="shared" si="11"/>
        <v>79.3</v>
      </c>
      <c r="C93" t="str">
        <f t="shared" si="12"/>
        <v>Galaxy S23 FE</v>
      </c>
      <c r="D93">
        <f>IF(D61&lt;=konversi2!$D$8,konversi2!$E$7,IF(D61&lt;=konversi2!$D$10,konversi2!$E$9,IF(D61&lt;=konversi2!$D$15,konversi2!$E$11,IF(D61&lt;=konversi2!$D$19,konversi2!$E$18,IF(D61&lt;=konversi2!$D$21,konversi2!$E$20,IF(D61&gt;konversi2!$D$23,konversi2!$E$22,"kosong"))))))</f>
        <v>40</v>
      </c>
      <c r="E93">
        <f>IF(E61&lt;=konversi2!$G$7,konversi2!$H$7,IF(E61&lt;=konversi2!$G$8,konversi2!$H$8,IF(E58&lt;=konversi2!$G$9,konversi2!$H$9,IF(E58&lt;=konversi2!$G$10,konversi2!$H$10,IF(E58&lt;=konversi2!$G$11,konversi2!$H$11,IF(E58&lt;=konversi2!$G$12,konversi2!$H$12,IF(E58&lt;konversi2!$G$13,konversi2!$H$13,IF(E58&gt;=konversi2!$G$13,konversi2!$H$14,"kosong"))))))))</f>
        <v>100</v>
      </c>
      <c r="F93">
        <f t="shared" si="13"/>
        <v>150</v>
      </c>
      <c r="G93">
        <f t="shared" si="14"/>
        <v>80</v>
      </c>
      <c r="H93">
        <f>IF(H61&lt;=konversi2!$L$7,konversi2!$M$7,IF(H61&lt;=konversi2!$L$8,konversi2!$M$8,IF(H61&lt;=konversi2!$L$9,konversi2!$M$9,IF(H61&lt;=konversi2!$L$10,konversi2!$M$10,IF(H61&lt;=konversi2!$L$11,konversi2!$M$11,IF(H61&lt;=konversi2!$L$12,konversi2!$M$12,IF(H61&lt;konversi2!$L$13,konversi2!$M$13,IF(H61&gt;=konversi2!$M$14,0))))))))</f>
        <v>70</v>
      </c>
      <c r="I93">
        <f>IF(I61&lt;konversi2!$O$7,konversi2!$P$7,IF(I61&lt;konversi2!$O$8,konversi2!$P$8,IF(I61&lt;konversi2!$O$9,konversi2!$P$9,IF(I61&gt;konversi2!$O$10,konversi2!$P$10,"null"))))</f>
        <v>25</v>
      </c>
      <c r="J93">
        <f t="shared" si="15"/>
        <v>70</v>
      </c>
      <c r="K93">
        <f t="shared" si="16"/>
        <v>92</v>
      </c>
      <c r="L93">
        <f t="shared" si="17"/>
        <v>10</v>
      </c>
      <c r="M93">
        <f>IF(M61=konversi2!$Q$7,konversi2!$R$7,IF(M61=konversi2!$Q$8,konversi2!$R$8,IF(M61=konversi2!$Q$9,konversi2!$R$9,"null")))</f>
        <v>50</v>
      </c>
      <c r="N93">
        <f>IF(N61=konversi2!$S$7,konversi2!$T$7,IF(N61=konversi2!$S$8,konversi2!$T$8,IF(N61=konversi2!$S$9,konversi2!$T$9,IF(N61=konversi2!$S$10,konversi2!$T$10,"null"))))</f>
        <v>50</v>
      </c>
      <c r="O93">
        <f t="shared" si="18"/>
        <v>50</v>
      </c>
      <c r="P93">
        <f t="shared" si="19"/>
        <v>40</v>
      </c>
      <c r="Q93">
        <f>perhitungan!Q61</f>
        <v>240</v>
      </c>
      <c r="R93">
        <f t="shared" si="20"/>
        <v>10</v>
      </c>
      <c r="S93">
        <f t="shared" si="21"/>
        <v>150</v>
      </c>
      <c r="T93">
        <f t="shared" si="22"/>
        <v>70</v>
      </c>
      <c r="U93">
        <f>IF(U61&lt;konversi2!$V$7,konversi2!$W$7,IF(U61&lt;konversi2!$V$8,konversi2!$W$8,IF(U61&lt;konversi2!$V$9,konversi2!$W$9,IF(U61&lt;konversi2!$V$10,konversi2!$W$10,IF(U61&lt;konversi2!$V$11,konversi2!$W$11,IF(U61&gt;=konversi2!$V$12,konversi2!$W$12,"null"))))))</f>
        <v>60</v>
      </c>
      <c r="V93">
        <f>IF(V61&lt;konversi2!$Y$7,konversi2!$Z$7,IF(V61&lt;konversi2!$Y$8,konversi2!$Z$8,IF(V61&lt;konversi2!$Y$9,konversi2!$Z$9,IF(V61&lt;konversi2!$Y$10,konversi2!$Z$10,IF(V61&lt;konversi2!$Y$11,konversi2!$Z$11,IF(V61&lt;konversi2!$Y$12,konversi2!$Z$12,IF(V61&lt;konversi2!$Y$13,konversi2!$Z$13,IF(V61&gt;=konversi2!$Y$13,konversi2!$Z$14,"null"))))))))</f>
        <v>30</v>
      </c>
    </row>
    <row r="94" spans="1:22" x14ac:dyDescent="0.25">
      <c r="A94">
        <v>25</v>
      </c>
      <c r="B94">
        <f t="shared" si="11"/>
        <v>79.3</v>
      </c>
      <c r="C94" t="str">
        <f t="shared" si="12"/>
        <v>Galaxy S23 FE</v>
      </c>
      <c r="D94">
        <f>IF(D62&lt;=konversi2!$D$8,konversi2!$E$7,IF(D62&lt;=konversi2!$D$10,konversi2!$E$9,IF(D62&lt;=konversi2!$D$15,konversi2!$E$11,IF(D62&lt;=konversi2!$D$19,konversi2!$E$18,IF(D62&lt;=konversi2!$D$21,konversi2!$E$20,IF(D62&gt;konversi2!$D$23,konversi2!$E$22,"kosong"))))))</f>
        <v>40</v>
      </c>
      <c r="E94">
        <f>IF(E62&lt;=konversi2!$G$7,konversi2!$H$7,IF(E62&lt;=konversi2!$G$8,konversi2!$H$8,IF(E59&lt;=konversi2!$G$9,konversi2!$H$9,IF(E59&lt;=konversi2!$G$10,konversi2!$H$10,IF(E59&lt;=konversi2!$G$11,konversi2!$H$11,IF(E59&lt;=konversi2!$G$12,konversi2!$H$12,IF(E59&lt;konversi2!$G$13,konversi2!$H$13,IF(E59&gt;=konversi2!$G$13,konversi2!$H$14,"kosong"))))))))</f>
        <v>60</v>
      </c>
      <c r="F94">
        <f t="shared" si="13"/>
        <v>150</v>
      </c>
      <c r="G94">
        <f t="shared" si="14"/>
        <v>80</v>
      </c>
      <c r="H94">
        <f>IF(H62&lt;=konversi2!$L$7,konversi2!$M$7,IF(H62&lt;=konversi2!$L$8,konversi2!$M$8,IF(H62&lt;=konversi2!$L$9,konversi2!$M$9,IF(H62&lt;=konversi2!$L$10,konversi2!$M$10,IF(H62&lt;=konversi2!$L$11,konversi2!$M$11,IF(H62&lt;=konversi2!$L$12,konversi2!$M$12,IF(H62&lt;konversi2!$L$13,konversi2!$M$13,IF(H62&gt;=konversi2!$M$14,0))))))))</f>
        <v>70</v>
      </c>
      <c r="I94">
        <f>IF(I62&lt;konversi2!$O$7,konversi2!$P$7,IF(I62&lt;konversi2!$O$8,konversi2!$P$8,IF(I62&lt;konversi2!$O$9,konversi2!$P$9,IF(I62&gt;konversi2!$O$10,konversi2!$P$10,"null"))))</f>
        <v>25</v>
      </c>
      <c r="J94">
        <f t="shared" si="15"/>
        <v>70</v>
      </c>
      <c r="K94">
        <f t="shared" si="16"/>
        <v>92</v>
      </c>
      <c r="L94">
        <f t="shared" si="17"/>
        <v>10</v>
      </c>
      <c r="M94">
        <f>IF(M62=konversi2!$Q$7,konversi2!$R$7,IF(M62=konversi2!$Q$8,konversi2!$R$8,IF(M62=konversi2!$Q$9,konversi2!$R$9,"null")))</f>
        <v>50</v>
      </c>
      <c r="N94">
        <f>IF(N62=konversi2!$S$7,konversi2!$T$7,IF(N62=konversi2!$S$8,konversi2!$T$8,IF(N62=konversi2!$S$9,konversi2!$T$9,IF(N62=konversi2!$S$10,konversi2!$T$10,"null"))))</f>
        <v>25</v>
      </c>
      <c r="O94">
        <f t="shared" si="18"/>
        <v>50</v>
      </c>
      <c r="P94">
        <f t="shared" si="19"/>
        <v>40</v>
      </c>
      <c r="Q94">
        <f>perhitungan!Q62</f>
        <v>240</v>
      </c>
      <c r="R94">
        <f t="shared" si="20"/>
        <v>10</v>
      </c>
      <c r="S94">
        <f t="shared" si="21"/>
        <v>150</v>
      </c>
      <c r="T94">
        <f t="shared" si="22"/>
        <v>70</v>
      </c>
      <c r="U94">
        <f>IF(U62&lt;konversi2!$V$7,konversi2!$W$7,IF(U62&lt;konversi2!$V$8,konversi2!$W$8,IF(U62&lt;konversi2!$V$9,konversi2!$W$9,IF(U62&lt;konversi2!$V$10,konversi2!$W$10,IF(U62&lt;konversi2!$V$11,konversi2!$W$11,IF(U62&gt;=konversi2!$V$12,konversi2!$W$12,"null"))))))</f>
        <v>60</v>
      </c>
      <c r="V94">
        <f>IF(V62&lt;konversi2!$Y$7,konversi2!$Z$7,IF(V62&lt;konversi2!$Y$8,konversi2!$Z$8,IF(V62&lt;konversi2!$Y$9,konversi2!$Z$9,IF(V62&lt;konversi2!$Y$10,konversi2!$Z$10,IF(V62&lt;konversi2!$Y$11,konversi2!$Z$11,IF(V62&lt;konversi2!$Y$12,konversi2!$Z$12,IF(V62&lt;konversi2!$Y$13,konversi2!$Z$13,IF(V62&gt;=konversi2!$Y$13,konversi2!$Z$14,"null"))))))))</f>
        <v>30</v>
      </c>
    </row>
    <row r="95" spans="1:22" x14ac:dyDescent="0.25">
      <c r="A95">
        <v>26</v>
      </c>
      <c r="B95">
        <f t="shared" si="11"/>
        <v>79.3</v>
      </c>
      <c r="C95" t="str">
        <f t="shared" si="12"/>
        <v>Galaxy S23 Ultra</v>
      </c>
      <c r="D95">
        <f>IF(D63&lt;=konversi2!$D$8,konversi2!$E$7,IF(D63&lt;=konversi2!$D$10,konversi2!$E$9,IF(D63&lt;=konversi2!$D$15,konversi2!$E$11,IF(D63&lt;=konversi2!$D$19,konversi2!$E$18,IF(D63&lt;=konversi2!$D$21,konversi2!$E$20,IF(D63&gt;konversi2!$D$23,konversi2!$E$22,"kosong"))))))</f>
        <v>80</v>
      </c>
      <c r="E95">
        <f>IF(E63&lt;=konversi2!$G$7,konversi2!$H$7,IF(E63&lt;=konversi2!$G$8,konversi2!$H$8,IF(E60&lt;=konversi2!$G$9,konversi2!$H$9,IF(E60&lt;=konversi2!$G$10,konversi2!$H$10,IF(E60&lt;=konversi2!$G$11,konversi2!$H$11,IF(E60&lt;=konversi2!$G$12,konversi2!$H$12,IF(E60&lt;konversi2!$G$13,konversi2!$H$13,IF(E60&gt;=konversi2!$G$13,konversi2!$H$14,"kosong"))))))))</f>
        <v>100</v>
      </c>
      <c r="F95">
        <f t="shared" si="13"/>
        <v>150</v>
      </c>
      <c r="G95">
        <f t="shared" si="14"/>
        <v>80</v>
      </c>
      <c r="H95">
        <f>IF(H63&lt;=konversi2!$L$7,konversi2!$M$7,IF(H63&lt;=konversi2!$L$8,konversi2!$M$8,IF(H63&lt;=konversi2!$L$9,konversi2!$M$9,IF(H63&lt;=konversi2!$L$10,konversi2!$M$10,IF(H63&lt;=konversi2!$L$11,konversi2!$M$11,IF(H63&lt;=konversi2!$L$12,konversi2!$M$12,IF(H63&lt;konversi2!$L$13,konversi2!$M$13,IF(H63&gt;=konversi2!$M$14,0))))))))</f>
        <v>90</v>
      </c>
      <c r="I95">
        <f>IF(I63&lt;konversi2!$O$7,konversi2!$P$7,IF(I63&lt;konversi2!$O$8,konversi2!$P$8,IF(I63&lt;konversi2!$O$9,konversi2!$P$9,IF(I63&gt;konversi2!$O$10,konversi2!$P$10,"null"))))</f>
        <v>100</v>
      </c>
      <c r="J95">
        <f t="shared" si="15"/>
        <v>70</v>
      </c>
      <c r="K95">
        <f t="shared" si="16"/>
        <v>85</v>
      </c>
      <c r="L95">
        <f t="shared" si="17"/>
        <v>10</v>
      </c>
      <c r="M95">
        <f>IF(M63=konversi2!$Q$7,konversi2!$R$7,IF(M63=konversi2!$Q$8,konversi2!$R$8,IF(M63=konversi2!$Q$9,konversi2!$R$9,"null")))</f>
        <v>75</v>
      </c>
      <c r="N95">
        <f>IF(N63=konversi2!$S$7,konversi2!$T$7,IF(N63=konversi2!$S$8,konversi2!$T$8,IF(N63=konversi2!$S$9,konversi2!$T$9,IF(N63=konversi2!$S$10,konversi2!$T$10,"null"))))</f>
        <v>75</v>
      </c>
      <c r="O95">
        <f t="shared" si="18"/>
        <v>200</v>
      </c>
      <c r="P95">
        <f t="shared" si="19"/>
        <v>60</v>
      </c>
      <c r="Q95">
        <f>perhitungan!Q63</f>
        <v>245</v>
      </c>
      <c r="R95">
        <f t="shared" si="20"/>
        <v>12</v>
      </c>
      <c r="S95">
        <f t="shared" si="21"/>
        <v>140</v>
      </c>
      <c r="T95">
        <f t="shared" si="22"/>
        <v>70</v>
      </c>
      <c r="U95">
        <f>IF(U63&lt;konversi2!$V$7,konversi2!$W$7,IF(U63&lt;konversi2!$V$8,konversi2!$W$8,IF(U63&lt;konversi2!$V$9,konversi2!$W$9,IF(U63&lt;konversi2!$V$10,konversi2!$W$10,IF(U63&lt;konversi2!$V$11,konversi2!$W$11,IF(U63&gt;=konversi2!$V$12,konversi2!$W$12,"null"))))))</f>
        <v>80</v>
      </c>
      <c r="V95">
        <f>IF(V63&lt;konversi2!$Y$7,konversi2!$Z$7,IF(V63&lt;konversi2!$Y$8,konversi2!$Z$8,IF(V63&lt;konversi2!$Y$9,konversi2!$Z$9,IF(V63&lt;konversi2!$Y$10,konversi2!$Z$10,IF(V63&lt;konversi2!$Y$11,konversi2!$Z$11,IF(V63&lt;konversi2!$Y$12,konversi2!$Z$12,IF(V63&lt;konversi2!$Y$13,konversi2!$Z$13,IF(V63&gt;=konversi2!$Y$13,konversi2!$Z$14,"null"))))))))</f>
        <v>70</v>
      </c>
    </row>
    <row r="96" spans="1:22" x14ac:dyDescent="0.25">
      <c r="A96">
        <v>27</v>
      </c>
      <c r="B96">
        <f t="shared" si="11"/>
        <v>79.3</v>
      </c>
      <c r="C96" t="str">
        <f t="shared" si="12"/>
        <v>Galaxy S23+</v>
      </c>
      <c r="D96">
        <f>IF(D64&lt;=konversi2!$D$8,konversi2!$E$7,IF(D64&lt;=konversi2!$D$10,konversi2!$E$9,IF(D64&lt;=konversi2!$D$15,konversi2!$E$11,IF(D64&lt;=konversi2!$D$19,konversi2!$E$18,IF(D64&lt;=konversi2!$D$21,konversi2!$E$20,IF(D64&gt;konversi2!$D$23,konversi2!$E$22,"kosong"))))))</f>
        <v>40</v>
      </c>
      <c r="E96">
        <f>IF(E64&lt;=konversi2!$G$7,konversi2!$H$7,IF(E64&lt;=konversi2!$G$8,konversi2!$H$8,IF(E61&lt;=konversi2!$G$9,konversi2!$H$9,IF(E61&lt;=konversi2!$G$10,konversi2!$H$10,IF(E61&lt;=konversi2!$G$11,konversi2!$H$11,IF(E61&lt;=konversi2!$G$12,konversi2!$H$12,IF(E61&lt;konversi2!$G$13,konversi2!$H$13,IF(E61&gt;=konversi2!$G$13,konversi2!$H$14,"kosong"))))))))</f>
        <v>70</v>
      </c>
      <c r="F96">
        <f t="shared" si="13"/>
        <v>150</v>
      </c>
      <c r="G96">
        <f t="shared" si="14"/>
        <v>80</v>
      </c>
      <c r="H96">
        <f>IF(H64&lt;=konversi2!$L$7,konversi2!$M$7,IF(H64&lt;=konversi2!$L$8,konversi2!$M$8,IF(H64&lt;=konversi2!$L$9,konversi2!$M$9,IF(H64&lt;=konversi2!$L$10,konversi2!$M$10,IF(H64&lt;=konversi2!$L$11,konversi2!$M$11,IF(H64&lt;=konversi2!$L$12,konversi2!$M$12,IF(H64&lt;konversi2!$L$13,konversi2!$M$13,IF(H64&gt;=konversi2!$M$14,0))))))))</f>
        <v>80</v>
      </c>
      <c r="I96">
        <f>IF(I64&lt;konversi2!$O$7,konversi2!$P$7,IF(I64&lt;konversi2!$O$8,konversi2!$P$8,IF(I64&lt;konversi2!$O$9,konversi2!$P$9,IF(I64&gt;konversi2!$O$10,konversi2!$P$10,"null"))))</f>
        <v>25</v>
      </c>
      <c r="J96">
        <f t="shared" si="15"/>
        <v>70</v>
      </c>
      <c r="K96">
        <f t="shared" si="16"/>
        <v>85</v>
      </c>
      <c r="L96">
        <f t="shared" si="17"/>
        <v>10</v>
      </c>
      <c r="M96">
        <f>IF(M64=konversi2!$Q$7,konversi2!$R$7,IF(M64=konversi2!$Q$8,konversi2!$R$8,IF(M64=konversi2!$Q$9,konversi2!$R$9,"null")))</f>
        <v>50</v>
      </c>
      <c r="N96">
        <f>IF(N64=konversi2!$S$7,konversi2!$T$7,IF(N64=konversi2!$S$8,konversi2!$T$8,IF(N64=konversi2!$S$9,konversi2!$T$9,IF(N64=konversi2!$S$10,konversi2!$T$10,"null"))))</f>
        <v>50</v>
      </c>
      <c r="O96">
        <f t="shared" si="18"/>
        <v>50</v>
      </c>
      <c r="P96">
        <f t="shared" si="19"/>
        <v>40</v>
      </c>
      <c r="Q96">
        <f>perhitungan!Q64</f>
        <v>245</v>
      </c>
      <c r="R96">
        <f t="shared" si="20"/>
        <v>12</v>
      </c>
      <c r="S96">
        <f t="shared" si="21"/>
        <v>140</v>
      </c>
      <c r="T96">
        <f t="shared" si="22"/>
        <v>70</v>
      </c>
      <c r="U96">
        <f>IF(U64&lt;konversi2!$V$7,konversi2!$W$7,IF(U64&lt;konversi2!$V$8,konversi2!$W$8,IF(U64&lt;konversi2!$V$9,konversi2!$W$9,IF(U64&lt;konversi2!$V$10,konversi2!$W$10,IF(U64&lt;konversi2!$V$11,konversi2!$W$11,IF(U64&gt;=konversi2!$V$12,konversi2!$W$12,"null"))))))</f>
        <v>60</v>
      </c>
      <c r="V96">
        <f>IF(V64&lt;konversi2!$Y$7,konversi2!$Z$7,IF(V64&lt;konversi2!$Y$8,konversi2!$Z$8,IF(V64&lt;konversi2!$Y$9,konversi2!$Z$9,IF(V64&lt;konversi2!$Y$10,konversi2!$Z$10,IF(V64&lt;konversi2!$Y$11,konversi2!$Z$11,IF(V64&lt;konversi2!$Y$12,konversi2!$Z$12,IF(V64&lt;konversi2!$Y$13,konversi2!$Z$13,IF(V64&gt;=konversi2!$Y$13,konversi2!$Z$14,"null"))))))))</f>
        <v>50</v>
      </c>
    </row>
    <row r="97" spans="1:22" x14ac:dyDescent="0.25">
      <c r="A97">
        <v>28</v>
      </c>
      <c r="B97">
        <f t="shared" si="11"/>
        <v>79.3</v>
      </c>
      <c r="C97" t="str">
        <f t="shared" si="12"/>
        <v>Galaxy S23</v>
      </c>
      <c r="D97">
        <f>IF(D65&lt;=konversi2!$D$8,konversi2!$E$7,IF(D65&lt;=konversi2!$D$10,konversi2!$E$9,IF(D65&lt;=konversi2!$D$15,konversi2!$E$11,IF(D65&lt;=konversi2!$D$19,konversi2!$E$18,IF(D65&lt;=konversi2!$D$21,konversi2!$E$20,IF(D65&gt;konversi2!$D$23,konversi2!$E$22,"kosong"))))))</f>
        <v>0</v>
      </c>
      <c r="E97">
        <f>IF(E65&lt;=konversi2!$G$7,konversi2!$H$7,IF(E65&lt;=konversi2!$G$8,konversi2!$H$8,IF(E62&lt;=konversi2!$G$9,konversi2!$H$9,IF(E62&lt;=konversi2!$G$10,konversi2!$H$10,IF(E62&lt;=konversi2!$G$11,konversi2!$H$11,IF(E62&lt;=konversi2!$G$12,konversi2!$H$12,IF(E62&lt;konversi2!$G$13,konversi2!$H$13,IF(E62&gt;=konversi2!$G$13,konversi2!$H$14,"kosong"))))))))</f>
        <v>30</v>
      </c>
      <c r="F97">
        <f t="shared" si="13"/>
        <v>150</v>
      </c>
      <c r="G97">
        <f t="shared" si="14"/>
        <v>80</v>
      </c>
      <c r="H97">
        <f>IF(H65&lt;=konversi2!$L$7,konversi2!$M$7,IF(H65&lt;=konversi2!$L$8,konversi2!$M$8,IF(H65&lt;=konversi2!$L$9,konversi2!$M$9,IF(H65&lt;=konversi2!$L$10,konversi2!$M$10,IF(H65&lt;=konversi2!$L$11,konversi2!$M$11,IF(H65&lt;=konversi2!$L$12,konversi2!$M$12,IF(H65&lt;konversi2!$L$13,konversi2!$M$13,IF(H65&gt;=konversi2!$M$14,0))))))))</f>
        <v>50</v>
      </c>
      <c r="I97">
        <f>IF(I65&lt;konversi2!$O$7,konversi2!$P$7,IF(I65&lt;konversi2!$O$8,konversi2!$P$8,IF(I65&lt;konversi2!$O$9,konversi2!$P$9,IF(I65&gt;konversi2!$O$10,konversi2!$P$10,"null"))))</f>
        <v>25</v>
      </c>
      <c r="J97">
        <f t="shared" si="15"/>
        <v>70</v>
      </c>
      <c r="K97">
        <f t="shared" si="16"/>
        <v>85</v>
      </c>
      <c r="L97">
        <f t="shared" si="17"/>
        <v>10</v>
      </c>
      <c r="M97">
        <f>IF(M65=konversi2!$Q$7,konversi2!$R$7,IF(M65=konversi2!$Q$8,konversi2!$R$8,IF(M65=konversi2!$Q$9,konversi2!$R$9,"null")))</f>
        <v>50</v>
      </c>
      <c r="N97">
        <f>IF(N65=konversi2!$S$7,konversi2!$T$7,IF(N65=konversi2!$S$8,konversi2!$T$8,IF(N65=konversi2!$S$9,konversi2!$T$9,IF(N65=konversi2!$S$10,konversi2!$T$10,"null"))))</f>
        <v>50</v>
      </c>
      <c r="O97">
        <f t="shared" si="18"/>
        <v>50</v>
      </c>
      <c r="P97">
        <f t="shared" si="19"/>
        <v>40</v>
      </c>
      <c r="Q97">
        <f>perhitungan!Q65</f>
        <v>245</v>
      </c>
      <c r="R97">
        <f t="shared" si="20"/>
        <v>12</v>
      </c>
      <c r="S97">
        <f t="shared" si="21"/>
        <v>140</v>
      </c>
      <c r="T97">
        <f t="shared" si="22"/>
        <v>70</v>
      </c>
      <c r="U97">
        <f>IF(U65&lt;konversi2!$V$7,konversi2!$W$7,IF(U65&lt;konversi2!$V$8,konversi2!$W$8,IF(U65&lt;konversi2!$V$9,konversi2!$W$9,IF(U65&lt;konversi2!$V$10,konversi2!$W$10,IF(U65&lt;konversi2!$V$11,konversi2!$W$11,IF(U65&gt;=konversi2!$V$12,konversi2!$W$12,"null"))))))</f>
        <v>20</v>
      </c>
      <c r="V97">
        <f>IF(V65&lt;konversi2!$Y$7,konversi2!$Z$7,IF(V65&lt;konversi2!$Y$8,konversi2!$Z$8,IF(V65&lt;konversi2!$Y$9,konversi2!$Z$9,IF(V65&lt;konversi2!$Y$10,konversi2!$Z$10,IF(V65&lt;konversi2!$Y$11,konversi2!$Z$11,IF(V65&lt;konversi2!$Y$12,konversi2!$Z$12,IF(V65&lt;konversi2!$Y$13,konversi2!$Z$13,IF(V65&gt;=konversi2!$Y$13,konversi2!$Z$14,"null"))))))))</f>
        <v>50</v>
      </c>
    </row>
    <row r="106" spans="1:22" x14ac:dyDescent="0.25">
      <c r="C106" s="48" t="s">
        <v>274</v>
      </c>
    </row>
    <row r="107" spans="1:22" x14ac:dyDescent="0.25">
      <c r="A107" t="s">
        <v>9</v>
      </c>
      <c r="B107" s="47" t="s">
        <v>10</v>
      </c>
      <c r="C107" s="47" t="s">
        <v>217</v>
      </c>
      <c r="D107" s="47" t="s">
        <v>218</v>
      </c>
      <c r="E107" s="47" t="s">
        <v>219</v>
      </c>
      <c r="F107" s="47" t="s">
        <v>272</v>
      </c>
      <c r="G107" s="47" t="s">
        <v>221</v>
      </c>
      <c r="H107" s="47" t="s">
        <v>222</v>
      </c>
      <c r="I107" s="47" t="s">
        <v>223</v>
      </c>
      <c r="J107" s="47" t="s">
        <v>19</v>
      </c>
      <c r="K107" s="47" t="s">
        <v>20</v>
      </c>
      <c r="L107" s="47" t="s">
        <v>21</v>
      </c>
      <c r="M107" s="47" t="s">
        <v>23</v>
      </c>
      <c r="N107" s="47" t="s">
        <v>24</v>
      </c>
      <c r="O107" s="47" t="s">
        <v>225</v>
      </c>
      <c r="P107" s="47" t="s">
        <v>224</v>
      </c>
      <c r="Q107" s="47" t="s">
        <v>228</v>
      </c>
      <c r="R107" s="47" t="s">
        <v>226</v>
      </c>
      <c r="S107" s="47" t="s">
        <v>227</v>
      </c>
      <c r="T107" s="47" t="s">
        <v>229</v>
      </c>
      <c r="U107" s="47" t="s">
        <v>31</v>
      </c>
      <c r="V107" s="47" t="s">
        <v>159</v>
      </c>
    </row>
    <row r="108" spans="1:22" x14ac:dyDescent="0.25">
      <c r="A108">
        <v>1</v>
      </c>
      <c r="B108">
        <f>SUM(((B70 - MIN(Table2[Brand]))/(MAX(Table2[Brand]) - MIN(Table2[Brand]))) *100%)</f>
        <v>0</v>
      </c>
      <c r="C108" t="str">
        <f t="shared" ref="C108:C135" si="23">C38</f>
        <v>Zenfone 10</v>
      </c>
      <c r="D108">
        <f>SUM(((D70-MIN(Table4[Dimensi]))/(MAX(Table4[Dimensi])-MIN(Table4[Dimensi])))*100%)</f>
        <v>0.4</v>
      </c>
      <c r="E108">
        <f>SUM((E70-MIN(Table4[Berat]))/(MAX(Table4[Berat])-MIN(Table4[Berat]))*100%)</f>
        <v>0.14285714285714285</v>
      </c>
      <c r="F108">
        <f>SUM((F70-MIN(Table4[Build]))/(MAX(Table4[Build])-MIN(Table4[Build]))*100%)</f>
        <v>0</v>
      </c>
      <c r="G108">
        <f>SUM((G70-MIN(Table4[Type Layar]))/(MAX(Table4[Type Layar])-MIN(Table4[Type Layar]))*100%)</f>
        <v>0.75</v>
      </c>
      <c r="H108">
        <f>SUM((H70-MIN(Table4[Ukuran Layar]))/(MAX(Table4[Ukuran Layar])-MIN(Table4[Ukuran Layar]))*100%)</f>
        <v>0</v>
      </c>
      <c r="I108">
        <f>SUM((I70-MIN(Table4[Resolusi]))/(MAX(Table4[Resolusi])-MIN(Table4[Resolusi]))*100%)</f>
        <v>0</v>
      </c>
      <c r="J108">
        <f>SUM((J70-MIN(Table4[OS]))/(MAX(Table4[OS])-MIN(Table4[OS]))*100%)</f>
        <v>0</v>
      </c>
      <c r="K108">
        <f>SUM((K70-MIN(Table4[Chipset]))/(MAX(Table4[Chipset])-MIN(Table4[Chipset]))*100%)</f>
        <v>0.5</v>
      </c>
      <c r="L108">
        <f>SUM((L70-MIN(Table4[CPU]))/(MAX(Table4[CPU])-MIN(Table4[CPU]))*100%)</f>
        <v>1</v>
      </c>
      <c r="M108">
        <f>SUM((M70-MIN(Table4[RAM]))/(MAX(Table4[RAM])-MIN(Table4[RAM]))*100%)</f>
        <v>0</v>
      </c>
      <c r="N108">
        <f>SUM((N70-MIN(Table4[ROM]))/(MAX(Table4[ROM])-MIN(Table4[ROM]))*100%)</f>
        <v>0</v>
      </c>
      <c r="O108">
        <f>SUM((O70-MIN(Table4[MP Main]))/(MAX(Table4[MP Main])-MIN(Table4[MP Main]))*100%)</f>
        <v>1.3157894736842105E-2</v>
      </c>
      <c r="P108">
        <f>SUM((P70-MIN(Table4[Tipe Main]))/(MAX(Table4[Tipe Main])-MIN(Table4[Tipe Main]))*100%)</f>
        <v>0</v>
      </c>
      <c r="Q108">
        <f>SUM((Q70-MIN(Table4[Video Main]))/(MAX(Table4[Video Main])-MIN(Table4[Video Main]))*100%)</f>
        <v>0.39393939393939392</v>
      </c>
      <c r="R108">
        <f>SUM((R70-MIN(Table4[MP Front]))/(MAX(Table4[MP Front])-MIN(Table4[MP Front]))*100%)</f>
        <v>1</v>
      </c>
      <c r="S108">
        <f>SUM((S70-MIN(Table4[Video Front]))/(MAX(Table4[Video Front])-MIN(Table4[Video Front]))*100%)</f>
        <v>0</v>
      </c>
      <c r="T108">
        <f>SUM((T70-MIN(Table4[USB Type]))/(MAX(Table4[USB Type])-MIN(Table4[USB Type]))*100%)</f>
        <v>0</v>
      </c>
      <c r="U108">
        <f>SUM((U70-MIN(Table4[Capacity]))/(MAX(Table4[Capacity])-MIN(Table4[Capacity]))*100%)</f>
        <v>0.4</v>
      </c>
      <c r="V108">
        <f>SUM((MAX(Table4[Harga])-V70)/(MAX(Table4[Harga])-MIN(Table4[Harga]))*100%)</f>
        <v>1</v>
      </c>
    </row>
    <row r="109" spans="1:22" x14ac:dyDescent="0.25">
      <c r="A109">
        <v>2</v>
      </c>
      <c r="B109">
        <f>SUM(((B71 - MIN(Table2[Brand]))/(MAX(Table2[Brand]) - MIN(Table2[Brand]))) *100%)</f>
        <v>0</v>
      </c>
      <c r="C109" t="str">
        <f t="shared" si="23"/>
        <v>Zenfone 10</v>
      </c>
      <c r="D109">
        <f>SUM(((D71-MIN(Table4[Dimensi]))/(MAX(Table4[Dimensi])-MIN(Table4[Dimensi])))*100%)</f>
        <v>0.4</v>
      </c>
      <c r="E109">
        <f>SUM((E71-MIN(Table4[Berat]))/(MAX(Table4[Berat])-MIN(Table4[Berat]))*100%)</f>
        <v>0.14285714285714285</v>
      </c>
      <c r="F109">
        <f>SUM((F71-MIN(Table4[Build]))/(MAX(Table4[Build])-MIN(Table4[Build]))*100%)</f>
        <v>0</v>
      </c>
      <c r="G109">
        <f>SUM((G71-MIN(Table4[Type Layar]))/(MAX(Table4[Type Layar])-MIN(Table4[Type Layar]))*100%)</f>
        <v>0.25</v>
      </c>
      <c r="H109">
        <f>SUM((H71-MIN(Table4[Ukuran Layar]))/(MAX(Table4[Ukuran Layar])-MIN(Table4[Ukuran Layar]))*100%)</f>
        <v>0</v>
      </c>
      <c r="I109">
        <f>SUM((I71-MIN(Table4[Resolusi]))/(MAX(Table4[Resolusi])-MIN(Table4[Resolusi]))*100%)</f>
        <v>0</v>
      </c>
      <c r="J109">
        <f>SUM((J71-MIN(Table4[OS]))/(MAX(Table4[OS])-MIN(Table4[OS]))*100%)</f>
        <v>0</v>
      </c>
      <c r="K109">
        <f>SUM((K71-MIN(Table4[Chipset]))/(MAX(Table4[Chipset])-MIN(Table4[Chipset]))*100%)</f>
        <v>0.5</v>
      </c>
      <c r="L109">
        <f>SUM((L71-MIN(Table4[CPU]))/(MAX(Table4[CPU])-MIN(Table4[CPU]))*100%)</f>
        <v>1</v>
      </c>
      <c r="M109">
        <f>SUM((M71-MIN(Table4[RAM]))/(MAX(Table4[RAM])-MIN(Table4[RAM]))*100%)</f>
        <v>1</v>
      </c>
      <c r="N109">
        <f>SUM((N71-MIN(Table4[ROM]))/(MAX(Table4[ROM])-MIN(Table4[ROM]))*100%)</f>
        <v>0.66666666666666663</v>
      </c>
      <c r="O109">
        <f>SUM((O71-MIN(Table4[MP Main]))/(MAX(Table4[MP Main])-MIN(Table4[MP Main]))*100%)</f>
        <v>1.3157894736842105E-2</v>
      </c>
      <c r="P109">
        <f>SUM((P71-MIN(Table4[Tipe Main]))/(MAX(Table4[Tipe Main])-MIN(Table4[Tipe Main]))*100%)</f>
        <v>0</v>
      </c>
      <c r="Q109">
        <f>SUM((Q71-MIN(Table4[Video Main]))/(MAX(Table4[Video Main])-MIN(Table4[Video Main]))*100%)</f>
        <v>0.39393939393939392</v>
      </c>
      <c r="R109">
        <f>SUM((R71-MIN(Table4[MP Front]))/(MAX(Table4[MP Front])-MIN(Table4[MP Front]))*100%)</f>
        <v>1</v>
      </c>
      <c r="S109">
        <f>SUM((S71-MIN(Table4[Video Front]))/(MAX(Table4[Video Front])-MIN(Table4[Video Front]))*100%)</f>
        <v>0</v>
      </c>
      <c r="T109">
        <f>SUM((T71-MIN(Table4[USB Type]))/(MAX(Table4[USB Type])-MIN(Table4[USB Type]))*100%)</f>
        <v>0</v>
      </c>
      <c r="U109">
        <f>SUM((U71-MIN(Table4[Capacity]))/(MAX(Table4[Capacity])-MIN(Table4[Capacity]))*100%)</f>
        <v>0.4</v>
      </c>
      <c r="V109">
        <f>SUM((MAX(Table4[Harga])-V71)/(MAX(Table4[Harga])-MIN(Table4[Harga]))*100%)</f>
        <v>0.8571428571428571</v>
      </c>
    </row>
    <row r="110" spans="1:22" x14ac:dyDescent="0.25">
      <c r="A110">
        <v>3</v>
      </c>
      <c r="B110">
        <f>SUM(((B72 - MIN(Table2[Brand]))/(MAX(Table2[Brand]) - MIN(Table2[Brand]))) *100%)</f>
        <v>0</v>
      </c>
      <c r="C110" t="str">
        <f t="shared" si="23"/>
        <v>ROG Phone 7 Ultimate</v>
      </c>
      <c r="D110">
        <f>SUM(((D72-MIN(Table4[Dimensi]))/(MAX(Table4[Dimensi])-MIN(Table4[Dimensi])))*100%)</f>
        <v>1</v>
      </c>
      <c r="E110">
        <f>SUM((E72-MIN(Table4[Berat]))/(MAX(Table4[Berat])-MIN(Table4[Berat]))*100%)</f>
        <v>1</v>
      </c>
      <c r="F110">
        <f>SUM((F72-MIN(Table4[Build]))/(MAX(Table4[Build])-MIN(Table4[Build]))*100%)</f>
        <v>0.18181818181818182</v>
      </c>
      <c r="G110">
        <f>SUM((G72-MIN(Table4[Type Layar]))/(MAX(Table4[Type Layar])-MIN(Table4[Type Layar]))*100%)</f>
        <v>0</v>
      </c>
      <c r="H110">
        <f>SUM((H72-MIN(Table4[Ukuran Layar]))/(MAX(Table4[Ukuran Layar])-MIN(Table4[Ukuran Layar]))*100%)</f>
        <v>0.83333333333333337</v>
      </c>
      <c r="I110">
        <f>SUM((I72-MIN(Table4[Resolusi]))/(MAX(Table4[Resolusi])-MIN(Table4[Resolusi]))*100%)</f>
        <v>0</v>
      </c>
      <c r="J110">
        <f>SUM((J72-MIN(Table4[OS]))/(MAX(Table4[OS])-MIN(Table4[OS]))*100%)</f>
        <v>0</v>
      </c>
      <c r="K110">
        <f>SUM((K72-MIN(Table4[Chipset]))/(MAX(Table4[Chipset])-MIN(Table4[Chipset]))*100%)</f>
        <v>0.5</v>
      </c>
      <c r="L110">
        <f>SUM((L72-MIN(Table4[CPU]))/(MAX(Table4[CPU])-MIN(Table4[CPU]))*100%)</f>
        <v>1</v>
      </c>
      <c r="M110">
        <f>SUM((M72-MIN(Table4[RAM]))/(MAX(Table4[RAM])-MIN(Table4[RAM]))*100%)</f>
        <v>1</v>
      </c>
      <c r="N110">
        <f>SUM((N72-MIN(Table4[ROM]))/(MAX(Table4[ROM])-MIN(Table4[ROM]))*100%)</f>
        <v>0.66666666666666663</v>
      </c>
      <c r="O110">
        <f>SUM((O72-MIN(Table4[MP Main]))/(MAX(Table4[MP Main])-MIN(Table4[MP Main]))*100%)</f>
        <v>1.3157894736842105E-2</v>
      </c>
      <c r="P110">
        <f>SUM((P72-MIN(Table4[Tipe Main]))/(MAX(Table4[Tipe Main])-MIN(Table4[Tipe Main]))*100%)</f>
        <v>0.5</v>
      </c>
      <c r="Q110">
        <f>SUM((Q72-MIN(Table4[Video Main]))/(MAX(Table4[Video Main])-MIN(Table4[Video Main]))*100%)</f>
        <v>0.90909090909090906</v>
      </c>
      <c r="R110">
        <f>SUM((R72-MIN(Table4[MP Front]))/(MAX(Table4[MP Front])-MIN(Table4[MP Front]))*100%)</f>
        <v>1</v>
      </c>
      <c r="S110">
        <f>SUM((S72-MIN(Table4[Video Front]))/(MAX(Table4[Video Front])-MIN(Table4[Video Front]))*100%)</f>
        <v>0</v>
      </c>
      <c r="T110">
        <f>SUM((T72-MIN(Table4[USB Type]))/(MAX(Table4[USB Type])-MIN(Table4[USB Type]))*100%)</f>
        <v>0.25</v>
      </c>
      <c r="U110">
        <f>SUM((U72-MIN(Table4[Capacity]))/(MAX(Table4[Capacity])-MIN(Table4[Capacity]))*100%)</f>
        <v>1</v>
      </c>
      <c r="V110">
        <f>SUM((MAX(Table4[Harga])-V72)/(MAX(Table4[Harga])-MIN(Table4[Harga]))*100%)</f>
        <v>0.2857142857142857</v>
      </c>
    </row>
    <row r="111" spans="1:22" x14ac:dyDescent="0.25">
      <c r="A111">
        <v>4</v>
      </c>
      <c r="B111">
        <f>SUM(((B73 - MIN(Table2[Brand]))/(MAX(Table2[Brand]) - MIN(Table2[Brand]))) *100%)</f>
        <v>0</v>
      </c>
      <c r="C111" t="str">
        <f t="shared" si="23"/>
        <v>ROG Phone 7</v>
      </c>
      <c r="D111">
        <f>SUM(((D73-MIN(Table4[Dimensi]))/(MAX(Table4[Dimensi])-MIN(Table4[Dimensi])))*100%)</f>
        <v>1</v>
      </c>
      <c r="E111">
        <f>SUM((E73-MIN(Table4[Berat]))/(MAX(Table4[Berat])-MIN(Table4[Berat]))*100%)</f>
        <v>0.2857142857142857</v>
      </c>
      <c r="F111">
        <f>SUM((F73-MIN(Table4[Build]))/(MAX(Table4[Build])-MIN(Table4[Build]))*100%)</f>
        <v>0.18181818181818182</v>
      </c>
      <c r="G111">
        <f>SUM((G73-MIN(Table4[Type Layar]))/(MAX(Table4[Type Layar])-MIN(Table4[Type Layar]))*100%)</f>
        <v>0</v>
      </c>
      <c r="H111">
        <f>SUM((H73-MIN(Table4[Ukuran Layar]))/(MAX(Table4[Ukuran Layar])-MIN(Table4[Ukuran Layar]))*100%)</f>
        <v>0.83333333333333337</v>
      </c>
      <c r="I111">
        <f>SUM((I73-MIN(Table4[Resolusi]))/(MAX(Table4[Resolusi])-MIN(Table4[Resolusi]))*100%)</f>
        <v>0</v>
      </c>
      <c r="J111">
        <f>SUM((J73-MIN(Table4[OS]))/(MAX(Table4[OS])-MIN(Table4[OS]))*100%)</f>
        <v>0</v>
      </c>
      <c r="K111">
        <f>SUM((K73-MIN(Table4[Chipset]))/(MAX(Table4[Chipset])-MIN(Table4[Chipset]))*100%)</f>
        <v>0.5</v>
      </c>
      <c r="L111">
        <f>SUM((L73-MIN(Table4[CPU]))/(MAX(Table4[CPU])-MIN(Table4[CPU]))*100%)</f>
        <v>1</v>
      </c>
      <c r="M111">
        <f>SUM((M73-MIN(Table4[RAM]))/(MAX(Table4[RAM])-MIN(Table4[RAM]))*100%)</f>
        <v>0.5</v>
      </c>
      <c r="N111">
        <f>SUM((N73-MIN(Table4[ROM]))/(MAX(Table4[ROM])-MIN(Table4[ROM]))*100%)</f>
        <v>0.33333333333333331</v>
      </c>
      <c r="O111">
        <f>SUM((O73-MIN(Table4[MP Main]))/(MAX(Table4[MP Main])-MIN(Table4[MP Main]))*100%)</f>
        <v>1.3157894736842105E-2</v>
      </c>
      <c r="P111">
        <f>SUM((P73-MIN(Table4[Tipe Main]))/(MAX(Table4[Tipe Main])-MIN(Table4[Tipe Main]))*100%)</f>
        <v>0.5</v>
      </c>
      <c r="Q111">
        <f>SUM((Q73-MIN(Table4[Video Main]))/(MAX(Table4[Video Main])-MIN(Table4[Video Main]))*100%)</f>
        <v>0.90909090909090906</v>
      </c>
      <c r="R111">
        <f>SUM((R73-MIN(Table4[MP Front]))/(MAX(Table4[MP Front])-MIN(Table4[MP Front]))*100%)</f>
        <v>1</v>
      </c>
      <c r="S111">
        <f>SUM((S73-MIN(Table4[Video Front]))/(MAX(Table4[Video Front])-MIN(Table4[Video Front]))*100%)</f>
        <v>0</v>
      </c>
      <c r="T111">
        <f>SUM((T73-MIN(Table4[USB Type]))/(MAX(Table4[USB Type])-MIN(Table4[USB Type]))*100%)</f>
        <v>0.25</v>
      </c>
      <c r="U111">
        <f>SUM((U73-MIN(Table4[Capacity]))/(MAX(Table4[Capacity])-MIN(Table4[Capacity]))*100%)</f>
        <v>1</v>
      </c>
      <c r="V111">
        <f>SUM((MAX(Table4[Harga])-V73)/(MAX(Table4[Harga])-MIN(Table4[Harga]))*100%)</f>
        <v>0.7142857142857143</v>
      </c>
    </row>
    <row r="112" spans="1:22" x14ac:dyDescent="0.25">
      <c r="A112">
        <v>5</v>
      </c>
      <c r="B112">
        <f>SUM(((B74 - MIN(Table2[Brand]))/(MAX(Table2[Brand]) - MIN(Table2[Brand]))) *100%)</f>
        <v>0</v>
      </c>
      <c r="C112" t="str">
        <f t="shared" si="23"/>
        <v>ROG Phone 7</v>
      </c>
      <c r="D112">
        <f>SUM(((D74-MIN(Table4[Dimensi]))/(MAX(Table4[Dimensi])-MIN(Table4[Dimensi])))*100%)</f>
        <v>1</v>
      </c>
      <c r="E112">
        <f>SUM((E74-MIN(Table4[Berat]))/(MAX(Table4[Berat])-MIN(Table4[Berat]))*100%)</f>
        <v>0.2857142857142857</v>
      </c>
      <c r="F112">
        <f>SUM((F74-MIN(Table4[Build]))/(MAX(Table4[Build])-MIN(Table4[Build]))*100%)</f>
        <v>0.18181818181818182</v>
      </c>
      <c r="G112">
        <f>SUM((G74-MIN(Table4[Type Layar]))/(MAX(Table4[Type Layar])-MIN(Table4[Type Layar]))*100%)</f>
        <v>0</v>
      </c>
      <c r="H112">
        <f>SUM((H74-MIN(Table4[Ukuran Layar]))/(MAX(Table4[Ukuran Layar])-MIN(Table4[Ukuran Layar]))*100%)</f>
        <v>0.83333333333333337</v>
      </c>
      <c r="I112">
        <f>SUM((I74-MIN(Table4[Resolusi]))/(MAX(Table4[Resolusi])-MIN(Table4[Resolusi]))*100%)</f>
        <v>0</v>
      </c>
      <c r="J112">
        <f>SUM((J74-MIN(Table4[OS]))/(MAX(Table4[OS])-MIN(Table4[OS]))*100%)</f>
        <v>0</v>
      </c>
      <c r="K112">
        <f>SUM((K74-MIN(Table4[Chipset]))/(MAX(Table4[Chipset])-MIN(Table4[Chipset]))*100%)</f>
        <v>0.5</v>
      </c>
      <c r="L112">
        <f>SUM((L74-MIN(Table4[CPU]))/(MAX(Table4[CPU])-MIN(Table4[CPU]))*100%)</f>
        <v>1</v>
      </c>
      <c r="M112">
        <f>SUM((M74-MIN(Table4[RAM]))/(MAX(Table4[RAM])-MIN(Table4[RAM]))*100%)</f>
        <v>1</v>
      </c>
      <c r="N112">
        <f>SUM((N74-MIN(Table4[ROM]))/(MAX(Table4[ROM])-MIN(Table4[ROM]))*100%)</f>
        <v>0.66666666666666663</v>
      </c>
      <c r="O112">
        <f>SUM((O74-MIN(Table4[MP Main]))/(MAX(Table4[MP Main])-MIN(Table4[MP Main]))*100%)</f>
        <v>1.3157894736842105E-2</v>
      </c>
      <c r="P112">
        <f>SUM((P74-MIN(Table4[Tipe Main]))/(MAX(Table4[Tipe Main])-MIN(Table4[Tipe Main]))*100%)</f>
        <v>0.5</v>
      </c>
      <c r="Q112">
        <f>SUM((Q74-MIN(Table4[Video Main]))/(MAX(Table4[Video Main])-MIN(Table4[Video Main]))*100%)</f>
        <v>0.90909090909090906</v>
      </c>
      <c r="R112">
        <f>SUM((R74-MIN(Table4[MP Front]))/(MAX(Table4[MP Front])-MIN(Table4[MP Front]))*100%)</f>
        <v>1</v>
      </c>
      <c r="S112">
        <f>SUM((S74-MIN(Table4[Video Front]))/(MAX(Table4[Video Front])-MIN(Table4[Video Front]))*100%)</f>
        <v>0</v>
      </c>
      <c r="T112">
        <f>SUM((T74-MIN(Table4[USB Type]))/(MAX(Table4[USB Type])-MIN(Table4[USB Type]))*100%)</f>
        <v>0.25</v>
      </c>
      <c r="U112">
        <f>SUM((U74-MIN(Table4[Capacity]))/(MAX(Table4[Capacity])-MIN(Table4[Capacity]))*100%)</f>
        <v>1</v>
      </c>
      <c r="V112">
        <f>SUM((MAX(Table4[Harga])-V74)/(MAX(Table4[Harga])-MIN(Table4[Harga]))*100%)</f>
        <v>0</v>
      </c>
    </row>
    <row r="113" spans="1:22" x14ac:dyDescent="0.25">
      <c r="A113">
        <v>6</v>
      </c>
      <c r="B113">
        <f>SUM(((B75 - MIN(Table2[Brand]))/(MAX(Table2[Brand]) - MIN(Table2[Brand]))) *100%)</f>
        <v>1</v>
      </c>
      <c r="C113" t="str">
        <f t="shared" si="23"/>
        <v>Iphone 15 Pro Max</v>
      </c>
      <c r="D113">
        <f>SUM(((D75-MIN(Table4[Dimensi]))/(MAX(Table4[Dimensi])-MIN(Table4[Dimensi])))*100%)</f>
        <v>0.8</v>
      </c>
      <c r="E113">
        <f>SUM((E75-MIN(Table4[Berat]))/(MAX(Table4[Berat])-MIN(Table4[Berat]))*100%)</f>
        <v>1</v>
      </c>
      <c r="F113">
        <f>SUM((F75-MIN(Table4[Build]))/(MAX(Table4[Build])-MIN(Table4[Build]))*100%)</f>
        <v>1</v>
      </c>
      <c r="G113">
        <f>SUM((G75-MIN(Table4[Type Layar]))/(MAX(Table4[Type Layar])-MIN(Table4[Type Layar]))*100%)</f>
        <v>1</v>
      </c>
      <c r="H113">
        <f>SUM((H75-MIN(Table4[Ukuran Layar]))/(MAX(Table4[Ukuran Layar])-MIN(Table4[Ukuran Layar]))*100%)</f>
        <v>1</v>
      </c>
      <c r="I113">
        <f>SUM((I75-MIN(Table4[Resolusi]))/(MAX(Table4[Resolusi])-MIN(Table4[Resolusi]))*100%)</f>
        <v>0.66666666666666663</v>
      </c>
      <c r="J113">
        <f>SUM((J75-MIN(Table4[OS]))/(MAX(Table4[OS])-MIN(Table4[OS]))*100%)</f>
        <v>1</v>
      </c>
      <c r="K113">
        <f>SUM((K75-MIN(Table4[Chipset]))/(MAX(Table4[Chipset])-MIN(Table4[Chipset]))*100%)</f>
        <v>7.1428571428571425E-2</v>
      </c>
      <c r="L113">
        <f>SUM((L75-MIN(Table4[CPU]))/(MAX(Table4[CPU])-MIN(Table4[CPU]))*100%)</f>
        <v>0.5</v>
      </c>
      <c r="M113">
        <f>SUM((M75-MIN(Table4[RAM]))/(MAX(Table4[RAM])-MIN(Table4[RAM]))*100%)</f>
        <v>0</v>
      </c>
      <c r="N113">
        <f>SUM((N75-MIN(Table4[ROM]))/(MAX(Table4[ROM])-MIN(Table4[ROM]))*100%)</f>
        <v>0.33333333333333331</v>
      </c>
      <c r="O113">
        <f>SUM((O75-MIN(Table4[MP Main]))/(MAX(Table4[MP Main])-MIN(Table4[MP Main]))*100%)</f>
        <v>0</v>
      </c>
      <c r="P113">
        <f>SUM((P75-MIN(Table4[Tipe Main]))/(MAX(Table4[Tipe Main])-MIN(Table4[Tipe Main]))*100%)</f>
        <v>0.5</v>
      </c>
      <c r="Q113">
        <f>SUM((Q75-MIN(Table4[Video Main]))/(MAX(Table4[Video Main])-MIN(Table4[Video Main]))*100%)</f>
        <v>0</v>
      </c>
      <c r="R113">
        <f>SUM((R75-MIN(Table4[MP Front]))/(MAX(Table4[MP Front])-MIN(Table4[MP Front]))*100%)</f>
        <v>9.0909090909090912E-2</v>
      </c>
      <c r="S113">
        <f>SUM((S75-MIN(Table4[Video Front]))/(MAX(Table4[Video Front])-MIN(Table4[Video Front]))*100%)</f>
        <v>1</v>
      </c>
      <c r="T113">
        <f>SUM((T75-MIN(Table4[USB Type]))/(MAX(Table4[USB Type])-MIN(Table4[USB Type]))*100%)</f>
        <v>1</v>
      </c>
      <c r="U113">
        <f>SUM((U75-MIN(Table4[Capacity]))/(MAX(Table4[Capacity])-MIN(Table4[Capacity]))*100%)</f>
        <v>0.4</v>
      </c>
      <c r="V113">
        <f>SUM((MAX(Table4[Harga])-V75)/(MAX(Table4[Harga])-MIN(Table4[Harga]))*100%)</f>
        <v>0.2857142857142857</v>
      </c>
    </row>
    <row r="114" spans="1:22" x14ac:dyDescent="0.25">
      <c r="A114">
        <v>7</v>
      </c>
      <c r="B114" s="33">
        <f>SUM(((B76 - MIN(Table2[Brand]))/(MAX(Table2[Brand]) - MIN(Table2[Brand]))) *100%)</f>
        <v>1</v>
      </c>
      <c r="C114" t="str">
        <f t="shared" si="23"/>
        <v>Iphone 15 Pro Max</v>
      </c>
      <c r="D114">
        <f>SUM(((D76-MIN(Table4[Dimensi]))/(MAX(Table4[Dimensi])-MIN(Table4[Dimensi])))*100%)</f>
        <v>0.8</v>
      </c>
      <c r="E114">
        <f>SUM((E76-MIN(Table4[Berat]))/(MAX(Table4[Berat])-MIN(Table4[Berat]))*100%)</f>
        <v>1</v>
      </c>
      <c r="F114">
        <f>SUM((F76-MIN(Table4[Build]))/(MAX(Table4[Build])-MIN(Table4[Build]))*100%)</f>
        <v>1</v>
      </c>
      <c r="G114">
        <f>SUM((G76-MIN(Table4[Type Layar]))/(MAX(Table4[Type Layar])-MIN(Table4[Type Layar]))*100%)</f>
        <v>1</v>
      </c>
      <c r="H114">
        <f>SUM((H76-MIN(Table4[Ukuran Layar]))/(MAX(Table4[Ukuran Layar])-MIN(Table4[Ukuran Layar]))*100%)</f>
        <v>1</v>
      </c>
      <c r="I114">
        <f>SUM((I76-MIN(Table4[Resolusi]))/(MAX(Table4[Resolusi])-MIN(Table4[Resolusi]))*100%)</f>
        <v>0.66666666666666663</v>
      </c>
      <c r="J114">
        <f>SUM((J76-MIN(Table4[OS]))/(MAX(Table4[OS])-MIN(Table4[OS]))*100%)</f>
        <v>1</v>
      </c>
      <c r="K114">
        <f>SUM((K76-MIN(Table4[Chipset]))/(MAX(Table4[Chipset])-MIN(Table4[Chipset]))*100%)</f>
        <v>7.1428571428571425E-2</v>
      </c>
      <c r="L114">
        <f>SUM((L76-MIN(Table4[CPU]))/(MAX(Table4[CPU])-MIN(Table4[CPU]))*100%)</f>
        <v>0.5</v>
      </c>
      <c r="M114">
        <f>SUM((M76-MIN(Table4[RAM]))/(MAX(Table4[RAM])-MIN(Table4[RAM]))*100%)</f>
        <v>0</v>
      </c>
      <c r="N114">
        <f>SUM((N76-MIN(Table4[ROM]))/(MAX(Table4[ROM])-MIN(Table4[ROM]))*100%)</f>
        <v>0.66666666666666663</v>
      </c>
      <c r="O114">
        <f>SUM((O76-MIN(Table4[MP Main]))/(MAX(Table4[MP Main])-MIN(Table4[MP Main]))*100%)</f>
        <v>0</v>
      </c>
      <c r="P114">
        <f>SUM((P76-MIN(Table4[Tipe Main]))/(MAX(Table4[Tipe Main])-MIN(Table4[Tipe Main]))*100%)</f>
        <v>0.5</v>
      </c>
      <c r="Q114">
        <f>SUM((Q76-MIN(Table4[Video Main]))/(MAX(Table4[Video Main])-MIN(Table4[Video Main]))*100%)</f>
        <v>0</v>
      </c>
      <c r="R114">
        <f>SUM((R76-MIN(Table4[MP Front]))/(MAX(Table4[MP Front])-MIN(Table4[MP Front]))*100%)</f>
        <v>9.0909090909090912E-2</v>
      </c>
      <c r="S114">
        <f>SUM((S76-MIN(Table4[Video Front]))/(MAX(Table4[Video Front])-MIN(Table4[Video Front]))*100%)</f>
        <v>1</v>
      </c>
      <c r="T114">
        <f>SUM((T76-MIN(Table4[USB Type]))/(MAX(Table4[USB Type])-MIN(Table4[USB Type]))*100%)</f>
        <v>1</v>
      </c>
      <c r="U114">
        <f>SUM((U76-MIN(Table4[Capacity]))/(MAX(Table4[Capacity])-MIN(Table4[Capacity]))*100%)</f>
        <v>0.4</v>
      </c>
      <c r="V114">
        <f>SUM((MAX(Table4[Harga])-V76)/(MAX(Table4[Harga])-MIN(Table4[Harga]))*100%)</f>
        <v>0.14285714285714285</v>
      </c>
    </row>
    <row r="115" spans="1:22" x14ac:dyDescent="0.25">
      <c r="A115">
        <v>8</v>
      </c>
      <c r="B115" s="33">
        <f>SUM(((B77 - MIN(Table2[Brand]))/(MAX(Table2[Brand]) - MIN(Table2[Brand]))) *100%)</f>
        <v>1</v>
      </c>
      <c r="C115" t="str">
        <f t="shared" si="23"/>
        <v>Iphone 15 Pro Max</v>
      </c>
      <c r="D115">
        <f>SUM(((D77-MIN(Table4[Dimensi]))/(MAX(Table4[Dimensi])-MIN(Table4[Dimensi])))*100%)</f>
        <v>0.8</v>
      </c>
      <c r="E115">
        <f>SUM((E77-MIN(Table4[Berat]))/(MAX(Table4[Berat])-MIN(Table4[Berat]))*100%)</f>
        <v>1</v>
      </c>
      <c r="F115">
        <f>SUM((F77-MIN(Table4[Build]))/(MAX(Table4[Build])-MIN(Table4[Build]))*100%)</f>
        <v>1</v>
      </c>
      <c r="G115">
        <f>SUM((G77-MIN(Table4[Type Layar]))/(MAX(Table4[Type Layar])-MIN(Table4[Type Layar]))*100%)</f>
        <v>1</v>
      </c>
      <c r="H115">
        <f>SUM((H77-MIN(Table4[Ukuran Layar]))/(MAX(Table4[Ukuran Layar])-MIN(Table4[Ukuran Layar]))*100%)</f>
        <v>1</v>
      </c>
      <c r="I115">
        <f>SUM((I77-MIN(Table4[Resolusi]))/(MAX(Table4[Resolusi])-MIN(Table4[Resolusi]))*100%)</f>
        <v>0.66666666666666663</v>
      </c>
      <c r="J115">
        <f>SUM((J77-MIN(Table4[OS]))/(MAX(Table4[OS])-MIN(Table4[OS]))*100%)</f>
        <v>1</v>
      </c>
      <c r="K115">
        <f>SUM((K77-MIN(Table4[Chipset]))/(MAX(Table4[Chipset])-MIN(Table4[Chipset]))*100%)</f>
        <v>7.1428571428571425E-2</v>
      </c>
      <c r="L115">
        <f>SUM((L77-MIN(Table4[CPU]))/(MAX(Table4[CPU])-MIN(Table4[CPU]))*100%)</f>
        <v>0.5</v>
      </c>
      <c r="M115">
        <f>SUM((M77-MIN(Table4[RAM]))/(MAX(Table4[RAM])-MIN(Table4[RAM]))*100%)</f>
        <v>0</v>
      </c>
      <c r="N115">
        <f>SUM((N77-MIN(Table4[ROM]))/(MAX(Table4[ROM])-MIN(Table4[ROM]))*100%)</f>
        <v>1</v>
      </c>
      <c r="O115">
        <f>SUM((O77-MIN(Table4[MP Main]))/(MAX(Table4[MP Main])-MIN(Table4[MP Main]))*100%)</f>
        <v>0</v>
      </c>
      <c r="P115">
        <f>SUM((P77-MIN(Table4[Tipe Main]))/(MAX(Table4[Tipe Main])-MIN(Table4[Tipe Main]))*100%)</f>
        <v>0.5</v>
      </c>
      <c r="Q115">
        <f>SUM((Q77-MIN(Table4[Video Main]))/(MAX(Table4[Video Main])-MIN(Table4[Video Main]))*100%)</f>
        <v>0</v>
      </c>
      <c r="R115">
        <f>SUM((R77-MIN(Table4[MP Front]))/(MAX(Table4[MP Front])-MIN(Table4[MP Front]))*100%)</f>
        <v>9.0909090909090912E-2</v>
      </c>
      <c r="S115">
        <f>SUM((S77-MIN(Table4[Video Front]))/(MAX(Table4[Video Front])-MIN(Table4[Video Front]))*100%)</f>
        <v>1</v>
      </c>
      <c r="T115">
        <f>SUM((T77-MIN(Table4[USB Type]))/(MAX(Table4[USB Type])-MIN(Table4[USB Type]))*100%)</f>
        <v>1</v>
      </c>
      <c r="U115">
        <f>SUM((U77-MIN(Table4[Capacity]))/(MAX(Table4[Capacity])-MIN(Table4[Capacity]))*100%)</f>
        <v>0.4</v>
      </c>
      <c r="V115">
        <f>SUM((MAX(Table4[Harga])-V77)/(MAX(Table4[Harga])-MIN(Table4[Harga]))*100%)</f>
        <v>0</v>
      </c>
    </row>
    <row r="116" spans="1:22" x14ac:dyDescent="0.25">
      <c r="A116">
        <v>9</v>
      </c>
      <c r="B116" s="33">
        <f>SUM(((B78 - MIN(Table2[Brand]))/(MAX(Table2[Brand]) - MIN(Table2[Brand]))) *100%)</f>
        <v>1</v>
      </c>
      <c r="C116" t="str">
        <f t="shared" si="23"/>
        <v>Iphone 15 Pro</v>
      </c>
      <c r="D116">
        <f>SUM(((D78-MIN(Table4[Dimensi]))/(MAX(Table4[Dimensi])-MIN(Table4[Dimensi])))*100%)</f>
        <v>0.2</v>
      </c>
      <c r="E116">
        <f>SUM((E78-MIN(Table4[Berat]))/(MAX(Table4[Berat])-MIN(Table4[Berat]))*100%)</f>
        <v>0.8571428571428571</v>
      </c>
      <c r="F116">
        <f>SUM((F78-MIN(Table4[Build]))/(MAX(Table4[Build])-MIN(Table4[Build]))*100%)</f>
        <v>1</v>
      </c>
      <c r="G116">
        <f>SUM((G78-MIN(Table4[Type Layar]))/(MAX(Table4[Type Layar])-MIN(Table4[Type Layar]))*100%)</f>
        <v>1</v>
      </c>
      <c r="H116">
        <f>SUM((H78-MIN(Table4[Ukuran Layar]))/(MAX(Table4[Ukuran Layar])-MIN(Table4[Ukuran Layar]))*100%)</f>
        <v>0.33333333333333331</v>
      </c>
      <c r="I116">
        <f>SUM((I78-MIN(Table4[Resolusi]))/(MAX(Table4[Resolusi])-MIN(Table4[Resolusi]))*100%)</f>
        <v>0.33333333333333331</v>
      </c>
      <c r="J116">
        <f>SUM((J78-MIN(Table4[OS]))/(MAX(Table4[OS])-MIN(Table4[OS]))*100%)</f>
        <v>1</v>
      </c>
      <c r="K116">
        <f>SUM((K78-MIN(Table4[Chipset]))/(MAX(Table4[Chipset])-MIN(Table4[Chipset]))*100%)</f>
        <v>7.1428571428571425E-2</v>
      </c>
      <c r="L116">
        <f>SUM((L78-MIN(Table4[CPU]))/(MAX(Table4[CPU])-MIN(Table4[CPU]))*100%)</f>
        <v>0.5</v>
      </c>
      <c r="M116">
        <f>SUM((M78-MIN(Table4[RAM]))/(MAX(Table4[RAM])-MIN(Table4[RAM]))*100%)</f>
        <v>0</v>
      </c>
      <c r="N116">
        <f>SUM((N78-MIN(Table4[ROM]))/(MAX(Table4[ROM])-MIN(Table4[ROM]))*100%)</f>
        <v>0</v>
      </c>
      <c r="O116">
        <f>SUM((O78-MIN(Table4[MP Main]))/(MAX(Table4[MP Main])-MIN(Table4[MP Main]))*100%)</f>
        <v>0</v>
      </c>
      <c r="P116">
        <f>SUM((P78-MIN(Table4[Tipe Main]))/(MAX(Table4[Tipe Main])-MIN(Table4[Tipe Main]))*100%)</f>
        <v>0.5</v>
      </c>
      <c r="Q116">
        <f>SUM((Q78-MIN(Table4[Video Main]))/(MAX(Table4[Video Main])-MIN(Table4[Video Main]))*100%)</f>
        <v>0</v>
      </c>
      <c r="R116">
        <f>SUM((R78-MIN(Table4[MP Front]))/(MAX(Table4[MP Front])-MIN(Table4[MP Front]))*100%)</f>
        <v>9.0909090909090912E-2</v>
      </c>
      <c r="S116">
        <f>SUM((S78-MIN(Table4[Video Front]))/(MAX(Table4[Video Front])-MIN(Table4[Video Front]))*100%)</f>
        <v>1</v>
      </c>
      <c r="T116">
        <f>SUM((T78-MIN(Table4[USB Type]))/(MAX(Table4[USB Type])-MIN(Table4[USB Type]))*100%)</f>
        <v>1</v>
      </c>
      <c r="U116">
        <f>SUM((U78-MIN(Table4[Capacity]))/(MAX(Table4[Capacity])-MIN(Table4[Capacity]))*100%)</f>
        <v>0</v>
      </c>
      <c r="V116">
        <f>SUM((MAX(Table4[Harga])-V78)/(MAX(Table4[Harga])-MIN(Table4[Harga]))*100%)</f>
        <v>0.5714285714285714</v>
      </c>
    </row>
    <row r="117" spans="1:22" x14ac:dyDescent="0.25">
      <c r="A117">
        <v>10</v>
      </c>
      <c r="B117" s="33">
        <f>SUM(((B79 - MIN(Table2[Brand]))/(MAX(Table2[Brand]) - MIN(Table2[Brand]))) *100%)</f>
        <v>1</v>
      </c>
      <c r="C117" t="str">
        <f t="shared" si="23"/>
        <v>Iphone 15 Pro</v>
      </c>
      <c r="D117">
        <f>SUM(((D79-MIN(Table4[Dimensi]))/(MAX(Table4[Dimensi])-MIN(Table4[Dimensi])))*100%)</f>
        <v>0.2</v>
      </c>
      <c r="E117">
        <f>SUM((E79-MIN(Table4[Berat]))/(MAX(Table4[Berat])-MIN(Table4[Berat]))*100%)</f>
        <v>0.8571428571428571</v>
      </c>
      <c r="F117">
        <f>SUM((F79-MIN(Table4[Build]))/(MAX(Table4[Build])-MIN(Table4[Build]))*100%)</f>
        <v>1</v>
      </c>
      <c r="G117">
        <f>SUM((G79-MIN(Table4[Type Layar]))/(MAX(Table4[Type Layar])-MIN(Table4[Type Layar]))*100%)</f>
        <v>1</v>
      </c>
      <c r="H117">
        <f>SUM((H79-MIN(Table4[Ukuran Layar]))/(MAX(Table4[Ukuran Layar])-MIN(Table4[Ukuran Layar]))*100%)</f>
        <v>0.33333333333333331</v>
      </c>
      <c r="I117">
        <f>SUM((I79-MIN(Table4[Resolusi]))/(MAX(Table4[Resolusi])-MIN(Table4[Resolusi]))*100%)</f>
        <v>0.33333333333333331</v>
      </c>
      <c r="J117">
        <f>SUM((J79-MIN(Table4[OS]))/(MAX(Table4[OS])-MIN(Table4[OS]))*100%)</f>
        <v>1</v>
      </c>
      <c r="K117">
        <f>SUM((K79-MIN(Table4[Chipset]))/(MAX(Table4[Chipset])-MIN(Table4[Chipset]))*100%)</f>
        <v>7.1428571428571425E-2</v>
      </c>
      <c r="L117">
        <f>SUM((L79-MIN(Table4[CPU]))/(MAX(Table4[CPU])-MIN(Table4[CPU]))*100%)</f>
        <v>0.5</v>
      </c>
      <c r="M117">
        <f>SUM((M79-MIN(Table4[RAM]))/(MAX(Table4[RAM])-MIN(Table4[RAM]))*100%)</f>
        <v>0</v>
      </c>
      <c r="N117">
        <f>SUM((N79-MIN(Table4[ROM]))/(MAX(Table4[ROM])-MIN(Table4[ROM]))*100%)</f>
        <v>0.33333333333333331</v>
      </c>
      <c r="O117">
        <f>SUM((O79-MIN(Table4[MP Main]))/(MAX(Table4[MP Main])-MIN(Table4[MP Main]))*100%)</f>
        <v>0</v>
      </c>
      <c r="P117">
        <f>SUM((P79-MIN(Table4[Tipe Main]))/(MAX(Table4[Tipe Main])-MIN(Table4[Tipe Main]))*100%)</f>
        <v>0.5</v>
      </c>
      <c r="Q117">
        <f>SUM((Q79-MIN(Table4[Video Main]))/(MAX(Table4[Video Main])-MIN(Table4[Video Main]))*100%)</f>
        <v>0</v>
      </c>
      <c r="R117">
        <f>SUM((R79-MIN(Table4[MP Front]))/(MAX(Table4[MP Front])-MIN(Table4[MP Front]))*100%)</f>
        <v>9.0909090909090912E-2</v>
      </c>
      <c r="S117">
        <f>SUM((S79-MIN(Table4[Video Front]))/(MAX(Table4[Video Front])-MIN(Table4[Video Front]))*100%)</f>
        <v>1</v>
      </c>
      <c r="T117">
        <f>SUM((T79-MIN(Table4[USB Type]))/(MAX(Table4[USB Type])-MIN(Table4[USB Type]))*100%)</f>
        <v>1</v>
      </c>
      <c r="U117">
        <f>SUM((U79-MIN(Table4[Capacity]))/(MAX(Table4[Capacity])-MIN(Table4[Capacity]))*100%)</f>
        <v>0</v>
      </c>
      <c r="V117">
        <f>SUM((MAX(Table4[Harga])-V79)/(MAX(Table4[Harga])-MIN(Table4[Harga]))*100%)</f>
        <v>0.42857142857142855</v>
      </c>
    </row>
    <row r="118" spans="1:22" x14ac:dyDescent="0.25">
      <c r="A118">
        <v>11</v>
      </c>
      <c r="B118" s="33">
        <f>SUM(((B80 - MIN(Table2[Brand]))/(MAX(Table2[Brand]) - MIN(Table2[Brand]))) *100%)</f>
        <v>1</v>
      </c>
      <c r="C118" t="str">
        <f t="shared" si="23"/>
        <v>Iphone 15 Pro</v>
      </c>
      <c r="D118">
        <f>SUM(((D80-MIN(Table4[Dimensi]))/(MAX(Table4[Dimensi])-MIN(Table4[Dimensi])))*100%)</f>
        <v>0.2</v>
      </c>
      <c r="E118">
        <f>SUM((E80-MIN(Table4[Berat]))/(MAX(Table4[Berat])-MIN(Table4[Berat]))*100%)</f>
        <v>0.8571428571428571</v>
      </c>
      <c r="F118">
        <f>SUM((F80-MIN(Table4[Build]))/(MAX(Table4[Build])-MIN(Table4[Build]))*100%)</f>
        <v>1</v>
      </c>
      <c r="G118">
        <f>SUM((G80-MIN(Table4[Type Layar]))/(MAX(Table4[Type Layar])-MIN(Table4[Type Layar]))*100%)</f>
        <v>1</v>
      </c>
      <c r="H118">
        <f>SUM((H80-MIN(Table4[Ukuran Layar]))/(MAX(Table4[Ukuran Layar])-MIN(Table4[Ukuran Layar]))*100%)</f>
        <v>0.33333333333333331</v>
      </c>
      <c r="I118">
        <f>SUM((I80-MIN(Table4[Resolusi]))/(MAX(Table4[Resolusi])-MIN(Table4[Resolusi]))*100%)</f>
        <v>0.33333333333333331</v>
      </c>
      <c r="J118">
        <f>SUM((J80-MIN(Table4[OS]))/(MAX(Table4[OS])-MIN(Table4[OS]))*100%)</f>
        <v>1</v>
      </c>
      <c r="K118">
        <f>SUM((K80-MIN(Table4[Chipset]))/(MAX(Table4[Chipset])-MIN(Table4[Chipset]))*100%)</f>
        <v>7.1428571428571425E-2</v>
      </c>
      <c r="L118">
        <f>SUM((L80-MIN(Table4[CPU]))/(MAX(Table4[CPU])-MIN(Table4[CPU]))*100%)</f>
        <v>0.5</v>
      </c>
      <c r="M118">
        <f>SUM((M80-MIN(Table4[RAM]))/(MAX(Table4[RAM])-MIN(Table4[RAM]))*100%)</f>
        <v>0</v>
      </c>
      <c r="N118">
        <f>SUM((N80-MIN(Table4[ROM]))/(MAX(Table4[ROM])-MIN(Table4[ROM]))*100%)</f>
        <v>0.66666666666666663</v>
      </c>
      <c r="O118">
        <f>SUM((O80-MIN(Table4[MP Main]))/(MAX(Table4[MP Main])-MIN(Table4[MP Main]))*100%)</f>
        <v>0</v>
      </c>
      <c r="P118">
        <f>SUM((P80-MIN(Table4[Tipe Main]))/(MAX(Table4[Tipe Main])-MIN(Table4[Tipe Main]))*100%)</f>
        <v>0.5</v>
      </c>
      <c r="Q118">
        <f>SUM((Q80-MIN(Table4[Video Main]))/(MAX(Table4[Video Main])-MIN(Table4[Video Main]))*100%)</f>
        <v>0</v>
      </c>
      <c r="R118">
        <f>SUM((R80-MIN(Table4[MP Front]))/(MAX(Table4[MP Front])-MIN(Table4[MP Front]))*100%)</f>
        <v>9.0909090909090912E-2</v>
      </c>
      <c r="S118">
        <f>SUM((S80-MIN(Table4[Video Front]))/(MAX(Table4[Video Front])-MIN(Table4[Video Front]))*100%)</f>
        <v>1</v>
      </c>
      <c r="T118">
        <f>SUM((T80-MIN(Table4[USB Type]))/(MAX(Table4[USB Type])-MIN(Table4[USB Type]))*100%)</f>
        <v>1</v>
      </c>
      <c r="U118">
        <f>SUM((U80-MIN(Table4[Capacity]))/(MAX(Table4[Capacity])-MIN(Table4[Capacity]))*100%)</f>
        <v>0</v>
      </c>
      <c r="V118">
        <f>SUM((MAX(Table4[Harga])-V80)/(MAX(Table4[Harga])-MIN(Table4[Harga]))*100%)</f>
        <v>0.14285714285714285</v>
      </c>
    </row>
    <row r="119" spans="1:22" x14ac:dyDescent="0.25">
      <c r="A119">
        <v>12</v>
      </c>
      <c r="B119" s="33">
        <f>SUM(((B81 - MIN(Table2[Brand]))/(MAX(Table2[Brand]) - MIN(Table2[Brand]))) *100%)</f>
        <v>1</v>
      </c>
      <c r="C119" t="str">
        <f t="shared" si="23"/>
        <v>Iphone 15 Pro</v>
      </c>
      <c r="D119">
        <f>SUM(((D81-MIN(Table4[Dimensi]))/(MAX(Table4[Dimensi])-MIN(Table4[Dimensi])))*100%)</f>
        <v>0.2</v>
      </c>
      <c r="E119">
        <f>SUM((E81-MIN(Table4[Berat]))/(MAX(Table4[Berat])-MIN(Table4[Berat]))*100%)</f>
        <v>0.2857142857142857</v>
      </c>
      <c r="F119">
        <f>SUM((F81-MIN(Table4[Build]))/(MAX(Table4[Build])-MIN(Table4[Build]))*100%)</f>
        <v>1</v>
      </c>
      <c r="G119">
        <f>SUM((G81-MIN(Table4[Type Layar]))/(MAX(Table4[Type Layar])-MIN(Table4[Type Layar]))*100%)</f>
        <v>1</v>
      </c>
      <c r="H119">
        <f>SUM((H81-MIN(Table4[Ukuran Layar]))/(MAX(Table4[Ukuran Layar])-MIN(Table4[Ukuran Layar]))*100%)</f>
        <v>0.33333333333333331</v>
      </c>
      <c r="I119">
        <f>SUM((I81-MIN(Table4[Resolusi]))/(MAX(Table4[Resolusi])-MIN(Table4[Resolusi]))*100%)</f>
        <v>0.33333333333333331</v>
      </c>
      <c r="J119">
        <f>SUM((J81-MIN(Table4[OS]))/(MAX(Table4[OS])-MIN(Table4[OS]))*100%)</f>
        <v>1</v>
      </c>
      <c r="K119">
        <f>SUM((K81-MIN(Table4[Chipset]))/(MAX(Table4[Chipset])-MIN(Table4[Chipset]))*100%)</f>
        <v>7.1428571428571425E-2</v>
      </c>
      <c r="L119">
        <f>SUM((L81-MIN(Table4[CPU]))/(MAX(Table4[CPU])-MIN(Table4[CPU]))*100%)</f>
        <v>0.5</v>
      </c>
      <c r="M119">
        <f>SUM((M81-MIN(Table4[RAM]))/(MAX(Table4[RAM])-MIN(Table4[RAM]))*100%)</f>
        <v>0</v>
      </c>
      <c r="N119">
        <f>SUM((N81-MIN(Table4[ROM]))/(MAX(Table4[ROM])-MIN(Table4[ROM]))*100%)</f>
        <v>1</v>
      </c>
      <c r="O119">
        <f>SUM((O81-MIN(Table4[MP Main]))/(MAX(Table4[MP Main])-MIN(Table4[MP Main]))*100%)</f>
        <v>0</v>
      </c>
      <c r="P119">
        <f>SUM((P81-MIN(Table4[Tipe Main]))/(MAX(Table4[Tipe Main])-MIN(Table4[Tipe Main]))*100%)</f>
        <v>0.5</v>
      </c>
      <c r="Q119">
        <f>SUM((Q81-MIN(Table4[Video Main]))/(MAX(Table4[Video Main])-MIN(Table4[Video Main]))*100%)</f>
        <v>0</v>
      </c>
      <c r="R119">
        <f>SUM((R81-MIN(Table4[MP Front]))/(MAX(Table4[MP Front])-MIN(Table4[MP Front]))*100%)</f>
        <v>9.0909090909090912E-2</v>
      </c>
      <c r="S119">
        <f>SUM((S81-MIN(Table4[Video Front]))/(MAX(Table4[Video Front])-MIN(Table4[Video Front]))*100%)</f>
        <v>1</v>
      </c>
      <c r="T119">
        <f>SUM((T81-MIN(Table4[USB Type]))/(MAX(Table4[USB Type])-MIN(Table4[USB Type]))*100%)</f>
        <v>1</v>
      </c>
      <c r="U119">
        <f>SUM((U81-MIN(Table4[Capacity]))/(MAX(Table4[Capacity])-MIN(Table4[Capacity]))*100%)</f>
        <v>0</v>
      </c>
      <c r="V119">
        <f>SUM((MAX(Table4[Harga])-V81)/(MAX(Table4[Harga])-MIN(Table4[Harga]))*100%)</f>
        <v>0</v>
      </c>
    </row>
    <row r="120" spans="1:22" x14ac:dyDescent="0.25">
      <c r="A120">
        <v>13</v>
      </c>
      <c r="B120" s="33">
        <f>SUM(((B82 - MIN(Table2[Brand]))/(MAX(Table2[Brand]) - MIN(Table2[Brand]))) *100%)</f>
        <v>1</v>
      </c>
      <c r="C120" t="str">
        <f t="shared" si="23"/>
        <v>Iphone 15 Plus</v>
      </c>
      <c r="D120">
        <f>SUM(((D82-MIN(Table4[Dimensi]))/(MAX(Table4[Dimensi])-MIN(Table4[Dimensi])))*100%)</f>
        <v>0.4</v>
      </c>
      <c r="E120">
        <f>SUM((E82-MIN(Table4[Berat]))/(MAX(Table4[Berat])-MIN(Table4[Berat]))*100%)</f>
        <v>0.2857142857142857</v>
      </c>
      <c r="F120">
        <f>SUM((F82-MIN(Table4[Build]))/(MAX(Table4[Build])-MIN(Table4[Build]))*100%)</f>
        <v>0.18181818181818182</v>
      </c>
      <c r="G120">
        <f>SUM((G82-MIN(Table4[Type Layar]))/(MAX(Table4[Type Layar])-MIN(Table4[Type Layar]))*100%)</f>
        <v>1</v>
      </c>
      <c r="H120">
        <f>SUM((H82-MIN(Table4[Ukuran Layar]))/(MAX(Table4[Ukuran Layar])-MIN(Table4[Ukuran Layar]))*100%)</f>
        <v>1</v>
      </c>
      <c r="I120">
        <f>SUM((I82-MIN(Table4[Resolusi]))/(MAX(Table4[Resolusi])-MIN(Table4[Resolusi]))*100%)</f>
        <v>0.66666666666666663</v>
      </c>
      <c r="J120">
        <f>SUM((J82-MIN(Table4[OS]))/(MAX(Table4[OS])-MIN(Table4[OS]))*100%)</f>
        <v>1</v>
      </c>
      <c r="K120">
        <f>SUM((K82-MIN(Table4[Chipset]))/(MAX(Table4[Chipset])-MIN(Table4[Chipset]))*100%)</f>
        <v>0</v>
      </c>
      <c r="L120">
        <f>SUM((L82-MIN(Table4[CPU]))/(MAX(Table4[CPU])-MIN(Table4[CPU]))*100%)</f>
        <v>0.5</v>
      </c>
      <c r="M120">
        <f>SUM((M82-MIN(Table4[RAM]))/(MAX(Table4[RAM])-MIN(Table4[RAM]))*100%)</f>
        <v>0</v>
      </c>
      <c r="N120">
        <f>SUM((N82-MIN(Table4[ROM]))/(MAX(Table4[ROM])-MIN(Table4[ROM]))*100%)</f>
        <v>0</v>
      </c>
      <c r="O120">
        <f>SUM((O82-MIN(Table4[MP Main]))/(MAX(Table4[MP Main])-MIN(Table4[MP Main]))*100%)</f>
        <v>0</v>
      </c>
      <c r="P120">
        <f>SUM((P82-MIN(Table4[Tipe Main]))/(MAX(Table4[Tipe Main])-MIN(Table4[Tipe Main]))*100%)</f>
        <v>0</v>
      </c>
      <c r="Q120">
        <f>SUM((Q82-MIN(Table4[Video Main]))/(MAX(Table4[Video Main])-MIN(Table4[Video Main]))*100%)</f>
        <v>0</v>
      </c>
      <c r="R120">
        <f>SUM((R82-MIN(Table4[MP Front]))/(MAX(Table4[MP Front])-MIN(Table4[MP Front]))*100%)</f>
        <v>9.0909090909090912E-2</v>
      </c>
      <c r="S120">
        <f>SUM((S82-MIN(Table4[Video Front]))/(MAX(Table4[Video Front])-MIN(Table4[Video Front]))*100%)</f>
        <v>0.86956521739130432</v>
      </c>
      <c r="T120">
        <f>SUM((T82-MIN(Table4[USB Type]))/(MAX(Table4[USB Type])-MIN(Table4[USB Type]))*100%)</f>
        <v>0</v>
      </c>
      <c r="U120">
        <f>SUM((U82-MIN(Table4[Capacity]))/(MAX(Table4[Capacity])-MIN(Table4[Capacity]))*100%)</f>
        <v>0.4</v>
      </c>
      <c r="V120">
        <f>SUM((MAX(Table4[Harga])-V82)/(MAX(Table4[Harga])-MIN(Table4[Harga]))*100%)</f>
        <v>0.7142857142857143</v>
      </c>
    </row>
    <row r="121" spans="1:22" x14ac:dyDescent="0.25">
      <c r="A121">
        <v>14</v>
      </c>
      <c r="B121" s="33">
        <f>SUM(((B83 - MIN(Table2[Brand]))/(MAX(Table2[Brand]) - MIN(Table2[Brand]))) *100%)</f>
        <v>1</v>
      </c>
      <c r="C121" t="str">
        <f t="shared" si="23"/>
        <v>Iphone 15 Plus</v>
      </c>
      <c r="D121">
        <f>SUM(((D83-MIN(Table4[Dimensi]))/(MAX(Table4[Dimensi])-MIN(Table4[Dimensi])))*100%)</f>
        <v>0.4</v>
      </c>
      <c r="E121">
        <f>SUM((E83-MIN(Table4[Berat]))/(MAX(Table4[Berat])-MIN(Table4[Berat]))*100%)</f>
        <v>0.2857142857142857</v>
      </c>
      <c r="F121">
        <f>SUM((F83-MIN(Table4[Build]))/(MAX(Table4[Build])-MIN(Table4[Build]))*100%)</f>
        <v>0.18181818181818182</v>
      </c>
      <c r="G121">
        <f>SUM((G83-MIN(Table4[Type Layar]))/(MAX(Table4[Type Layar])-MIN(Table4[Type Layar]))*100%)</f>
        <v>1</v>
      </c>
      <c r="H121">
        <f>SUM((H83-MIN(Table4[Ukuran Layar]))/(MAX(Table4[Ukuran Layar])-MIN(Table4[Ukuran Layar]))*100%)</f>
        <v>1</v>
      </c>
      <c r="I121">
        <f>SUM((I83-MIN(Table4[Resolusi]))/(MAX(Table4[Resolusi])-MIN(Table4[Resolusi]))*100%)</f>
        <v>0.66666666666666663</v>
      </c>
      <c r="J121">
        <f>SUM((J83-MIN(Table4[OS]))/(MAX(Table4[OS])-MIN(Table4[OS]))*100%)</f>
        <v>1</v>
      </c>
      <c r="K121">
        <f>SUM((K83-MIN(Table4[Chipset]))/(MAX(Table4[Chipset])-MIN(Table4[Chipset]))*100%)</f>
        <v>0</v>
      </c>
      <c r="L121">
        <f>SUM((L83-MIN(Table4[CPU]))/(MAX(Table4[CPU])-MIN(Table4[CPU]))*100%)</f>
        <v>0.5</v>
      </c>
      <c r="M121">
        <f>SUM((M83-MIN(Table4[RAM]))/(MAX(Table4[RAM])-MIN(Table4[RAM]))*100%)</f>
        <v>0</v>
      </c>
      <c r="N121">
        <f>SUM((N83-MIN(Table4[ROM]))/(MAX(Table4[ROM])-MIN(Table4[ROM]))*100%)</f>
        <v>0.33333333333333331</v>
      </c>
      <c r="O121">
        <f>SUM((O83-MIN(Table4[MP Main]))/(MAX(Table4[MP Main])-MIN(Table4[MP Main]))*100%)</f>
        <v>0</v>
      </c>
      <c r="P121">
        <f>SUM((P83-MIN(Table4[Tipe Main]))/(MAX(Table4[Tipe Main])-MIN(Table4[Tipe Main]))*100%)</f>
        <v>0</v>
      </c>
      <c r="Q121">
        <f>SUM((Q83-MIN(Table4[Video Main]))/(MAX(Table4[Video Main])-MIN(Table4[Video Main]))*100%)</f>
        <v>0</v>
      </c>
      <c r="R121">
        <f>SUM((R83-MIN(Table4[MP Front]))/(MAX(Table4[MP Front])-MIN(Table4[MP Front]))*100%)</f>
        <v>9.0909090909090912E-2</v>
      </c>
      <c r="S121">
        <f>SUM((S83-MIN(Table4[Video Front]))/(MAX(Table4[Video Front])-MIN(Table4[Video Front]))*100%)</f>
        <v>0.86956521739130432</v>
      </c>
      <c r="T121">
        <f>SUM((T83-MIN(Table4[USB Type]))/(MAX(Table4[USB Type])-MIN(Table4[USB Type]))*100%)</f>
        <v>0</v>
      </c>
      <c r="U121">
        <f>SUM((U83-MIN(Table4[Capacity]))/(MAX(Table4[Capacity])-MIN(Table4[Capacity]))*100%)</f>
        <v>0.4</v>
      </c>
      <c r="V121">
        <f>SUM((MAX(Table4[Harga])-V83)/(MAX(Table4[Harga])-MIN(Table4[Harga]))*100%)</f>
        <v>0.5714285714285714</v>
      </c>
    </row>
    <row r="122" spans="1:22" x14ac:dyDescent="0.25">
      <c r="A122">
        <v>15</v>
      </c>
      <c r="B122" s="33">
        <f>SUM(((B84 - MIN(Table2[Brand]))/(MAX(Table2[Brand]) - MIN(Table2[Brand]))) *100%)</f>
        <v>1</v>
      </c>
      <c r="C122" t="str">
        <f t="shared" si="23"/>
        <v>Iphone 15 Plus</v>
      </c>
      <c r="D122">
        <f>SUM(((D84-MIN(Table4[Dimensi]))/(MAX(Table4[Dimensi])-MIN(Table4[Dimensi])))*100%)</f>
        <v>0.4</v>
      </c>
      <c r="E122">
        <f>SUM((E84-MIN(Table4[Berat]))/(MAX(Table4[Berat])-MIN(Table4[Berat]))*100%)</f>
        <v>0.2857142857142857</v>
      </c>
      <c r="F122">
        <f>SUM((F84-MIN(Table4[Build]))/(MAX(Table4[Build])-MIN(Table4[Build]))*100%)</f>
        <v>1</v>
      </c>
      <c r="G122">
        <f>SUM((G84-MIN(Table4[Type Layar]))/(MAX(Table4[Type Layar])-MIN(Table4[Type Layar]))*100%)</f>
        <v>1</v>
      </c>
      <c r="H122">
        <f>SUM((H84-MIN(Table4[Ukuran Layar]))/(MAX(Table4[Ukuran Layar])-MIN(Table4[Ukuran Layar]))*100%)</f>
        <v>1</v>
      </c>
      <c r="I122">
        <f>SUM((I84-MIN(Table4[Resolusi]))/(MAX(Table4[Resolusi])-MIN(Table4[Resolusi]))*100%)</f>
        <v>0.66666666666666663</v>
      </c>
      <c r="J122">
        <f>SUM((J84-MIN(Table4[OS]))/(MAX(Table4[OS])-MIN(Table4[OS]))*100%)</f>
        <v>1</v>
      </c>
      <c r="K122">
        <f>SUM((K84-MIN(Table4[Chipset]))/(MAX(Table4[Chipset])-MIN(Table4[Chipset]))*100%)</f>
        <v>0</v>
      </c>
      <c r="L122">
        <f>SUM((L84-MIN(Table4[CPU]))/(MAX(Table4[CPU])-MIN(Table4[CPU]))*100%)</f>
        <v>0.5</v>
      </c>
      <c r="M122">
        <f>SUM((M84-MIN(Table4[RAM]))/(MAX(Table4[RAM])-MIN(Table4[RAM]))*100%)</f>
        <v>0</v>
      </c>
      <c r="N122">
        <f>SUM((N84-MIN(Table4[ROM]))/(MAX(Table4[ROM])-MIN(Table4[ROM]))*100%)</f>
        <v>0.66666666666666663</v>
      </c>
      <c r="O122">
        <f>SUM((O84-MIN(Table4[MP Main]))/(MAX(Table4[MP Main])-MIN(Table4[MP Main]))*100%)</f>
        <v>0</v>
      </c>
      <c r="P122">
        <f>SUM((P84-MIN(Table4[Tipe Main]))/(MAX(Table4[Tipe Main])-MIN(Table4[Tipe Main]))*100%)</f>
        <v>0</v>
      </c>
      <c r="Q122">
        <f>SUM((Q84-MIN(Table4[Video Main]))/(MAX(Table4[Video Main])-MIN(Table4[Video Main]))*100%)</f>
        <v>0</v>
      </c>
      <c r="R122">
        <f>SUM((R84-MIN(Table4[MP Front]))/(MAX(Table4[MP Front])-MIN(Table4[MP Front]))*100%)</f>
        <v>9.0909090909090912E-2</v>
      </c>
      <c r="S122">
        <f>SUM((S84-MIN(Table4[Video Front]))/(MAX(Table4[Video Front])-MIN(Table4[Video Front]))*100%)</f>
        <v>0.86956521739130432</v>
      </c>
      <c r="T122">
        <f>SUM((T84-MIN(Table4[USB Type]))/(MAX(Table4[USB Type])-MIN(Table4[USB Type]))*100%)</f>
        <v>0</v>
      </c>
      <c r="U122">
        <f>SUM((U84-MIN(Table4[Capacity]))/(MAX(Table4[Capacity])-MIN(Table4[Capacity]))*100%)</f>
        <v>0.4</v>
      </c>
      <c r="V122">
        <f>SUM((MAX(Table4[Harga])-V84)/(MAX(Table4[Harga])-MIN(Table4[Harga]))*100%)</f>
        <v>0.2857142857142857</v>
      </c>
    </row>
    <row r="123" spans="1:22" x14ac:dyDescent="0.25">
      <c r="A123">
        <v>16</v>
      </c>
      <c r="B123" s="33">
        <f>SUM(((B85 - MIN(Table2[Brand]))/(MAX(Table2[Brand]) - MIN(Table2[Brand]))) *100%)</f>
        <v>1</v>
      </c>
      <c r="C123" t="str">
        <f t="shared" si="23"/>
        <v>Iphone 15</v>
      </c>
      <c r="D123">
        <f>SUM(((D85-MIN(Table4[Dimensi]))/(MAX(Table4[Dimensi])-MIN(Table4[Dimensi])))*100%)</f>
        <v>0.2</v>
      </c>
      <c r="E123">
        <f>SUM((E85-MIN(Table4[Berat]))/(MAX(Table4[Berat])-MIN(Table4[Berat]))*100%)</f>
        <v>0.14285714285714285</v>
      </c>
      <c r="F123">
        <f>SUM((F85-MIN(Table4[Build]))/(MAX(Table4[Build])-MIN(Table4[Build]))*100%)</f>
        <v>0.18181818181818182</v>
      </c>
      <c r="G123">
        <f>SUM((G85-MIN(Table4[Type Layar]))/(MAX(Table4[Type Layar])-MIN(Table4[Type Layar]))*100%)</f>
        <v>1</v>
      </c>
      <c r="H123">
        <f>SUM((H85-MIN(Table4[Ukuran Layar]))/(MAX(Table4[Ukuran Layar])-MIN(Table4[Ukuran Layar]))*100%)</f>
        <v>0.33333333333333331</v>
      </c>
      <c r="I123">
        <f>SUM((I85-MIN(Table4[Resolusi]))/(MAX(Table4[Resolusi])-MIN(Table4[Resolusi]))*100%)</f>
        <v>0.33333333333333331</v>
      </c>
      <c r="J123">
        <f>SUM((J85-MIN(Table4[OS]))/(MAX(Table4[OS])-MIN(Table4[OS]))*100%)</f>
        <v>1</v>
      </c>
      <c r="K123">
        <f>SUM((K85-MIN(Table4[Chipset]))/(MAX(Table4[Chipset])-MIN(Table4[Chipset]))*100%)</f>
        <v>0</v>
      </c>
      <c r="L123">
        <f>SUM((L85-MIN(Table4[CPU]))/(MAX(Table4[CPU])-MIN(Table4[CPU]))*100%)</f>
        <v>0.5</v>
      </c>
      <c r="M123">
        <f>SUM((M85-MIN(Table4[RAM]))/(MAX(Table4[RAM])-MIN(Table4[RAM]))*100%)</f>
        <v>0</v>
      </c>
      <c r="N123">
        <f>SUM((N85-MIN(Table4[ROM]))/(MAX(Table4[ROM])-MIN(Table4[ROM]))*100%)</f>
        <v>0</v>
      </c>
      <c r="O123">
        <f>SUM((O85-MIN(Table4[MP Main]))/(MAX(Table4[MP Main])-MIN(Table4[MP Main]))*100%)</f>
        <v>0</v>
      </c>
      <c r="P123">
        <f>SUM((P85-MIN(Table4[Tipe Main]))/(MAX(Table4[Tipe Main])-MIN(Table4[Tipe Main]))*100%)</f>
        <v>0</v>
      </c>
      <c r="Q123">
        <f>SUM((Q85-MIN(Table4[Video Main]))/(MAX(Table4[Video Main])-MIN(Table4[Video Main]))*100%)</f>
        <v>0</v>
      </c>
      <c r="R123">
        <f>SUM((R85-MIN(Table4[MP Front]))/(MAX(Table4[MP Front])-MIN(Table4[MP Front]))*100%)</f>
        <v>9.0909090909090912E-2</v>
      </c>
      <c r="S123">
        <f>SUM((S85-MIN(Table4[Video Front]))/(MAX(Table4[Video Front])-MIN(Table4[Video Front]))*100%)</f>
        <v>0.86956521739130432</v>
      </c>
      <c r="T123">
        <f>SUM((T85-MIN(Table4[USB Type]))/(MAX(Table4[USB Type])-MIN(Table4[USB Type]))*100%)</f>
        <v>0</v>
      </c>
      <c r="U123">
        <f>SUM((U85-MIN(Table4[Capacity]))/(MAX(Table4[Capacity])-MIN(Table4[Capacity]))*100%)</f>
        <v>0</v>
      </c>
      <c r="V123">
        <f>SUM((MAX(Table4[Harga])-V85)/(MAX(Table4[Harga])-MIN(Table4[Harga]))*100%)</f>
        <v>0.7142857142857143</v>
      </c>
    </row>
    <row r="124" spans="1:22" x14ac:dyDescent="0.25">
      <c r="A124">
        <v>17</v>
      </c>
      <c r="B124" s="33">
        <f>SUM(((B86 - MIN(Table2[Brand]))/(MAX(Table2[Brand]) - MIN(Table2[Brand]))) *100%)</f>
        <v>1</v>
      </c>
      <c r="C124" t="str">
        <f t="shared" si="23"/>
        <v>Iphone 15</v>
      </c>
      <c r="D124">
        <f>SUM(((D86-MIN(Table4[Dimensi]))/(MAX(Table4[Dimensi])-MIN(Table4[Dimensi])))*100%)</f>
        <v>0.2</v>
      </c>
      <c r="E124">
        <f>SUM((E86-MIN(Table4[Berat]))/(MAX(Table4[Berat])-MIN(Table4[Berat]))*100%)</f>
        <v>0.14285714285714285</v>
      </c>
      <c r="F124">
        <f>SUM((F86-MIN(Table4[Build]))/(MAX(Table4[Build])-MIN(Table4[Build]))*100%)</f>
        <v>0.18181818181818182</v>
      </c>
      <c r="G124">
        <f>SUM((G86-MIN(Table4[Type Layar]))/(MAX(Table4[Type Layar])-MIN(Table4[Type Layar]))*100%)</f>
        <v>1</v>
      </c>
      <c r="H124">
        <f>SUM((H86-MIN(Table4[Ukuran Layar]))/(MAX(Table4[Ukuran Layar])-MIN(Table4[Ukuran Layar]))*100%)</f>
        <v>0.33333333333333331</v>
      </c>
      <c r="I124">
        <f>SUM((I86-MIN(Table4[Resolusi]))/(MAX(Table4[Resolusi])-MIN(Table4[Resolusi]))*100%)</f>
        <v>0.33333333333333331</v>
      </c>
      <c r="J124">
        <f>SUM((J86-MIN(Table4[OS]))/(MAX(Table4[OS])-MIN(Table4[OS]))*100%)</f>
        <v>1</v>
      </c>
      <c r="K124">
        <f>SUM((K86-MIN(Table4[Chipset]))/(MAX(Table4[Chipset])-MIN(Table4[Chipset]))*100%)</f>
        <v>0</v>
      </c>
      <c r="L124">
        <f>SUM((L86-MIN(Table4[CPU]))/(MAX(Table4[CPU])-MIN(Table4[CPU]))*100%)</f>
        <v>0.5</v>
      </c>
      <c r="M124">
        <f>SUM((M86-MIN(Table4[RAM]))/(MAX(Table4[RAM])-MIN(Table4[RAM]))*100%)</f>
        <v>0</v>
      </c>
      <c r="N124">
        <f>SUM((N86-MIN(Table4[ROM]))/(MAX(Table4[ROM])-MIN(Table4[ROM]))*100%)</f>
        <v>0.33333333333333331</v>
      </c>
      <c r="O124">
        <f>SUM((O86-MIN(Table4[MP Main]))/(MAX(Table4[MP Main])-MIN(Table4[MP Main]))*100%)</f>
        <v>0</v>
      </c>
      <c r="P124">
        <f>SUM((P86-MIN(Table4[Tipe Main]))/(MAX(Table4[Tipe Main])-MIN(Table4[Tipe Main]))*100%)</f>
        <v>0</v>
      </c>
      <c r="Q124">
        <f>SUM((Q86-MIN(Table4[Video Main]))/(MAX(Table4[Video Main])-MIN(Table4[Video Main]))*100%)</f>
        <v>0</v>
      </c>
      <c r="R124">
        <f>SUM((R86-MIN(Table4[MP Front]))/(MAX(Table4[MP Front])-MIN(Table4[MP Front]))*100%)</f>
        <v>9.0909090909090912E-2</v>
      </c>
      <c r="S124">
        <f>SUM((S86-MIN(Table4[Video Front]))/(MAX(Table4[Video Front])-MIN(Table4[Video Front]))*100%)</f>
        <v>0.86956521739130432</v>
      </c>
      <c r="T124">
        <f>SUM((T86-MIN(Table4[USB Type]))/(MAX(Table4[USB Type])-MIN(Table4[USB Type]))*100%)</f>
        <v>0</v>
      </c>
      <c r="U124">
        <f>SUM((U86-MIN(Table4[Capacity]))/(MAX(Table4[Capacity])-MIN(Table4[Capacity]))*100%)</f>
        <v>0</v>
      </c>
      <c r="V124">
        <f>SUM((MAX(Table4[Harga])-V86)/(MAX(Table4[Harga])-MIN(Table4[Harga]))*100%)</f>
        <v>0.5714285714285714</v>
      </c>
    </row>
    <row r="125" spans="1:22" x14ac:dyDescent="0.25">
      <c r="A125">
        <v>18</v>
      </c>
      <c r="B125" s="33">
        <f>SUM(((B87 - MIN(Table2[Brand]))/(MAX(Table2[Brand]) - MIN(Table2[Brand]))) *100%)</f>
        <v>1</v>
      </c>
      <c r="C125" t="str">
        <f t="shared" si="23"/>
        <v>Iphone 15</v>
      </c>
      <c r="D125">
        <f>SUM(((D87-MIN(Table4[Dimensi]))/(MAX(Table4[Dimensi])-MIN(Table4[Dimensi])))*100%)</f>
        <v>0.2</v>
      </c>
      <c r="E125">
        <f>SUM((E87-MIN(Table4[Berat]))/(MAX(Table4[Berat])-MIN(Table4[Berat]))*100%)</f>
        <v>0.14285714285714285</v>
      </c>
      <c r="F125">
        <f>SUM((F87-MIN(Table4[Build]))/(MAX(Table4[Build])-MIN(Table4[Build]))*100%)</f>
        <v>0.18181818181818182</v>
      </c>
      <c r="G125">
        <f>SUM((G87-MIN(Table4[Type Layar]))/(MAX(Table4[Type Layar])-MIN(Table4[Type Layar]))*100%)</f>
        <v>1</v>
      </c>
      <c r="H125">
        <f>SUM((H87-MIN(Table4[Ukuran Layar]))/(MAX(Table4[Ukuran Layar])-MIN(Table4[Ukuran Layar]))*100%)</f>
        <v>0.33333333333333331</v>
      </c>
      <c r="I125">
        <f>SUM((I87-MIN(Table4[Resolusi]))/(MAX(Table4[Resolusi])-MIN(Table4[Resolusi]))*100%)</f>
        <v>0.33333333333333331</v>
      </c>
      <c r="J125">
        <f>SUM((J87-MIN(Table4[OS]))/(MAX(Table4[OS])-MIN(Table4[OS]))*100%)</f>
        <v>1</v>
      </c>
      <c r="K125">
        <f>SUM((K87-MIN(Table4[Chipset]))/(MAX(Table4[Chipset])-MIN(Table4[Chipset]))*100%)</f>
        <v>0</v>
      </c>
      <c r="L125">
        <f>SUM((L87-MIN(Table4[CPU]))/(MAX(Table4[CPU])-MIN(Table4[CPU]))*100%)</f>
        <v>0.5</v>
      </c>
      <c r="M125">
        <f>SUM((M87-MIN(Table4[RAM]))/(MAX(Table4[RAM])-MIN(Table4[RAM]))*100%)</f>
        <v>0</v>
      </c>
      <c r="N125">
        <f>SUM((N87-MIN(Table4[ROM]))/(MAX(Table4[ROM])-MIN(Table4[ROM]))*100%)</f>
        <v>0.66666666666666663</v>
      </c>
      <c r="O125">
        <f>SUM((O87-MIN(Table4[MP Main]))/(MAX(Table4[MP Main])-MIN(Table4[MP Main]))*100%)</f>
        <v>0</v>
      </c>
      <c r="P125">
        <f>SUM((P87-MIN(Table4[Tipe Main]))/(MAX(Table4[Tipe Main])-MIN(Table4[Tipe Main]))*100%)</f>
        <v>0</v>
      </c>
      <c r="Q125">
        <f>SUM((Q87-MIN(Table4[Video Main]))/(MAX(Table4[Video Main])-MIN(Table4[Video Main]))*100%)</f>
        <v>0</v>
      </c>
      <c r="R125">
        <f>SUM((R87-MIN(Table4[MP Front]))/(MAX(Table4[MP Front])-MIN(Table4[MP Front]))*100%)</f>
        <v>9.0909090909090912E-2</v>
      </c>
      <c r="S125">
        <f>SUM((S87-MIN(Table4[Video Front]))/(MAX(Table4[Video Front])-MIN(Table4[Video Front]))*100%)</f>
        <v>0.86956521739130432</v>
      </c>
      <c r="T125">
        <f>SUM((T87-MIN(Table4[USB Type]))/(MAX(Table4[USB Type])-MIN(Table4[USB Type]))*100%)</f>
        <v>0</v>
      </c>
      <c r="U125">
        <f>SUM((U87-MIN(Table4[Capacity]))/(MAX(Table4[Capacity])-MIN(Table4[Capacity]))*100%)</f>
        <v>0</v>
      </c>
      <c r="V125">
        <f>SUM((MAX(Table4[Harga])-V87)/(MAX(Table4[Harga])-MIN(Table4[Harga]))*100%)</f>
        <v>0.2857142857142857</v>
      </c>
    </row>
    <row r="126" spans="1:22" x14ac:dyDescent="0.25">
      <c r="A126">
        <v>19</v>
      </c>
      <c r="B126" s="33">
        <f>SUM(((B88 - MIN(Table2[Brand]))/(MAX(Table2[Brand]) - MIN(Table2[Brand]))) *100%)</f>
        <v>0.65174129353233823</v>
      </c>
      <c r="C126" t="str">
        <f t="shared" si="23"/>
        <v>Galaxy S24</v>
      </c>
      <c r="D126">
        <f>SUM(((D88-MIN(Table4[Dimensi]))/(MAX(Table4[Dimensi])-MIN(Table4[Dimensi])))*100%)</f>
        <v>0</v>
      </c>
      <c r="E126">
        <f>SUM((E88-MIN(Table4[Berat]))/(MAX(Table4[Berat])-MIN(Table4[Berat]))*100%)</f>
        <v>0</v>
      </c>
      <c r="F126">
        <f>SUM((F88-MIN(Table4[Build]))/(MAX(Table4[Build])-MIN(Table4[Build]))*100%)</f>
        <v>1</v>
      </c>
      <c r="G126">
        <f>SUM((G88-MIN(Table4[Type Layar]))/(MAX(Table4[Type Layar])-MIN(Table4[Type Layar]))*100%)</f>
        <v>0.75</v>
      </c>
      <c r="H126">
        <f>SUM((H88-MIN(Table4[Ukuran Layar]))/(MAX(Table4[Ukuran Layar])-MIN(Table4[Ukuran Layar]))*100%)</f>
        <v>0.33333333333333331</v>
      </c>
      <c r="I126">
        <f>SUM((I88-MIN(Table4[Resolusi]))/(MAX(Table4[Resolusi])-MIN(Table4[Resolusi]))*100%)</f>
        <v>0</v>
      </c>
      <c r="J126">
        <f>SUM((J88-MIN(Table4[OS]))/(MAX(Table4[OS])-MIN(Table4[OS]))*100%)</f>
        <v>0.5</v>
      </c>
      <c r="K126">
        <f>SUM((K88-MIN(Table4[Chipset]))/(MAX(Table4[Chipset])-MIN(Table4[Chipset]))*100%)</f>
        <v>0.5</v>
      </c>
      <c r="L126">
        <f>SUM((L88-MIN(Table4[CPU]))/(MAX(Table4[CPU])-MIN(Table4[CPU]))*100%)</f>
        <v>1</v>
      </c>
      <c r="M126">
        <f>SUM((M88-MIN(Table4[RAM]))/(MAX(Table4[RAM])-MIN(Table4[RAM]))*100%)</f>
        <v>0</v>
      </c>
      <c r="N126">
        <f>SUM((N88-MIN(Table4[ROM]))/(MAX(Table4[ROM])-MIN(Table4[ROM]))*100%)</f>
        <v>0.66666666666666663</v>
      </c>
      <c r="O126">
        <f>SUM((O88-MIN(Table4[MP Main]))/(MAX(Table4[MP Main])-MIN(Table4[MP Main]))*100%)</f>
        <v>1.3157894736842105E-2</v>
      </c>
      <c r="P126">
        <f>SUM((P88-MIN(Table4[Tipe Main]))/(MAX(Table4[Tipe Main])-MIN(Table4[Tipe Main]))*100%)</f>
        <v>0.5</v>
      </c>
      <c r="Q126">
        <f>SUM((Q88-MIN(Table4[Video Main]))/(MAX(Table4[Video Main])-MIN(Table4[Video Main]))*100%)</f>
        <v>0.90909090909090906</v>
      </c>
      <c r="R126">
        <f>SUM((R88-MIN(Table4[MP Front]))/(MAX(Table4[MP Front])-MIN(Table4[MP Front]))*100%)</f>
        <v>9.0909090909090912E-2</v>
      </c>
      <c r="S126">
        <f>SUM((S88-MIN(Table4[Video Front]))/(MAX(Table4[Video Front])-MIN(Table4[Video Front]))*100%)</f>
        <v>0.69565217391304346</v>
      </c>
      <c r="T126">
        <f>SUM((T88-MIN(Table4[USB Type]))/(MAX(Table4[USB Type])-MIN(Table4[USB Type]))*100%)</f>
        <v>1</v>
      </c>
      <c r="U126">
        <f>SUM((U88-MIN(Table4[Capacity]))/(MAX(Table4[Capacity])-MIN(Table4[Capacity]))*100%)</f>
        <v>0.4</v>
      </c>
      <c r="V126">
        <f>SUM((MAX(Table4[Harga])-V88)/(MAX(Table4[Harga])-MIN(Table4[Harga]))*100%)</f>
        <v>0.7142857142857143</v>
      </c>
    </row>
    <row r="127" spans="1:22" x14ac:dyDescent="0.25">
      <c r="A127">
        <v>20</v>
      </c>
      <c r="B127" s="33">
        <f>SUM(((B89 - MIN(Table2[Brand]))/(MAX(Table2[Brand]) - MIN(Table2[Brand]))) *100%)</f>
        <v>0.65174129353233823</v>
      </c>
      <c r="C127" t="str">
        <f t="shared" si="23"/>
        <v>Galaxy S24 Ultra</v>
      </c>
      <c r="D127">
        <f>SUM(((D89-MIN(Table4[Dimensi]))/(MAX(Table4[Dimensi])-MIN(Table4[Dimensi])))*100%)</f>
        <v>0.8</v>
      </c>
      <c r="E127">
        <f>SUM((E89-MIN(Table4[Berat]))/(MAX(Table4[Berat])-MIN(Table4[Berat]))*100%)</f>
        <v>0.2857142857142857</v>
      </c>
      <c r="F127">
        <f>SUM((F89-MIN(Table4[Build]))/(MAX(Table4[Build])-MIN(Table4[Build]))*100%)</f>
        <v>1</v>
      </c>
      <c r="G127">
        <f>SUM((G89-MIN(Table4[Type Layar]))/(MAX(Table4[Type Layar])-MIN(Table4[Type Layar]))*100%)</f>
        <v>0.75</v>
      </c>
      <c r="H127">
        <f>SUM((H89-MIN(Table4[Ukuran Layar]))/(MAX(Table4[Ukuran Layar])-MIN(Table4[Ukuran Layar]))*100%)</f>
        <v>1</v>
      </c>
      <c r="I127">
        <f>SUM((I89-MIN(Table4[Resolusi]))/(MAX(Table4[Resolusi])-MIN(Table4[Resolusi]))*100%)</f>
        <v>1</v>
      </c>
      <c r="J127">
        <f>SUM((J89-MIN(Table4[OS]))/(MAX(Table4[OS])-MIN(Table4[OS]))*100%)</f>
        <v>0.5</v>
      </c>
      <c r="K127">
        <f>SUM((K89-MIN(Table4[Chipset]))/(MAX(Table4[Chipset])-MIN(Table4[Chipset]))*100%)</f>
        <v>0.5</v>
      </c>
      <c r="L127">
        <f>SUM((L89-MIN(Table4[CPU]))/(MAX(Table4[CPU])-MIN(Table4[CPU]))*100%)</f>
        <v>1</v>
      </c>
      <c r="M127">
        <f>SUM((M89-MIN(Table4[RAM]))/(MAX(Table4[RAM])-MIN(Table4[RAM]))*100%)</f>
        <v>0.5</v>
      </c>
      <c r="N127">
        <f>SUM((N89-MIN(Table4[ROM]))/(MAX(Table4[ROM])-MIN(Table4[ROM]))*100%)</f>
        <v>0.66666666666666663</v>
      </c>
      <c r="O127">
        <f>SUM((O89-MIN(Table4[MP Main]))/(MAX(Table4[MP Main])-MIN(Table4[MP Main]))*100%)</f>
        <v>1</v>
      </c>
      <c r="P127">
        <f>SUM((P89-MIN(Table4[Tipe Main]))/(MAX(Table4[Tipe Main])-MIN(Table4[Tipe Main]))*100%)</f>
        <v>1</v>
      </c>
      <c r="Q127">
        <f>SUM((Q89-MIN(Table4[Video Main]))/(MAX(Table4[Video Main])-MIN(Table4[Video Main]))*100%)</f>
        <v>1</v>
      </c>
      <c r="R127">
        <f>SUM((R89-MIN(Table4[MP Front]))/(MAX(Table4[MP Front])-MIN(Table4[MP Front]))*100%)</f>
        <v>9.0909090909090912E-2</v>
      </c>
      <c r="S127">
        <f>SUM((S89-MIN(Table4[Video Front]))/(MAX(Table4[Video Front])-MIN(Table4[Video Front]))*100%)</f>
        <v>0.69565217391304346</v>
      </c>
      <c r="T127">
        <f>SUM((T89-MIN(Table4[USB Type]))/(MAX(Table4[USB Type])-MIN(Table4[USB Type]))*100%)</f>
        <v>1</v>
      </c>
      <c r="U127">
        <f>SUM((U89-MIN(Table4[Capacity]))/(MAX(Table4[Capacity])-MIN(Table4[Capacity]))*100%)</f>
        <v>0.8</v>
      </c>
      <c r="V127">
        <f>SUM((MAX(Table4[Harga])-V89)/(MAX(Table4[Harga])-MIN(Table4[Harga]))*100%)</f>
        <v>0.2857142857142857</v>
      </c>
    </row>
    <row r="128" spans="1:22" x14ac:dyDescent="0.25">
      <c r="A128">
        <v>21</v>
      </c>
      <c r="B128" s="33">
        <f>SUM(((B90 - MIN(Table2[Brand]))/(MAX(Table2[Brand]) - MIN(Table2[Brand]))) *100%)</f>
        <v>0.65174129353233823</v>
      </c>
      <c r="C128" t="str">
        <f t="shared" si="23"/>
        <v>Galaxy S24 Ultra</v>
      </c>
      <c r="D128">
        <f>SUM(((D90-MIN(Table4[Dimensi]))/(MAX(Table4[Dimensi])-MIN(Table4[Dimensi])))*100%)</f>
        <v>0.8</v>
      </c>
      <c r="E128">
        <f>SUM((E90-MIN(Table4[Berat]))/(MAX(Table4[Berat])-MIN(Table4[Berat]))*100%)</f>
        <v>0.2857142857142857</v>
      </c>
      <c r="F128">
        <f>SUM((F90-MIN(Table4[Build]))/(MAX(Table4[Build])-MIN(Table4[Build]))*100%)</f>
        <v>1</v>
      </c>
      <c r="G128">
        <f>SUM((G90-MIN(Table4[Type Layar]))/(MAX(Table4[Type Layar])-MIN(Table4[Type Layar]))*100%)</f>
        <v>0.75</v>
      </c>
      <c r="H128">
        <f>SUM((H90-MIN(Table4[Ukuran Layar]))/(MAX(Table4[Ukuran Layar])-MIN(Table4[Ukuran Layar]))*100%)</f>
        <v>1</v>
      </c>
      <c r="I128">
        <f>SUM((I90-MIN(Table4[Resolusi]))/(MAX(Table4[Resolusi])-MIN(Table4[Resolusi]))*100%)</f>
        <v>1</v>
      </c>
      <c r="J128">
        <f>SUM((J90-MIN(Table4[OS]))/(MAX(Table4[OS])-MIN(Table4[OS]))*100%)</f>
        <v>0.5</v>
      </c>
      <c r="K128">
        <f>SUM((K90-MIN(Table4[Chipset]))/(MAX(Table4[Chipset])-MIN(Table4[Chipset]))*100%)</f>
        <v>0.5</v>
      </c>
      <c r="L128">
        <f>SUM((L90-MIN(Table4[CPU]))/(MAX(Table4[CPU])-MIN(Table4[CPU]))*100%)</f>
        <v>1</v>
      </c>
      <c r="M128">
        <f>SUM((M90-MIN(Table4[RAM]))/(MAX(Table4[RAM])-MIN(Table4[RAM]))*100%)</f>
        <v>0.5</v>
      </c>
      <c r="N128">
        <f>SUM((N90-MIN(Table4[ROM]))/(MAX(Table4[ROM])-MIN(Table4[ROM]))*100%)</f>
        <v>1</v>
      </c>
      <c r="O128">
        <f>SUM((O90-MIN(Table4[MP Main]))/(MAX(Table4[MP Main])-MIN(Table4[MP Main]))*100%)</f>
        <v>1</v>
      </c>
      <c r="P128">
        <f>SUM((P90-MIN(Table4[Tipe Main]))/(MAX(Table4[Tipe Main])-MIN(Table4[Tipe Main]))*100%)</f>
        <v>1</v>
      </c>
      <c r="Q128">
        <f>SUM((Q90-MIN(Table4[Video Main]))/(MAX(Table4[Video Main])-MIN(Table4[Video Main]))*100%)</f>
        <v>1</v>
      </c>
      <c r="R128">
        <f>SUM((R90-MIN(Table4[MP Front]))/(MAX(Table4[MP Front])-MIN(Table4[MP Front]))*100%)</f>
        <v>9.0909090909090912E-2</v>
      </c>
      <c r="S128">
        <f>SUM((S90-MIN(Table4[Video Front]))/(MAX(Table4[Video Front])-MIN(Table4[Video Front]))*100%)</f>
        <v>0.69565217391304346</v>
      </c>
      <c r="T128">
        <f>SUM((T90-MIN(Table4[USB Type]))/(MAX(Table4[USB Type])-MIN(Table4[USB Type]))*100%)</f>
        <v>1</v>
      </c>
      <c r="U128">
        <f>SUM((U90-MIN(Table4[Capacity]))/(MAX(Table4[Capacity])-MIN(Table4[Capacity]))*100%)</f>
        <v>0.8</v>
      </c>
      <c r="V128">
        <f>SUM((MAX(Table4[Harga])-V90)/(MAX(Table4[Harga])-MIN(Table4[Harga]))*100%)</f>
        <v>0.14285714285714285</v>
      </c>
    </row>
    <row r="129" spans="1:23" x14ac:dyDescent="0.25">
      <c r="A129">
        <v>22</v>
      </c>
      <c r="B129" s="33">
        <f>SUM(((B91 - MIN(Table2[Brand]))/(MAX(Table2[Brand]) - MIN(Table2[Brand]))) *100%)</f>
        <v>0.65174129353233823</v>
      </c>
      <c r="C129" t="str">
        <f t="shared" si="23"/>
        <v>Galaxy S24+(Online Exclusive)</v>
      </c>
      <c r="D129">
        <f>SUM(((D91-MIN(Table4[Dimensi]))/(MAX(Table4[Dimensi])-MIN(Table4[Dimensi])))*100%)</f>
        <v>0.4</v>
      </c>
      <c r="E129">
        <f>SUM((E91-MIN(Table4[Berat]))/(MAX(Table4[Berat])-MIN(Table4[Berat]))*100%)</f>
        <v>0.2857142857142857</v>
      </c>
      <c r="F129">
        <f>SUM((F91-MIN(Table4[Build]))/(MAX(Table4[Build])-MIN(Table4[Build]))*100%)</f>
        <v>0.18181818181818182</v>
      </c>
      <c r="G129">
        <f>SUM((G91-MIN(Table4[Type Layar]))/(MAX(Table4[Type Layar])-MIN(Table4[Type Layar]))*100%)</f>
        <v>0.75</v>
      </c>
      <c r="H129">
        <f>SUM((H91-MIN(Table4[Ukuran Layar]))/(MAX(Table4[Ukuran Layar])-MIN(Table4[Ukuran Layar]))*100%)</f>
        <v>1</v>
      </c>
      <c r="I129">
        <f>SUM((I91-MIN(Table4[Resolusi]))/(MAX(Table4[Resolusi])-MIN(Table4[Resolusi]))*100%)</f>
        <v>1</v>
      </c>
      <c r="J129">
        <f>SUM((J91-MIN(Table4[OS]))/(MAX(Table4[OS])-MIN(Table4[OS]))*100%)</f>
        <v>0.5</v>
      </c>
      <c r="K129">
        <f>SUM((K91-MIN(Table4[Chipset]))/(MAX(Table4[Chipset])-MIN(Table4[Chipset]))*100%)</f>
        <v>0.5</v>
      </c>
      <c r="L129">
        <f>SUM((L91-MIN(Table4[CPU]))/(MAX(Table4[CPU])-MIN(Table4[CPU]))*100%)</f>
        <v>0</v>
      </c>
      <c r="M129">
        <f>SUM((M91-MIN(Table4[RAM]))/(MAX(Table4[RAM])-MIN(Table4[RAM]))*100%)</f>
        <v>0.5</v>
      </c>
      <c r="N129">
        <f>SUM((N91-MIN(Table4[ROM]))/(MAX(Table4[ROM])-MIN(Table4[ROM]))*100%)</f>
        <v>0.66666666666666663</v>
      </c>
      <c r="O129">
        <f>SUM((O91-MIN(Table4[MP Main]))/(MAX(Table4[MP Main])-MIN(Table4[MP Main]))*100%)</f>
        <v>1.3157894736842105E-2</v>
      </c>
      <c r="P129">
        <f>SUM((P91-MIN(Table4[Tipe Main]))/(MAX(Table4[Tipe Main])-MIN(Table4[Tipe Main]))*100%)</f>
        <v>0.5</v>
      </c>
      <c r="Q129">
        <f>SUM((Q91-MIN(Table4[Video Main]))/(MAX(Table4[Video Main])-MIN(Table4[Video Main]))*100%)</f>
        <v>0.93939393939393945</v>
      </c>
      <c r="R129">
        <f>SUM((R91-MIN(Table4[MP Front]))/(MAX(Table4[MP Front])-MIN(Table4[MP Front]))*100%)</f>
        <v>9.0909090909090912E-2</v>
      </c>
      <c r="S129">
        <f>SUM((S91-MIN(Table4[Video Front]))/(MAX(Table4[Video Front])-MIN(Table4[Video Front]))*100%)</f>
        <v>0.69565217391304346</v>
      </c>
      <c r="T129">
        <f>SUM((T91-MIN(Table4[USB Type]))/(MAX(Table4[USB Type])-MIN(Table4[USB Type]))*100%)</f>
        <v>1</v>
      </c>
      <c r="U129">
        <f>SUM((U91-MIN(Table4[Capacity]))/(MAX(Table4[Capacity])-MIN(Table4[Capacity]))*100%)</f>
        <v>0.6</v>
      </c>
      <c r="V129">
        <f>SUM((MAX(Table4[Harga])-V91)/(MAX(Table4[Harga])-MIN(Table4[Harga]))*100%)</f>
        <v>0.5714285714285714</v>
      </c>
    </row>
    <row r="130" spans="1:23" x14ac:dyDescent="0.25">
      <c r="A130">
        <v>23</v>
      </c>
      <c r="B130" s="33">
        <f>SUM(((B92 - MIN(Table2[Brand]))/(MAX(Table2[Brand]) - MIN(Table2[Brand]))) *100%)</f>
        <v>0.65174129353233823</v>
      </c>
      <c r="C130" t="str">
        <f t="shared" si="23"/>
        <v>Galaxy S24 Ultra</v>
      </c>
      <c r="D130">
        <f>SUM(((D92-MIN(Table4[Dimensi]))/(MAX(Table4[Dimensi])-MIN(Table4[Dimensi])))*100%)</f>
        <v>0.8</v>
      </c>
      <c r="E130">
        <f>SUM((E92-MIN(Table4[Berat]))/(MAX(Table4[Berat])-MIN(Table4[Berat]))*100%)</f>
        <v>1</v>
      </c>
      <c r="F130">
        <f>SUM((F92-MIN(Table4[Build]))/(MAX(Table4[Build])-MIN(Table4[Build]))*100%)</f>
        <v>1</v>
      </c>
      <c r="G130">
        <f>SUM((G92-MIN(Table4[Type Layar]))/(MAX(Table4[Type Layar])-MIN(Table4[Type Layar]))*100%)</f>
        <v>0.75</v>
      </c>
      <c r="H130">
        <f>SUM((H92-MIN(Table4[Ukuran Layar]))/(MAX(Table4[Ukuran Layar])-MIN(Table4[Ukuran Layar]))*100%)</f>
        <v>1</v>
      </c>
      <c r="I130">
        <f>SUM((I92-MIN(Table4[Resolusi]))/(MAX(Table4[Resolusi])-MIN(Table4[Resolusi]))*100%)</f>
        <v>1</v>
      </c>
      <c r="J130">
        <f>SUM((J92-MIN(Table4[OS]))/(MAX(Table4[OS])-MIN(Table4[OS]))*100%)</f>
        <v>0.5</v>
      </c>
      <c r="K130">
        <f>SUM((K92-MIN(Table4[Chipset]))/(MAX(Table4[Chipset])-MIN(Table4[Chipset]))*100%)</f>
        <v>0.5</v>
      </c>
      <c r="L130">
        <f>SUM((L92-MIN(Table4[CPU]))/(MAX(Table4[CPU])-MIN(Table4[CPU]))*100%)</f>
        <v>1</v>
      </c>
      <c r="M130">
        <f>SUM((M92-MIN(Table4[RAM]))/(MAX(Table4[RAM])-MIN(Table4[RAM]))*100%)</f>
        <v>0.5</v>
      </c>
      <c r="N130">
        <f>SUM((N92-MIN(Table4[ROM]))/(MAX(Table4[ROM])-MIN(Table4[ROM]))*100%)</f>
        <v>1</v>
      </c>
      <c r="O130">
        <f>SUM((O92-MIN(Table4[MP Main]))/(MAX(Table4[MP Main])-MIN(Table4[MP Main]))*100%)</f>
        <v>1</v>
      </c>
      <c r="P130">
        <f>SUM((P92-MIN(Table4[Tipe Main]))/(MAX(Table4[Tipe Main])-MIN(Table4[Tipe Main]))*100%)</f>
        <v>1</v>
      </c>
      <c r="Q130">
        <f>SUM((Q92-MIN(Table4[Video Main]))/(MAX(Table4[Video Main])-MIN(Table4[Video Main]))*100%)</f>
        <v>1</v>
      </c>
      <c r="R130">
        <f>SUM((R92-MIN(Table4[MP Front]))/(MAX(Table4[MP Front])-MIN(Table4[MP Front]))*100%)</f>
        <v>9.0909090909090912E-2</v>
      </c>
      <c r="S130">
        <f>SUM((S92-MIN(Table4[Video Front]))/(MAX(Table4[Video Front])-MIN(Table4[Video Front]))*100%)</f>
        <v>0.69565217391304346</v>
      </c>
      <c r="T130">
        <f>SUM((T92-MIN(Table4[USB Type]))/(MAX(Table4[USB Type])-MIN(Table4[USB Type]))*100%)</f>
        <v>1</v>
      </c>
      <c r="U130">
        <f>SUM((U92-MIN(Table4[Capacity]))/(MAX(Table4[Capacity])-MIN(Table4[Capacity]))*100%)</f>
        <v>0.8</v>
      </c>
      <c r="V130">
        <f>SUM((MAX(Table4[Harga])-V92)/(MAX(Table4[Harga])-MIN(Table4[Harga]))*100%)</f>
        <v>0.42857142857142855</v>
      </c>
    </row>
    <row r="131" spans="1:23" x14ac:dyDescent="0.25">
      <c r="A131">
        <v>24</v>
      </c>
      <c r="B131" s="33">
        <f>SUM(((B93 - MIN(Table2[Brand]))/(MAX(Table2[Brand]) - MIN(Table2[Brand]))) *100%)</f>
        <v>0.65174129353233823</v>
      </c>
      <c r="C131" t="str">
        <f t="shared" si="23"/>
        <v>Galaxy S23 FE</v>
      </c>
      <c r="D131">
        <f>SUM(((D93-MIN(Table4[Dimensi]))/(MAX(Table4[Dimensi])-MIN(Table4[Dimensi])))*100%)</f>
        <v>0.4</v>
      </c>
      <c r="E131">
        <f>SUM((E93-MIN(Table4[Berat]))/(MAX(Table4[Berat])-MIN(Table4[Berat]))*100%)</f>
        <v>1</v>
      </c>
      <c r="F131">
        <f>SUM((F93-MIN(Table4[Build]))/(MAX(Table4[Build])-MIN(Table4[Build]))*100%)</f>
        <v>0.90909090909090906</v>
      </c>
      <c r="G131">
        <f>SUM((G93-MIN(Table4[Type Layar]))/(MAX(Table4[Type Layar])-MIN(Table4[Type Layar]))*100%)</f>
        <v>0.5</v>
      </c>
      <c r="H131">
        <f>SUM((H93-MIN(Table4[Ukuran Layar]))/(MAX(Table4[Ukuran Layar])-MIN(Table4[Ukuran Layar]))*100%)</f>
        <v>0.66666666666666663</v>
      </c>
      <c r="I131">
        <f>SUM((I93-MIN(Table4[Resolusi]))/(MAX(Table4[Resolusi])-MIN(Table4[Resolusi]))*100%)</f>
        <v>0</v>
      </c>
      <c r="J131">
        <f>SUM((J93-MIN(Table4[OS]))/(MAX(Table4[OS])-MIN(Table4[OS]))*100%)</f>
        <v>0</v>
      </c>
      <c r="K131">
        <f>SUM((K93-MIN(Table4[Chipset]))/(MAX(Table4[Chipset])-MIN(Table4[Chipset]))*100%)</f>
        <v>1</v>
      </c>
      <c r="L131">
        <f>SUM((L93-MIN(Table4[CPU]))/(MAX(Table4[CPU])-MIN(Table4[CPU]))*100%)</f>
        <v>1</v>
      </c>
      <c r="M131">
        <f>SUM((M93-MIN(Table4[RAM]))/(MAX(Table4[RAM])-MIN(Table4[RAM]))*100%)</f>
        <v>0</v>
      </c>
      <c r="N131">
        <f>SUM((N93-MIN(Table4[ROM]))/(MAX(Table4[ROM])-MIN(Table4[ROM]))*100%)</f>
        <v>0.33333333333333331</v>
      </c>
      <c r="O131">
        <f>SUM((O93-MIN(Table4[MP Main]))/(MAX(Table4[MP Main])-MIN(Table4[MP Main]))*100%)</f>
        <v>1.3157894736842105E-2</v>
      </c>
      <c r="P131">
        <f>SUM((P93-MIN(Table4[Tipe Main]))/(MAX(Table4[Tipe Main])-MIN(Table4[Tipe Main]))*100%)</f>
        <v>0.5</v>
      </c>
      <c r="Q131">
        <f>SUM((Q93-MIN(Table4[Video Main]))/(MAX(Table4[Video Main])-MIN(Table4[Video Main]))*100%)</f>
        <v>0.90909090909090906</v>
      </c>
      <c r="R131">
        <f>SUM((R93-MIN(Table4[MP Front]))/(MAX(Table4[MP Front])-MIN(Table4[MP Front]))*100%)</f>
        <v>0</v>
      </c>
      <c r="S131">
        <f>SUM((S93-MIN(Table4[Video Front]))/(MAX(Table4[Video Front])-MIN(Table4[Video Front]))*100%)</f>
        <v>0.78260869565217395</v>
      </c>
      <c r="T131">
        <f>SUM((T93-MIN(Table4[USB Type]))/(MAX(Table4[USB Type])-MIN(Table4[USB Type]))*100%)</f>
        <v>0.625</v>
      </c>
      <c r="U131">
        <f>SUM((U93-MIN(Table4[Capacity]))/(MAX(Table4[Capacity])-MIN(Table4[Capacity]))*100%)</f>
        <v>0.6</v>
      </c>
      <c r="V131">
        <f>SUM((MAX(Table4[Harga])-V93)/(MAX(Table4[Harga])-MIN(Table4[Harga]))*100%)</f>
        <v>1</v>
      </c>
    </row>
    <row r="132" spans="1:23" x14ac:dyDescent="0.25">
      <c r="A132">
        <v>25</v>
      </c>
      <c r="B132" s="33">
        <f>SUM(((B94 - MIN(Table2[Brand]))/(MAX(Table2[Brand]) - MIN(Table2[Brand]))) *100%)</f>
        <v>0.65174129353233823</v>
      </c>
      <c r="C132" t="str">
        <f t="shared" si="23"/>
        <v>Galaxy S23 FE</v>
      </c>
      <c r="D132">
        <f>SUM(((D94-MIN(Table4[Dimensi]))/(MAX(Table4[Dimensi])-MIN(Table4[Dimensi])))*100%)</f>
        <v>0.4</v>
      </c>
      <c r="E132">
        <f>SUM((E94-MIN(Table4[Berat]))/(MAX(Table4[Berat])-MIN(Table4[Berat]))*100%)</f>
        <v>0.42857142857142855</v>
      </c>
      <c r="F132">
        <f>SUM((F94-MIN(Table4[Build]))/(MAX(Table4[Build])-MIN(Table4[Build]))*100%)</f>
        <v>0.90909090909090906</v>
      </c>
      <c r="G132">
        <f>SUM((G94-MIN(Table4[Type Layar]))/(MAX(Table4[Type Layar])-MIN(Table4[Type Layar]))*100%)</f>
        <v>0.5</v>
      </c>
      <c r="H132">
        <f>SUM((H94-MIN(Table4[Ukuran Layar]))/(MAX(Table4[Ukuran Layar])-MIN(Table4[Ukuran Layar]))*100%)</f>
        <v>0.66666666666666663</v>
      </c>
      <c r="I132">
        <f>SUM((I94-MIN(Table4[Resolusi]))/(MAX(Table4[Resolusi])-MIN(Table4[Resolusi]))*100%)</f>
        <v>0</v>
      </c>
      <c r="J132">
        <f>SUM((J94-MIN(Table4[OS]))/(MAX(Table4[OS])-MIN(Table4[OS]))*100%)</f>
        <v>0</v>
      </c>
      <c r="K132">
        <f>SUM((K94-MIN(Table4[Chipset]))/(MAX(Table4[Chipset])-MIN(Table4[Chipset]))*100%)</f>
        <v>1</v>
      </c>
      <c r="L132">
        <f>SUM((L94-MIN(Table4[CPU]))/(MAX(Table4[CPU])-MIN(Table4[CPU]))*100%)</f>
        <v>1</v>
      </c>
      <c r="M132">
        <f>SUM((M94-MIN(Table4[RAM]))/(MAX(Table4[RAM])-MIN(Table4[RAM]))*100%)</f>
        <v>0</v>
      </c>
      <c r="N132">
        <f>SUM((N94-MIN(Table4[ROM]))/(MAX(Table4[ROM])-MIN(Table4[ROM]))*100%)</f>
        <v>0</v>
      </c>
      <c r="O132">
        <f>SUM((O94-MIN(Table4[MP Main]))/(MAX(Table4[MP Main])-MIN(Table4[MP Main]))*100%)</f>
        <v>1.3157894736842105E-2</v>
      </c>
      <c r="P132">
        <f>SUM((P94-MIN(Table4[Tipe Main]))/(MAX(Table4[Tipe Main])-MIN(Table4[Tipe Main]))*100%)</f>
        <v>0.5</v>
      </c>
      <c r="Q132">
        <f>SUM((Q94-MIN(Table4[Video Main]))/(MAX(Table4[Video Main])-MIN(Table4[Video Main]))*100%)</f>
        <v>0.90909090909090906</v>
      </c>
      <c r="R132">
        <f>SUM((R94-MIN(Table4[MP Front]))/(MAX(Table4[MP Front])-MIN(Table4[MP Front]))*100%)</f>
        <v>0</v>
      </c>
      <c r="S132">
        <f>SUM((S94-MIN(Table4[Video Front]))/(MAX(Table4[Video Front])-MIN(Table4[Video Front]))*100%)</f>
        <v>0.78260869565217395</v>
      </c>
      <c r="T132">
        <f>SUM((T94-MIN(Table4[USB Type]))/(MAX(Table4[USB Type])-MIN(Table4[USB Type]))*100%)</f>
        <v>0.625</v>
      </c>
      <c r="U132">
        <f>SUM((U94-MIN(Table4[Capacity]))/(MAX(Table4[Capacity])-MIN(Table4[Capacity]))*100%)</f>
        <v>0.6</v>
      </c>
      <c r="V132">
        <f>SUM((MAX(Table4[Harga])-V94)/(MAX(Table4[Harga])-MIN(Table4[Harga]))*100%)</f>
        <v>1</v>
      </c>
    </row>
    <row r="133" spans="1:23" x14ac:dyDescent="0.25">
      <c r="A133">
        <v>26</v>
      </c>
      <c r="B133" s="33">
        <f>SUM(((B95 - MIN(Table2[Brand]))/(MAX(Table2[Brand]) - MIN(Table2[Brand]))) *100%)</f>
        <v>0.65174129353233823</v>
      </c>
      <c r="C133" t="str">
        <f t="shared" si="23"/>
        <v>Galaxy S23 Ultra</v>
      </c>
      <c r="D133">
        <f>SUM(((D95-MIN(Table4[Dimensi]))/(MAX(Table4[Dimensi])-MIN(Table4[Dimensi])))*100%)</f>
        <v>0.8</v>
      </c>
      <c r="E133">
        <f>SUM((E95-MIN(Table4[Berat]))/(MAX(Table4[Berat])-MIN(Table4[Berat]))*100%)</f>
        <v>1</v>
      </c>
      <c r="F133">
        <f>SUM((F95-MIN(Table4[Build]))/(MAX(Table4[Build])-MIN(Table4[Build]))*100%)</f>
        <v>0.90909090909090906</v>
      </c>
      <c r="G133">
        <f>SUM((G95-MIN(Table4[Type Layar]))/(MAX(Table4[Type Layar])-MIN(Table4[Type Layar]))*100%)</f>
        <v>0.5</v>
      </c>
      <c r="H133">
        <f>SUM((H95-MIN(Table4[Ukuran Layar]))/(MAX(Table4[Ukuran Layar])-MIN(Table4[Ukuran Layar]))*100%)</f>
        <v>1</v>
      </c>
      <c r="I133">
        <f>SUM((I95-MIN(Table4[Resolusi]))/(MAX(Table4[Resolusi])-MIN(Table4[Resolusi]))*100%)</f>
        <v>1</v>
      </c>
      <c r="J133">
        <f>SUM((J95-MIN(Table4[OS]))/(MAX(Table4[OS])-MIN(Table4[OS]))*100%)</f>
        <v>0</v>
      </c>
      <c r="K133">
        <f>SUM((K95-MIN(Table4[Chipset]))/(MAX(Table4[Chipset])-MIN(Table4[Chipset]))*100%)</f>
        <v>0.5</v>
      </c>
      <c r="L133">
        <f>SUM((L95-MIN(Table4[CPU]))/(MAX(Table4[CPU])-MIN(Table4[CPU]))*100%)</f>
        <v>1</v>
      </c>
      <c r="M133">
        <f>SUM((M95-MIN(Table4[RAM]))/(MAX(Table4[RAM])-MIN(Table4[RAM]))*100%)</f>
        <v>0.5</v>
      </c>
      <c r="N133">
        <f>SUM((N95-MIN(Table4[ROM]))/(MAX(Table4[ROM])-MIN(Table4[ROM]))*100%)</f>
        <v>0.66666666666666663</v>
      </c>
      <c r="O133">
        <f>SUM((O95-MIN(Table4[MP Main]))/(MAX(Table4[MP Main])-MIN(Table4[MP Main]))*100%)</f>
        <v>1</v>
      </c>
      <c r="P133">
        <f>SUM((P95-MIN(Table4[Tipe Main]))/(MAX(Table4[Tipe Main])-MIN(Table4[Tipe Main]))*100%)</f>
        <v>1</v>
      </c>
      <c r="Q133">
        <f>SUM((Q95-MIN(Table4[Video Main]))/(MAX(Table4[Video Main])-MIN(Table4[Video Main]))*100%)</f>
        <v>0.93939393939393945</v>
      </c>
      <c r="R133">
        <f>SUM((R95-MIN(Table4[MP Front]))/(MAX(Table4[MP Front])-MIN(Table4[MP Front]))*100%)</f>
        <v>9.0909090909090912E-2</v>
      </c>
      <c r="S133">
        <f>SUM((S95-MIN(Table4[Video Front]))/(MAX(Table4[Video Front])-MIN(Table4[Video Front]))*100%)</f>
        <v>0.69565217391304346</v>
      </c>
      <c r="T133">
        <f>SUM((T95-MIN(Table4[USB Type]))/(MAX(Table4[USB Type])-MIN(Table4[USB Type]))*100%)</f>
        <v>0.625</v>
      </c>
      <c r="U133">
        <f>SUM((U95-MIN(Table4[Capacity]))/(MAX(Table4[Capacity])-MIN(Table4[Capacity]))*100%)</f>
        <v>0.8</v>
      </c>
      <c r="V133">
        <f>SUM((MAX(Table4[Harga])-V95)/(MAX(Table4[Harga])-MIN(Table4[Harga]))*100%)</f>
        <v>0.42857142857142855</v>
      </c>
    </row>
    <row r="134" spans="1:23" x14ac:dyDescent="0.25">
      <c r="A134">
        <v>27</v>
      </c>
      <c r="B134" s="33">
        <f>SUM(((B96 - MIN(Table2[Brand]))/(MAX(Table2[Brand]) - MIN(Table2[Brand]))) *100%)</f>
        <v>0.65174129353233823</v>
      </c>
      <c r="C134" t="str">
        <f t="shared" si="23"/>
        <v>Galaxy S23+</v>
      </c>
      <c r="D134">
        <f>SUM(((D96-MIN(Table4[Dimensi]))/(MAX(Table4[Dimensi])-MIN(Table4[Dimensi])))*100%)</f>
        <v>0.4</v>
      </c>
      <c r="E134">
        <f>SUM((E96-MIN(Table4[Berat]))/(MAX(Table4[Berat])-MIN(Table4[Berat]))*100%)</f>
        <v>0.5714285714285714</v>
      </c>
      <c r="F134">
        <f>SUM((F96-MIN(Table4[Build]))/(MAX(Table4[Build])-MIN(Table4[Build]))*100%)</f>
        <v>0.90909090909090906</v>
      </c>
      <c r="G134">
        <f>SUM((G96-MIN(Table4[Type Layar]))/(MAX(Table4[Type Layar])-MIN(Table4[Type Layar]))*100%)</f>
        <v>0.5</v>
      </c>
      <c r="H134">
        <f>SUM((H96-MIN(Table4[Ukuran Layar]))/(MAX(Table4[Ukuran Layar])-MIN(Table4[Ukuran Layar]))*100%)</f>
        <v>0.83333333333333337</v>
      </c>
      <c r="I134">
        <f>SUM((I96-MIN(Table4[Resolusi]))/(MAX(Table4[Resolusi])-MIN(Table4[Resolusi]))*100%)</f>
        <v>0</v>
      </c>
      <c r="J134">
        <f>SUM((J96-MIN(Table4[OS]))/(MAX(Table4[OS])-MIN(Table4[OS]))*100%)</f>
        <v>0</v>
      </c>
      <c r="K134">
        <f>SUM((K96-MIN(Table4[Chipset]))/(MAX(Table4[Chipset])-MIN(Table4[Chipset]))*100%)</f>
        <v>0.5</v>
      </c>
      <c r="L134">
        <f>SUM((L96-MIN(Table4[CPU]))/(MAX(Table4[CPU])-MIN(Table4[CPU]))*100%)</f>
        <v>1</v>
      </c>
      <c r="M134">
        <f>SUM((M96-MIN(Table4[RAM]))/(MAX(Table4[RAM])-MIN(Table4[RAM]))*100%)</f>
        <v>0</v>
      </c>
      <c r="N134">
        <f>SUM((N96-MIN(Table4[ROM]))/(MAX(Table4[ROM])-MIN(Table4[ROM]))*100%)</f>
        <v>0.33333333333333331</v>
      </c>
      <c r="O134">
        <f>SUM((O96-MIN(Table4[MP Main]))/(MAX(Table4[MP Main])-MIN(Table4[MP Main]))*100%)</f>
        <v>1.3157894736842105E-2</v>
      </c>
      <c r="P134">
        <f>SUM((P96-MIN(Table4[Tipe Main]))/(MAX(Table4[Tipe Main])-MIN(Table4[Tipe Main]))*100%)</f>
        <v>0.5</v>
      </c>
      <c r="Q134">
        <f>SUM((Q96-MIN(Table4[Video Main]))/(MAX(Table4[Video Main])-MIN(Table4[Video Main]))*100%)</f>
        <v>0.93939393939393945</v>
      </c>
      <c r="R134">
        <f>SUM((R96-MIN(Table4[MP Front]))/(MAX(Table4[MP Front])-MIN(Table4[MP Front]))*100%)</f>
        <v>9.0909090909090912E-2</v>
      </c>
      <c r="S134">
        <f>SUM((S96-MIN(Table4[Video Front]))/(MAX(Table4[Video Front])-MIN(Table4[Video Front]))*100%)</f>
        <v>0.69565217391304346</v>
      </c>
      <c r="T134">
        <f>SUM((T96-MIN(Table4[USB Type]))/(MAX(Table4[USB Type])-MIN(Table4[USB Type]))*100%)</f>
        <v>0.625</v>
      </c>
      <c r="U134">
        <f>SUM((U96-MIN(Table4[Capacity]))/(MAX(Table4[Capacity])-MIN(Table4[Capacity]))*100%)</f>
        <v>0.6</v>
      </c>
      <c r="V134">
        <f>SUM((MAX(Table4[Harga])-V96)/(MAX(Table4[Harga])-MIN(Table4[Harga]))*100%)</f>
        <v>0.7142857142857143</v>
      </c>
    </row>
    <row r="135" spans="1:23" x14ac:dyDescent="0.25">
      <c r="A135">
        <v>28</v>
      </c>
      <c r="B135" s="33">
        <f>SUM(((B97 - MIN(Table2[Brand]))/(MAX(Table2[Brand]) - MIN(Table2[Brand]))) *100%)</f>
        <v>0.65174129353233823</v>
      </c>
      <c r="C135" t="str">
        <f t="shared" si="23"/>
        <v>Galaxy S23</v>
      </c>
      <c r="D135">
        <f>SUM(((D97-MIN(Table4[Dimensi]))/(MAX(Table4[Dimensi])-MIN(Table4[Dimensi])))*100%)</f>
        <v>0</v>
      </c>
      <c r="E135">
        <f>SUM((E97-MIN(Table4[Berat]))/(MAX(Table4[Berat])-MIN(Table4[Berat]))*100%)</f>
        <v>0</v>
      </c>
      <c r="F135">
        <f>SUM((F97-MIN(Table4[Build]))/(MAX(Table4[Build])-MIN(Table4[Build]))*100%)</f>
        <v>0.90909090909090906</v>
      </c>
      <c r="G135">
        <f>SUM((G97-MIN(Table4[Type Layar]))/(MAX(Table4[Type Layar])-MIN(Table4[Type Layar]))*100%)</f>
        <v>0.5</v>
      </c>
      <c r="H135">
        <f>SUM((H97-MIN(Table4[Ukuran Layar]))/(MAX(Table4[Ukuran Layar])-MIN(Table4[Ukuran Layar]))*100%)</f>
        <v>0.33333333333333331</v>
      </c>
      <c r="I135">
        <f>SUM((I97-MIN(Table4[Resolusi]))/(MAX(Table4[Resolusi])-MIN(Table4[Resolusi]))*100%)</f>
        <v>0</v>
      </c>
      <c r="J135">
        <f>SUM((J97-MIN(Table4[OS]))/(MAX(Table4[OS])-MIN(Table4[OS]))*100%)</f>
        <v>0</v>
      </c>
      <c r="K135">
        <f>SUM((K97-MIN(Table4[Chipset]))/(MAX(Table4[Chipset])-MIN(Table4[Chipset]))*100%)</f>
        <v>0.5</v>
      </c>
      <c r="L135">
        <f>SUM((L97-MIN(Table4[CPU]))/(MAX(Table4[CPU])-MIN(Table4[CPU]))*100%)</f>
        <v>1</v>
      </c>
      <c r="M135">
        <f>SUM((M97-MIN(Table4[RAM]))/(MAX(Table4[RAM])-MIN(Table4[RAM]))*100%)</f>
        <v>0</v>
      </c>
      <c r="N135">
        <f>SUM((N97-MIN(Table4[ROM]))/(MAX(Table4[ROM])-MIN(Table4[ROM]))*100%)</f>
        <v>0.33333333333333331</v>
      </c>
      <c r="O135">
        <f>SUM((O97-MIN(Table4[MP Main]))/(MAX(Table4[MP Main])-MIN(Table4[MP Main]))*100%)</f>
        <v>1.3157894736842105E-2</v>
      </c>
      <c r="P135">
        <f>SUM((P97-MIN(Table4[Tipe Main]))/(MAX(Table4[Tipe Main])-MIN(Table4[Tipe Main]))*100%)</f>
        <v>0.5</v>
      </c>
      <c r="Q135">
        <f>SUM((Q97-MIN(Table4[Video Main]))/(MAX(Table4[Video Main])-MIN(Table4[Video Main]))*100%)</f>
        <v>0.93939393939393945</v>
      </c>
      <c r="R135">
        <f>SUM((R97-MIN(Table4[MP Front]))/(MAX(Table4[MP Front])-MIN(Table4[MP Front]))*100%)</f>
        <v>9.0909090909090912E-2</v>
      </c>
      <c r="S135">
        <f>SUM((S97-MIN(Table4[Video Front]))/(MAX(Table4[Video Front])-MIN(Table4[Video Front]))*100%)</f>
        <v>0.69565217391304346</v>
      </c>
      <c r="T135">
        <f>SUM((T97-MIN(Table4[USB Type]))/(MAX(Table4[USB Type])-MIN(Table4[USB Type]))*100%)</f>
        <v>0.625</v>
      </c>
      <c r="U135">
        <f>SUM((U97-MIN(Table4[Capacity]))/(MAX(Table4[Capacity])-MIN(Table4[Capacity]))*100%)</f>
        <v>0.2</v>
      </c>
      <c r="V135">
        <f>SUM((MAX(Table4[Harga])-V97)/(MAX(Table4[Harga])-MIN(Table4[Harga]))*100%)</f>
        <v>0.7142857142857143</v>
      </c>
    </row>
    <row r="137" spans="1:23" x14ac:dyDescent="0.25">
      <c r="B137" s="88" t="s">
        <v>277</v>
      </c>
      <c r="C137" s="88"/>
    </row>
    <row r="138" spans="1:23" x14ac:dyDescent="0.25">
      <c r="A138" s="49" t="s">
        <v>9</v>
      </c>
      <c r="B138" s="50" t="s">
        <v>10</v>
      </c>
      <c r="C138" s="50" t="s">
        <v>217</v>
      </c>
      <c r="D138" s="50" t="s">
        <v>218</v>
      </c>
      <c r="E138" s="50" t="s">
        <v>219</v>
      </c>
      <c r="F138" s="50" t="s">
        <v>272</v>
      </c>
      <c r="G138" s="50" t="s">
        <v>221</v>
      </c>
      <c r="H138" s="50" t="s">
        <v>222</v>
      </c>
      <c r="I138" s="50" t="s">
        <v>223</v>
      </c>
      <c r="J138" s="50" t="s">
        <v>19</v>
      </c>
      <c r="K138" s="50" t="s">
        <v>20</v>
      </c>
      <c r="L138" s="50" t="s">
        <v>21</v>
      </c>
      <c r="M138" s="50" t="s">
        <v>23</v>
      </c>
      <c r="N138" s="50" t="s">
        <v>24</v>
      </c>
      <c r="O138" s="50" t="s">
        <v>225</v>
      </c>
      <c r="P138" s="50" t="s">
        <v>224</v>
      </c>
      <c r="Q138" s="50" t="s">
        <v>228</v>
      </c>
      <c r="R138" s="50" t="s">
        <v>226</v>
      </c>
      <c r="S138" s="50" t="s">
        <v>227</v>
      </c>
      <c r="T138" s="50" t="s">
        <v>229</v>
      </c>
      <c r="U138" s="50" t="s">
        <v>31</v>
      </c>
      <c r="V138" s="50" t="s">
        <v>159</v>
      </c>
      <c r="W138" s="50" t="s">
        <v>161</v>
      </c>
    </row>
    <row r="139" spans="1:23" x14ac:dyDescent="0.25">
      <c r="A139">
        <v>1</v>
      </c>
      <c r="B139">
        <f>SUM(B108*Bobot!$F$6)</f>
        <v>0</v>
      </c>
      <c r="C139" t="str">
        <f>C108</f>
        <v>Zenfone 10</v>
      </c>
      <c r="D139">
        <f>SUM(D108*Bobot!$F$7)</f>
        <v>4.2553191489361708E-2</v>
      </c>
      <c r="E139">
        <f>SUM(E108*Bobot!$F$7)</f>
        <v>1.5197568389057749E-2</v>
      </c>
      <c r="F139">
        <f>SUM(F108*Bobot!$F$7)</f>
        <v>0</v>
      </c>
      <c r="G139">
        <f>SUM(G108*Bobot!$F$8)</f>
        <v>0.11170212765957446</v>
      </c>
      <c r="H139">
        <f>SUM(H108*Bobot!$F$8)</f>
        <v>0</v>
      </c>
      <c r="I139">
        <f>SUM(I108*Bobot!$F$8)</f>
        <v>0</v>
      </c>
      <c r="J139">
        <f>SUM(J108*Bobot!$F$9)</f>
        <v>0</v>
      </c>
      <c r="K139">
        <f>SUM(K108*Bobot!$F$9)</f>
        <v>8.5106382978723402E-2</v>
      </c>
      <c r="L139">
        <f>SUM(L108*Bobot!$F$9)</f>
        <v>0.1702127659574468</v>
      </c>
      <c r="M139">
        <f>SUM(M108*Bobot!$F$10)</f>
        <v>0</v>
      </c>
      <c r="N139">
        <f>SUM(N108*Bobot!$F$10)</f>
        <v>0</v>
      </c>
      <c r="O139">
        <f>SUM(O108*Bobot!$F$11)</f>
        <v>2.7995520716685331E-4</v>
      </c>
      <c r="P139">
        <f>SUM(P108*Bobot!$F$11)</f>
        <v>0</v>
      </c>
      <c r="Q139">
        <f>SUM(Q108*Bobot!$F$11)</f>
        <v>8.3816892327530628E-3</v>
      </c>
      <c r="R139">
        <f>SUM(R108*Bobot!$F$12)</f>
        <v>2.1276595744680851E-2</v>
      </c>
      <c r="S139">
        <f>SUM(S108*Bobot!$F$12)</f>
        <v>0</v>
      </c>
      <c r="T139">
        <f>SUM(T108*Bobot!$F$13)</f>
        <v>0</v>
      </c>
      <c r="U139">
        <f>SUM(U108*Bobot!$F$13)</f>
        <v>5.9574468085106386E-2</v>
      </c>
      <c r="V139">
        <f>SUM(V108*Bobot!$F$14)</f>
        <v>0.19148936170212766</v>
      </c>
      <c r="W139" s="33">
        <f t="shared" ref="W139:W166" si="24">SUM(B139+((D139+E139+F139)/3)+((G139+H139+I139)/3)+((J139+K139+L139)/3)+((M139+N139)/2)+((O139+P139+Q139)/3)+((R139+S139)/2)+((T139+U139)/2)+V139)</f>
        <v>0.37639278725504927</v>
      </c>
    </row>
    <row r="140" spans="1:23" x14ac:dyDescent="0.25">
      <c r="A140">
        <v>2</v>
      </c>
      <c r="B140">
        <f>SUM(B109*Bobot!$F$6)</f>
        <v>0</v>
      </c>
      <c r="C140" t="str">
        <f t="shared" ref="C140:C162" si="25">C109</f>
        <v>Zenfone 10</v>
      </c>
      <c r="D140">
        <f>SUM(D109*Bobot!$F$7)</f>
        <v>4.2553191489361708E-2</v>
      </c>
      <c r="E140">
        <f>SUM(E109*Bobot!$F$7)</f>
        <v>1.5197568389057749E-2</v>
      </c>
      <c r="F140">
        <f>SUM(F109*Bobot!$F$7)</f>
        <v>0</v>
      </c>
      <c r="G140">
        <f>SUM(G109*Bobot!$F$8)</f>
        <v>3.7234042553191488E-2</v>
      </c>
      <c r="H140">
        <f>SUM(H109*Bobot!$F$8)</f>
        <v>0</v>
      </c>
      <c r="I140">
        <f>SUM(I109*Bobot!$F$8)</f>
        <v>0</v>
      </c>
      <c r="J140">
        <f>SUM(J109*Bobot!$F$9)</f>
        <v>0</v>
      </c>
      <c r="K140">
        <f>SUM(K109*Bobot!$F$9)</f>
        <v>8.5106382978723402E-2</v>
      </c>
      <c r="L140">
        <f>SUM(L109*Bobot!$F$9)</f>
        <v>0.1702127659574468</v>
      </c>
      <c r="M140">
        <f>SUM(M109*Bobot!$F$10)</f>
        <v>0.1702127659574468</v>
      </c>
      <c r="N140">
        <f>SUM(N109*Bobot!$F$10)</f>
        <v>0.11347517730496454</v>
      </c>
      <c r="O140">
        <f>SUM(O109*Bobot!$F$11)</f>
        <v>2.7995520716685331E-4</v>
      </c>
      <c r="P140">
        <f>SUM(P109*Bobot!$F$11)</f>
        <v>0</v>
      </c>
      <c r="Q140">
        <f>SUM(Q109*Bobot!$F$11)</f>
        <v>8.3816892327530628E-3</v>
      </c>
      <c r="R140">
        <f>SUM(R109*Bobot!$F$12)</f>
        <v>2.1276595744680851E-2</v>
      </c>
      <c r="S140">
        <f>SUM(S109*Bobot!$F$12)</f>
        <v>0</v>
      </c>
      <c r="T140">
        <f>SUM(T109*Bobot!$F$13)</f>
        <v>0</v>
      </c>
      <c r="U140">
        <f>SUM(U109*Bobot!$F$13)</f>
        <v>5.9574468085106386E-2</v>
      </c>
      <c r="V140">
        <f>SUM(V109*Bobot!$F$14)</f>
        <v>0.1641337386018237</v>
      </c>
      <c r="W140" s="33">
        <f t="shared" si="24"/>
        <v>0.46605844075048997</v>
      </c>
    </row>
    <row r="141" spans="1:23" x14ac:dyDescent="0.25">
      <c r="A141">
        <v>3</v>
      </c>
      <c r="B141">
        <f>SUM(B110*Bobot!$F$6)</f>
        <v>0</v>
      </c>
      <c r="C141" t="str">
        <f t="shared" si="25"/>
        <v>ROG Phone 7 Ultimate</v>
      </c>
      <c r="D141">
        <f>SUM(D110*Bobot!$F$7)</f>
        <v>0.10638297872340426</v>
      </c>
      <c r="E141">
        <f>SUM(E110*Bobot!$F$7)</f>
        <v>0.10638297872340426</v>
      </c>
      <c r="F141">
        <f>SUM(F110*Bobot!$F$7)</f>
        <v>1.9342359767891684E-2</v>
      </c>
      <c r="G141">
        <f>SUM(G110*Bobot!$F$8)</f>
        <v>0</v>
      </c>
      <c r="H141">
        <f>SUM(H110*Bobot!$F$8)</f>
        <v>0.12411347517730496</v>
      </c>
      <c r="I141">
        <f>SUM(I110*Bobot!$F$8)</f>
        <v>0</v>
      </c>
      <c r="J141">
        <f>SUM(J110*Bobot!$F$9)</f>
        <v>0</v>
      </c>
      <c r="K141">
        <f>SUM(K110*Bobot!$F$9)</f>
        <v>8.5106382978723402E-2</v>
      </c>
      <c r="L141">
        <f>SUM(L110*Bobot!$F$9)</f>
        <v>0.1702127659574468</v>
      </c>
      <c r="M141">
        <f>SUM(M110*Bobot!$F$10)</f>
        <v>0.1702127659574468</v>
      </c>
      <c r="N141">
        <f>SUM(N110*Bobot!$F$10)</f>
        <v>0.11347517730496454</v>
      </c>
      <c r="O141">
        <f>SUM(O110*Bobot!$F$11)</f>
        <v>2.7995520716685331E-4</v>
      </c>
      <c r="P141">
        <f>SUM(P110*Bobot!$F$11)</f>
        <v>1.0638297872340425E-2</v>
      </c>
      <c r="Q141">
        <f>SUM(Q110*Bobot!$F$11)</f>
        <v>1.9342359767891681E-2</v>
      </c>
      <c r="R141">
        <f>SUM(R110*Bobot!$F$12)</f>
        <v>2.1276595744680851E-2</v>
      </c>
      <c r="S141">
        <f>SUM(S110*Bobot!$F$12)</f>
        <v>0</v>
      </c>
      <c r="T141">
        <f>SUM(T110*Bobot!$F$13)</f>
        <v>3.7234042553191488E-2</v>
      </c>
      <c r="U141">
        <f>SUM(U110*Bobot!$F$13)</f>
        <v>0.14893617021276595</v>
      </c>
      <c r="V141">
        <f>SUM(V110*Bobot!$F$14)</f>
        <v>5.4711246200607896E-2</v>
      </c>
      <c r="W141" s="33">
        <f t="shared" si="24"/>
        <v>0.51421247347899079</v>
      </c>
    </row>
    <row r="142" spans="1:23" x14ac:dyDescent="0.25">
      <c r="A142">
        <v>4</v>
      </c>
      <c r="B142">
        <f>SUM(B111*Bobot!$F$6)</f>
        <v>0</v>
      </c>
      <c r="C142" t="str">
        <f t="shared" si="25"/>
        <v>ROG Phone 7</v>
      </c>
      <c r="D142">
        <f>SUM(D111*Bobot!$F$7)</f>
        <v>0.10638297872340426</v>
      </c>
      <c r="E142">
        <f>SUM(E111*Bobot!$F$7)</f>
        <v>3.0395136778115499E-2</v>
      </c>
      <c r="F142">
        <f>SUM(F111*Bobot!$F$7)</f>
        <v>1.9342359767891684E-2</v>
      </c>
      <c r="G142">
        <f>SUM(G111*Bobot!$F$8)</f>
        <v>0</v>
      </c>
      <c r="H142">
        <f>SUM(H111*Bobot!$F$8)</f>
        <v>0.12411347517730496</v>
      </c>
      <c r="I142">
        <f>SUM(I111*Bobot!$F$8)</f>
        <v>0</v>
      </c>
      <c r="J142">
        <f>SUM(J111*Bobot!$F$9)</f>
        <v>0</v>
      </c>
      <c r="K142">
        <f>SUM(K111*Bobot!$F$9)</f>
        <v>8.5106382978723402E-2</v>
      </c>
      <c r="L142">
        <f>SUM(L111*Bobot!$F$9)</f>
        <v>0.1702127659574468</v>
      </c>
      <c r="M142">
        <f>SUM(M111*Bobot!$F$10)</f>
        <v>8.5106382978723402E-2</v>
      </c>
      <c r="N142">
        <f>SUM(N111*Bobot!$F$10)</f>
        <v>5.6737588652482268E-2</v>
      </c>
      <c r="O142">
        <f>SUM(O111*Bobot!$F$11)</f>
        <v>2.7995520716685331E-4</v>
      </c>
      <c r="P142">
        <f>SUM(P111*Bobot!$F$11)</f>
        <v>1.0638297872340425E-2</v>
      </c>
      <c r="Q142">
        <f>SUM(Q111*Bobot!$F$11)</f>
        <v>1.9342359767891681E-2</v>
      </c>
      <c r="R142">
        <f>SUM(R111*Bobot!$F$12)</f>
        <v>2.1276595744680851E-2</v>
      </c>
      <c r="S142">
        <f>SUM(S111*Bobot!$F$12)</f>
        <v>0</v>
      </c>
      <c r="T142">
        <f>SUM(T111*Bobot!$F$13)</f>
        <v>3.7234042553191488E-2</v>
      </c>
      <c r="U142">
        <f>SUM(U111*Bobot!$F$13)</f>
        <v>0.14893617021276595</v>
      </c>
      <c r="V142">
        <f>SUM(V111*Bobot!$F$14)</f>
        <v>0.13677811550151975</v>
      </c>
      <c r="W142" s="33">
        <f t="shared" si="24"/>
        <v>0.50002807631587021</v>
      </c>
    </row>
    <row r="143" spans="1:23" x14ac:dyDescent="0.25">
      <c r="A143">
        <v>5</v>
      </c>
      <c r="B143">
        <f>SUM(B112*Bobot!$F$6)</f>
        <v>0</v>
      </c>
      <c r="C143" t="str">
        <f t="shared" si="25"/>
        <v>ROG Phone 7</v>
      </c>
      <c r="D143">
        <f>SUM(D112*Bobot!$F$7)</f>
        <v>0.10638297872340426</v>
      </c>
      <c r="E143">
        <f>SUM(E112*Bobot!$F$7)</f>
        <v>3.0395136778115499E-2</v>
      </c>
      <c r="F143">
        <f>SUM(F112*Bobot!$F$7)</f>
        <v>1.9342359767891684E-2</v>
      </c>
      <c r="G143">
        <f>SUM(G112*Bobot!$F$8)</f>
        <v>0</v>
      </c>
      <c r="H143">
        <f>SUM(H112*Bobot!$F$8)</f>
        <v>0.12411347517730496</v>
      </c>
      <c r="I143">
        <f>SUM(I112*Bobot!$F$8)</f>
        <v>0</v>
      </c>
      <c r="J143">
        <f>SUM(J112*Bobot!$F$9)</f>
        <v>0</v>
      </c>
      <c r="K143">
        <f>SUM(K112*Bobot!$F$9)</f>
        <v>8.5106382978723402E-2</v>
      </c>
      <c r="L143">
        <f>SUM(L112*Bobot!$F$9)</f>
        <v>0.1702127659574468</v>
      </c>
      <c r="M143">
        <f>SUM(M112*Bobot!$F$10)</f>
        <v>0.1702127659574468</v>
      </c>
      <c r="N143">
        <f>SUM(N112*Bobot!$F$10)</f>
        <v>0.11347517730496454</v>
      </c>
      <c r="O143">
        <f>SUM(O112*Bobot!$F$11)</f>
        <v>2.7995520716685331E-4</v>
      </c>
      <c r="P143">
        <f>SUM(P112*Bobot!$F$11)</f>
        <v>1.0638297872340425E-2</v>
      </c>
      <c r="Q143">
        <f>SUM(Q112*Bobot!$F$11)</f>
        <v>1.9342359767891681E-2</v>
      </c>
      <c r="R143">
        <f>SUM(R112*Bobot!$F$12)</f>
        <v>2.1276595744680851E-2</v>
      </c>
      <c r="S143">
        <f>SUM(S112*Bobot!$F$12)</f>
        <v>0</v>
      </c>
      <c r="T143">
        <f>SUM(T112*Bobot!$F$13)</f>
        <v>3.7234042553191488E-2</v>
      </c>
      <c r="U143">
        <f>SUM(U112*Bobot!$F$13)</f>
        <v>0.14893617021276595</v>
      </c>
      <c r="V143">
        <f>SUM(V112*Bobot!$F$14)</f>
        <v>0</v>
      </c>
      <c r="W143" s="33">
        <f t="shared" si="24"/>
        <v>0.43417194662995334</v>
      </c>
    </row>
    <row r="144" spans="1:23" x14ac:dyDescent="0.25">
      <c r="A144">
        <v>6</v>
      </c>
      <c r="B144">
        <f>SUM(B113*Bobot!$F$6)</f>
        <v>2.1276595744680851E-2</v>
      </c>
      <c r="C144" t="str">
        <f t="shared" si="25"/>
        <v>Iphone 15 Pro Max</v>
      </c>
      <c r="D144">
        <f>SUM(D113*Bobot!$F$7)</f>
        <v>8.5106382978723416E-2</v>
      </c>
      <c r="E144">
        <f>SUM(E113*Bobot!$F$7)</f>
        <v>0.10638297872340426</v>
      </c>
      <c r="F144">
        <f>SUM(F113*Bobot!$F$7)</f>
        <v>0.10638297872340426</v>
      </c>
      <c r="G144">
        <f>SUM(G113*Bobot!$F$8)</f>
        <v>0.14893617021276595</v>
      </c>
      <c r="H144">
        <f>SUM(H113*Bobot!$F$8)</f>
        <v>0.14893617021276595</v>
      </c>
      <c r="I144">
        <f>SUM(I113*Bobot!$F$8)</f>
        <v>9.9290780141843962E-2</v>
      </c>
      <c r="J144">
        <f>SUM(J113*Bobot!$F$9)</f>
        <v>0.1702127659574468</v>
      </c>
      <c r="K144">
        <f>SUM(K113*Bobot!$F$9)</f>
        <v>1.2158054711246199E-2</v>
      </c>
      <c r="L144">
        <f>SUM(L113*Bobot!$F$9)</f>
        <v>8.5106382978723402E-2</v>
      </c>
      <c r="M144">
        <f>SUM(M113*Bobot!$F$10)</f>
        <v>0</v>
      </c>
      <c r="N144">
        <f>SUM(N113*Bobot!$F$10)</f>
        <v>5.6737588652482268E-2</v>
      </c>
      <c r="O144">
        <f>SUM(O113*Bobot!$F$11)</f>
        <v>0</v>
      </c>
      <c r="P144">
        <f>SUM(P113*Bobot!$F$11)</f>
        <v>1.0638297872340425E-2</v>
      </c>
      <c r="Q144">
        <f>SUM(Q113*Bobot!$F$11)</f>
        <v>0</v>
      </c>
      <c r="R144">
        <f>SUM(R113*Bobot!$F$12)</f>
        <v>1.9342359767891683E-3</v>
      </c>
      <c r="S144">
        <f>SUM(S113*Bobot!$F$12)</f>
        <v>2.1276595744680851E-2</v>
      </c>
      <c r="T144">
        <f>SUM(T113*Bobot!$F$13)</f>
        <v>0.14893617021276595</v>
      </c>
      <c r="U144">
        <f>SUM(U113*Bobot!$F$13)</f>
        <v>5.9574468085106386E-2</v>
      </c>
      <c r="V144">
        <f>SUM(V113*Bobot!$F$14)</f>
        <v>5.4711246200607896E-2</v>
      </c>
      <c r="W144" s="33">
        <f t="shared" si="24"/>
        <v>0.54460102545208922</v>
      </c>
    </row>
    <row r="145" spans="1:23" x14ac:dyDescent="0.25">
      <c r="A145">
        <v>7</v>
      </c>
      <c r="B145">
        <f>SUM(B114*Bobot!$F$6)</f>
        <v>2.1276595744680851E-2</v>
      </c>
      <c r="C145" t="str">
        <f t="shared" si="25"/>
        <v>Iphone 15 Pro Max</v>
      </c>
      <c r="D145">
        <f>SUM(D114*Bobot!$F$7)</f>
        <v>8.5106382978723416E-2</v>
      </c>
      <c r="E145">
        <f>SUM(E114*Bobot!$F$7)</f>
        <v>0.10638297872340426</v>
      </c>
      <c r="F145">
        <f>SUM(F114*Bobot!$F$7)</f>
        <v>0.10638297872340426</v>
      </c>
      <c r="G145">
        <f>SUM(G114*Bobot!$F$8)</f>
        <v>0.14893617021276595</v>
      </c>
      <c r="H145">
        <f>SUM(H114*Bobot!$F$8)</f>
        <v>0.14893617021276595</v>
      </c>
      <c r="I145">
        <f>SUM(I114*Bobot!$F$8)</f>
        <v>9.9290780141843962E-2</v>
      </c>
      <c r="J145">
        <f>SUM(J114*Bobot!$F$9)</f>
        <v>0.1702127659574468</v>
      </c>
      <c r="K145">
        <f>SUM(K114*Bobot!$F$9)</f>
        <v>1.2158054711246199E-2</v>
      </c>
      <c r="L145">
        <f>SUM(L114*Bobot!$F$9)</f>
        <v>8.5106382978723402E-2</v>
      </c>
      <c r="M145">
        <f>SUM(M114*Bobot!$F$10)</f>
        <v>0</v>
      </c>
      <c r="N145">
        <f>SUM(N114*Bobot!$F$10)</f>
        <v>0.11347517730496454</v>
      </c>
      <c r="O145">
        <f>SUM(O114*Bobot!$F$11)</f>
        <v>0</v>
      </c>
      <c r="P145">
        <f>SUM(P114*Bobot!$F$11)</f>
        <v>1.0638297872340425E-2</v>
      </c>
      <c r="Q145">
        <f>SUM(Q114*Bobot!$F$11)</f>
        <v>0</v>
      </c>
      <c r="R145">
        <f>SUM(R114*Bobot!$F$12)</f>
        <v>1.9342359767891683E-3</v>
      </c>
      <c r="S145">
        <f>SUM(S114*Bobot!$F$12)</f>
        <v>2.1276595744680851E-2</v>
      </c>
      <c r="T145">
        <f>SUM(T114*Bobot!$F$13)</f>
        <v>0.14893617021276595</v>
      </c>
      <c r="U145">
        <f>SUM(U114*Bobot!$F$13)</f>
        <v>5.9574468085106386E-2</v>
      </c>
      <c r="V145">
        <f>SUM(V114*Bobot!$F$14)</f>
        <v>2.7355623100303948E-2</v>
      </c>
      <c r="W145" s="33">
        <f t="shared" si="24"/>
        <v>0.54561419667802635</v>
      </c>
    </row>
    <row r="146" spans="1:23" x14ac:dyDescent="0.25">
      <c r="A146">
        <v>8</v>
      </c>
      <c r="B146">
        <f>SUM(B115*Bobot!$F$6)</f>
        <v>2.1276595744680851E-2</v>
      </c>
      <c r="C146" t="str">
        <f t="shared" si="25"/>
        <v>Iphone 15 Pro Max</v>
      </c>
      <c r="D146">
        <f>SUM(D115*Bobot!$F$7)</f>
        <v>8.5106382978723416E-2</v>
      </c>
      <c r="E146">
        <f>SUM(E115*Bobot!$F$7)</f>
        <v>0.10638297872340426</v>
      </c>
      <c r="F146">
        <f>SUM(F115*Bobot!$F$7)</f>
        <v>0.10638297872340426</v>
      </c>
      <c r="G146">
        <f>SUM(G115*Bobot!$F$8)</f>
        <v>0.14893617021276595</v>
      </c>
      <c r="H146">
        <f>SUM(H115*Bobot!$F$8)</f>
        <v>0.14893617021276595</v>
      </c>
      <c r="I146">
        <f>SUM(I115*Bobot!$F$8)</f>
        <v>9.9290780141843962E-2</v>
      </c>
      <c r="J146">
        <f>SUM(J115*Bobot!$F$9)</f>
        <v>0.1702127659574468</v>
      </c>
      <c r="K146">
        <f>SUM(K115*Bobot!$F$9)</f>
        <v>1.2158054711246199E-2</v>
      </c>
      <c r="L146">
        <f>SUM(L115*Bobot!$F$9)</f>
        <v>8.5106382978723402E-2</v>
      </c>
      <c r="M146">
        <f>SUM(M115*Bobot!$F$10)</f>
        <v>0</v>
      </c>
      <c r="N146">
        <f>SUM(N115*Bobot!$F$10)</f>
        <v>0.1702127659574468</v>
      </c>
      <c r="O146">
        <f>SUM(O115*Bobot!$F$11)</f>
        <v>0</v>
      </c>
      <c r="P146">
        <f>SUM(P115*Bobot!$F$11)</f>
        <v>1.0638297872340425E-2</v>
      </c>
      <c r="Q146">
        <f>SUM(Q115*Bobot!$F$11)</f>
        <v>0</v>
      </c>
      <c r="R146">
        <f>SUM(R115*Bobot!$F$12)</f>
        <v>1.9342359767891683E-3</v>
      </c>
      <c r="S146">
        <f>SUM(S115*Bobot!$F$12)</f>
        <v>2.1276595744680851E-2</v>
      </c>
      <c r="T146">
        <f>SUM(T115*Bobot!$F$13)</f>
        <v>0.14893617021276595</v>
      </c>
      <c r="U146">
        <f>SUM(U115*Bobot!$F$13)</f>
        <v>5.9574468085106386E-2</v>
      </c>
      <c r="V146">
        <f>SUM(V115*Bobot!$F$14)</f>
        <v>0</v>
      </c>
      <c r="W146" s="33">
        <f t="shared" si="24"/>
        <v>0.5466273679039636</v>
      </c>
    </row>
    <row r="147" spans="1:23" x14ac:dyDescent="0.25">
      <c r="A147">
        <v>9</v>
      </c>
      <c r="B147">
        <f>SUM(B116*Bobot!$F$6)</f>
        <v>2.1276595744680851E-2</v>
      </c>
      <c r="C147" t="str">
        <f t="shared" si="25"/>
        <v>Iphone 15 Pro</v>
      </c>
      <c r="D147">
        <f>SUM(D116*Bobot!$F$7)</f>
        <v>2.1276595744680854E-2</v>
      </c>
      <c r="E147">
        <f>SUM(E116*Bobot!$F$7)</f>
        <v>9.1185410334346503E-2</v>
      </c>
      <c r="F147">
        <f>SUM(F116*Bobot!$F$7)</f>
        <v>0.10638297872340426</v>
      </c>
      <c r="G147">
        <f>SUM(G116*Bobot!$F$8)</f>
        <v>0.14893617021276595</v>
      </c>
      <c r="H147">
        <f>SUM(H116*Bobot!$F$8)</f>
        <v>4.9645390070921981E-2</v>
      </c>
      <c r="I147">
        <f>SUM(I116*Bobot!$F$8)</f>
        <v>4.9645390070921981E-2</v>
      </c>
      <c r="J147">
        <f>SUM(J116*Bobot!$F$9)</f>
        <v>0.1702127659574468</v>
      </c>
      <c r="K147">
        <f>SUM(K116*Bobot!$F$9)</f>
        <v>1.2158054711246199E-2</v>
      </c>
      <c r="L147">
        <f>SUM(L116*Bobot!$F$9)</f>
        <v>8.5106382978723402E-2</v>
      </c>
      <c r="M147">
        <f>SUM(M116*Bobot!$F$10)</f>
        <v>0</v>
      </c>
      <c r="N147">
        <f>SUM(N116*Bobot!$F$10)</f>
        <v>0</v>
      </c>
      <c r="O147">
        <f>SUM(O116*Bobot!$F$11)</f>
        <v>0</v>
      </c>
      <c r="P147">
        <f>SUM(P116*Bobot!$F$11)</f>
        <v>1.0638297872340425E-2</v>
      </c>
      <c r="Q147">
        <f>SUM(Q116*Bobot!$F$11)</f>
        <v>0</v>
      </c>
      <c r="R147">
        <f>SUM(R116*Bobot!$F$12)</f>
        <v>1.9342359767891683E-3</v>
      </c>
      <c r="S147">
        <f>SUM(S116*Bobot!$F$12)</f>
        <v>2.1276595744680851E-2</v>
      </c>
      <c r="T147">
        <f>SUM(T116*Bobot!$F$13)</f>
        <v>0.14893617021276595</v>
      </c>
      <c r="U147">
        <f>SUM(U116*Bobot!$F$13)</f>
        <v>0</v>
      </c>
      <c r="V147">
        <f>SUM(V116*Bobot!$F$14)</f>
        <v>0.10942249240121579</v>
      </c>
      <c r="W147" s="33">
        <f t="shared" si="24"/>
        <v>0.46516840133861403</v>
      </c>
    </row>
    <row r="148" spans="1:23" x14ac:dyDescent="0.25">
      <c r="A148">
        <v>10</v>
      </c>
      <c r="B148">
        <f>SUM(B117*Bobot!$F$6)</f>
        <v>2.1276595744680851E-2</v>
      </c>
      <c r="C148" t="str">
        <f t="shared" si="25"/>
        <v>Iphone 15 Pro</v>
      </c>
      <c r="D148">
        <f>SUM(D117*Bobot!$F$7)</f>
        <v>2.1276595744680854E-2</v>
      </c>
      <c r="E148">
        <f>SUM(E117*Bobot!$F$7)</f>
        <v>9.1185410334346503E-2</v>
      </c>
      <c r="F148">
        <f>SUM(F117*Bobot!$F$7)</f>
        <v>0.10638297872340426</v>
      </c>
      <c r="G148">
        <f>SUM(G117*Bobot!$F$8)</f>
        <v>0.14893617021276595</v>
      </c>
      <c r="H148">
        <f>SUM(H117*Bobot!$F$8)</f>
        <v>4.9645390070921981E-2</v>
      </c>
      <c r="I148">
        <f>SUM(I117*Bobot!$F$8)</f>
        <v>4.9645390070921981E-2</v>
      </c>
      <c r="J148">
        <f>SUM(J117*Bobot!$F$9)</f>
        <v>0.1702127659574468</v>
      </c>
      <c r="K148">
        <f>SUM(K117*Bobot!$F$9)</f>
        <v>1.2158054711246199E-2</v>
      </c>
      <c r="L148">
        <f>SUM(L117*Bobot!$F$9)</f>
        <v>8.5106382978723402E-2</v>
      </c>
      <c r="M148">
        <f>SUM(M117*Bobot!$F$10)</f>
        <v>0</v>
      </c>
      <c r="N148">
        <f>SUM(N117*Bobot!$F$10)</f>
        <v>5.6737588652482268E-2</v>
      </c>
      <c r="O148">
        <f>SUM(O117*Bobot!$F$11)</f>
        <v>0</v>
      </c>
      <c r="P148">
        <f>SUM(P117*Bobot!$F$11)</f>
        <v>1.0638297872340425E-2</v>
      </c>
      <c r="Q148">
        <f>SUM(Q117*Bobot!$F$11)</f>
        <v>0</v>
      </c>
      <c r="R148">
        <f>SUM(R117*Bobot!$F$12)</f>
        <v>1.9342359767891683E-3</v>
      </c>
      <c r="S148">
        <f>SUM(S117*Bobot!$F$12)</f>
        <v>2.1276595744680851E-2</v>
      </c>
      <c r="T148">
        <f>SUM(T117*Bobot!$F$13)</f>
        <v>0.14893617021276595</v>
      </c>
      <c r="U148">
        <f>SUM(U117*Bobot!$F$13)</f>
        <v>0</v>
      </c>
      <c r="V148">
        <f>SUM(V117*Bobot!$F$14)</f>
        <v>8.2066869300911852E-2</v>
      </c>
      <c r="W148" s="33">
        <f t="shared" si="24"/>
        <v>0.46618157256455123</v>
      </c>
    </row>
    <row r="149" spans="1:23" x14ac:dyDescent="0.25">
      <c r="A149">
        <v>11</v>
      </c>
      <c r="B149">
        <f>SUM(B118*Bobot!$F$6)</f>
        <v>2.1276595744680851E-2</v>
      </c>
      <c r="C149" t="str">
        <f t="shared" si="25"/>
        <v>Iphone 15 Pro</v>
      </c>
      <c r="D149">
        <f>SUM(D118*Bobot!$F$7)</f>
        <v>2.1276595744680854E-2</v>
      </c>
      <c r="E149">
        <f>SUM(E118*Bobot!$F$7)</f>
        <v>9.1185410334346503E-2</v>
      </c>
      <c r="F149">
        <f>SUM(F118*Bobot!$F$7)</f>
        <v>0.10638297872340426</v>
      </c>
      <c r="G149">
        <f>SUM(G118*Bobot!$F$8)</f>
        <v>0.14893617021276595</v>
      </c>
      <c r="H149">
        <f>SUM(H118*Bobot!$F$8)</f>
        <v>4.9645390070921981E-2</v>
      </c>
      <c r="I149">
        <f>SUM(I118*Bobot!$F$8)</f>
        <v>4.9645390070921981E-2</v>
      </c>
      <c r="J149">
        <f>SUM(J118*Bobot!$F$9)</f>
        <v>0.1702127659574468</v>
      </c>
      <c r="K149">
        <f>SUM(K118*Bobot!$F$9)</f>
        <v>1.2158054711246199E-2</v>
      </c>
      <c r="L149">
        <f>SUM(L118*Bobot!$F$9)</f>
        <v>8.5106382978723402E-2</v>
      </c>
      <c r="M149">
        <f>SUM(M118*Bobot!$F$10)</f>
        <v>0</v>
      </c>
      <c r="N149">
        <f>SUM(N118*Bobot!$F$10)</f>
        <v>0.11347517730496454</v>
      </c>
      <c r="O149">
        <f>SUM(O118*Bobot!$F$11)</f>
        <v>0</v>
      </c>
      <c r="P149">
        <f>SUM(P118*Bobot!$F$11)</f>
        <v>1.0638297872340425E-2</v>
      </c>
      <c r="Q149">
        <f>SUM(Q118*Bobot!$F$11)</f>
        <v>0</v>
      </c>
      <c r="R149">
        <f>SUM(R118*Bobot!$F$12)</f>
        <v>1.9342359767891683E-3</v>
      </c>
      <c r="S149">
        <f>SUM(S118*Bobot!$F$12)</f>
        <v>2.1276595744680851E-2</v>
      </c>
      <c r="T149">
        <f>SUM(T118*Bobot!$F$13)</f>
        <v>0.14893617021276595</v>
      </c>
      <c r="U149">
        <f>SUM(U118*Bobot!$F$13)</f>
        <v>0</v>
      </c>
      <c r="V149">
        <f>SUM(V118*Bobot!$F$14)</f>
        <v>2.7355623100303948E-2</v>
      </c>
      <c r="W149" s="33">
        <f t="shared" si="24"/>
        <v>0.43983912069018444</v>
      </c>
    </row>
    <row r="150" spans="1:23" x14ac:dyDescent="0.25">
      <c r="A150">
        <v>12</v>
      </c>
      <c r="B150">
        <f>SUM(B119*Bobot!$F$6)</f>
        <v>2.1276595744680851E-2</v>
      </c>
      <c r="C150" t="str">
        <f t="shared" si="25"/>
        <v>Iphone 15 Pro</v>
      </c>
      <c r="D150">
        <f>SUM(D119*Bobot!$F$7)</f>
        <v>2.1276595744680854E-2</v>
      </c>
      <c r="E150">
        <f>SUM(E119*Bobot!$F$7)</f>
        <v>3.0395136778115499E-2</v>
      </c>
      <c r="F150">
        <f>SUM(F119*Bobot!$F$7)</f>
        <v>0.10638297872340426</v>
      </c>
      <c r="G150">
        <f>SUM(G119*Bobot!$F$8)</f>
        <v>0.14893617021276595</v>
      </c>
      <c r="H150">
        <f>SUM(H119*Bobot!$F$8)</f>
        <v>4.9645390070921981E-2</v>
      </c>
      <c r="I150">
        <f>SUM(I119*Bobot!$F$8)</f>
        <v>4.9645390070921981E-2</v>
      </c>
      <c r="J150">
        <f>SUM(J119*Bobot!$F$9)</f>
        <v>0.1702127659574468</v>
      </c>
      <c r="K150">
        <f>SUM(K119*Bobot!$F$9)</f>
        <v>1.2158054711246199E-2</v>
      </c>
      <c r="L150">
        <f>SUM(L119*Bobot!$F$9)</f>
        <v>8.5106382978723402E-2</v>
      </c>
      <c r="M150">
        <f>SUM(M119*Bobot!$F$10)</f>
        <v>0</v>
      </c>
      <c r="N150">
        <f>SUM(N119*Bobot!$F$10)</f>
        <v>0.1702127659574468</v>
      </c>
      <c r="O150">
        <f>SUM(O119*Bobot!$F$11)</f>
        <v>0</v>
      </c>
      <c r="P150">
        <f>SUM(P119*Bobot!$F$11)</f>
        <v>1.0638297872340425E-2</v>
      </c>
      <c r="Q150">
        <f>SUM(Q119*Bobot!$F$11)</f>
        <v>0</v>
      </c>
      <c r="R150">
        <f>SUM(R119*Bobot!$F$12)</f>
        <v>1.9342359767891683E-3</v>
      </c>
      <c r="S150">
        <f>SUM(S119*Bobot!$F$12)</f>
        <v>2.1276595744680851E-2</v>
      </c>
      <c r="T150">
        <f>SUM(T119*Bobot!$F$13)</f>
        <v>0.14893617021276595</v>
      </c>
      <c r="U150">
        <f>SUM(U119*Bobot!$F$13)</f>
        <v>0</v>
      </c>
      <c r="V150">
        <f>SUM(V119*Bobot!$F$14)</f>
        <v>0</v>
      </c>
      <c r="W150" s="33">
        <f t="shared" si="24"/>
        <v>0.420588867397378</v>
      </c>
    </row>
    <row r="151" spans="1:23" x14ac:dyDescent="0.25">
      <c r="A151">
        <v>13</v>
      </c>
      <c r="B151">
        <f>SUM(B120*Bobot!$F$6)</f>
        <v>2.1276595744680851E-2</v>
      </c>
      <c r="C151" t="str">
        <f t="shared" si="25"/>
        <v>Iphone 15 Plus</v>
      </c>
      <c r="D151">
        <f>SUM(D120*Bobot!$F$7)</f>
        <v>4.2553191489361708E-2</v>
      </c>
      <c r="E151">
        <f>SUM(E120*Bobot!$F$7)</f>
        <v>3.0395136778115499E-2</v>
      </c>
      <c r="F151">
        <f>SUM(F120*Bobot!$F$7)</f>
        <v>1.9342359767891684E-2</v>
      </c>
      <c r="G151">
        <f>SUM(G120*Bobot!$F$8)</f>
        <v>0.14893617021276595</v>
      </c>
      <c r="H151">
        <f>SUM(H120*Bobot!$F$8)</f>
        <v>0.14893617021276595</v>
      </c>
      <c r="I151">
        <f>SUM(I120*Bobot!$F$8)</f>
        <v>9.9290780141843962E-2</v>
      </c>
      <c r="J151">
        <f>SUM(J120*Bobot!$F$9)</f>
        <v>0.1702127659574468</v>
      </c>
      <c r="K151">
        <f>SUM(K120*Bobot!$F$9)</f>
        <v>0</v>
      </c>
      <c r="L151">
        <f>SUM(L120*Bobot!$F$9)</f>
        <v>8.5106382978723402E-2</v>
      </c>
      <c r="M151">
        <f>SUM(M120*Bobot!$F$10)</f>
        <v>0</v>
      </c>
      <c r="N151">
        <f>SUM(N120*Bobot!$F$10)</f>
        <v>0</v>
      </c>
      <c r="O151">
        <f>SUM(O120*Bobot!$F$11)</f>
        <v>0</v>
      </c>
      <c r="P151">
        <f>SUM(P120*Bobot!$F$11)</f>
        <v>0</v>
      </c>
      <c r="Q151">
        <f>SUM(Q120*Bobot!$F$11)</f>
        <v>0</v>
      </c>
      <c r="R151">
        <f>SUM(R120*Bobot!$F$12)</f>
        <v>1.9342359767891683E-3</v>
      </c>
      <c r="S151">
        <f>SUM(S120*Bobot!$F$12)</f>
        <v>1.8501387604070305E-2</v>
      </c>
      <c r="T151">
        <f>SUM(T120*Bobot!$F$13)</f>
        <v>0</v>
      </c>
      <c r="U151">
        <f>SUM(U120*Bobot!$F$13)</f>
        <v>5.9574468085106386E-2</v>
      </c>
      <c r="V151">
        <f>SUM(V120*Bobot!$F$14)</f>
        <v>0.13677811550151975</v>
      </c>
      <c r="W151" s="33">
        <f t="shared" si="24"/>
        <v>0.44631740959215521</v>
      </c>
    </row>
    <row r="152" spans="1:23" x14ac:dyDescent="0.25">
      <c r="A152">
        <v>14</v>
      </c>
      <c r="B152">
        <f>SUM(B121*Bobot!$F$6)</f>
        <v>2.1276595744680851E-2</v>
      </c>
      <c r="C152" t="str">
        <f t="shared" si="25"/>
        <v>Iphone 15 Plus</v>
      </c>
      <c r="D152">
        <f>SUM(D121*Bobot!$F$7)</f>
        <v>4.2553191489361708E-2</v>
      </c>
      <c r="E152">
        <f>SUM(E121*Bobot!$F$7)</f>
        <v>3.0395136778115499E-2</v>
      </c>
      <c r="F152">
        <f>SUM(F121*Bobot!$F$7)</f>
        <v>1.9342359767891684E-2</v>
      </c>
      <c r="G152">
        <f>SUM(G121*Bobot!$F$8)</f>
        <v>0.14893617021276595</v>
      </c>
      <c r="H152">
        <f>SUM(H121*Bobot!$F$8)</f>
        <v>0.14893617021276595</v>
      </c>
      <c r="I152">
        <f>SUM(I121*Bobot!$F$8)</f>
        <v>9.9290780141843962E-2</v>
      </c>
      <c r="J152">
        <f>SUM(J121*Bobot!$F$9)</f>
        <v>0.1702127659574468</v>
      </c>
      <c r="K152">
        <f>SUM(K121*Bobot!$F$9)</f>
        <v>0</v>
      </c>
      <c r="L152">
        <f>SUM(L121*Bobot!$F$9)</f>
        <v>8.5106382978723402E-2</v>
      </c>
      <c r="M152">
        <f>SUM(M121*Bobot!$F$10)</f>
        <v>0</v>
      </c>
      <c r="N152">
        <f>SUM(N121*Bobot!$F$10)</f>
        <v>5.6737588652482268E-2</v>
      </c>
      <c r="O152">
        <f>SUM(O121*Bobot!$F$11)</f>
        <v>0</v>
      </c>
      <c r="P152">
        <f>SUM(P121*Bobot!$F$11)</f>
        <v>0</v>
      </c>
      <c r="Q152">
        <f>SUM(Q121*Bobot!$F$11)</f>
        <v>0</v>
      </c>
      <c r="R152">
        <f>SUM(R121*Bobot!$F$12)</f>
        <v>1.9342359767891683E-3</v>
      </c>
      <c r="S152">
        <f>SUM(S121*Bobot!$F$12)</f>
        <v>1.8501387604070305E-2</v>
      </c>
      <c r="T152">
        <f>SUM(T121*Bobot!$F$13)</f>
        <v>0</v>
      </c>
      <c r="U152">
        <f>SUM(U121*Bobot!$F$13)</f>
        <v>5.9574468085106386E-2</v>
      </c>
      <c r="V152">
        <f>SUM(V121*Bobot!$F$14)</f>
        <v>0.10942249240121579</v>
      </c>
      <c r="W152" s="33">
        <f t="shared" si="24"/>
        <v>0.4473305808180924</v>
      </c>
    </row>
    <row r="153" spans="1:23" x14ac:dyDescent="0.25">
      <c r="A153">
        <v>15</v>
      </c>
      <c r="B153">
        <f>SUM(B122*Bobot!$F$6)</f>
        <v>2.1276595744680851E-2</v>
      </c>
      <c r="C153" t="str">
        <f>C122</f>
        <v>Iphone 15 Plus</v>
      </c>
      <c r="D153">
        <f>SUM(D122*Bobot!$F$7)</f>
        <v>4.2553191489361708E-2</v>
      </c>
      <c r="E153">
        <f>SUM(E122*Bobot!$F$7)</f>
        <v>3.0395136778115499E-2</v>
      </c>
      <c r="F153">
        <f>SUM(F122*Bobot!$F$7)</f>
        <v>0.10638297872340426</v>
      </c>
      <c r="G153">
        <f>SUM(G122*Bobot!$F$8)</f>
        <v>0.14893617021276595</v>
      </c>
      <c r="H153">
        <f>SUM(H122*Bobot!$F$8)</f>
        <v>0.14893617021276595</v>
      </c>
      <c r="I153">
        <f>SUM(I122*Bobot!$F$8)</f>
        <v>9.9290780141843962E-2</v>
      </c>
      <c r="J153">
        <f>SUM(J122*Bobot!$F$9)</f>
        <v>0.1702127659574468</v>
      </c>
      <c r="K153">
        <f>SUM(K122*Bobot!$F$9)</f>
        <v>0</v>
      </c>
      <c r="L153">
        <f>SUM(L122*Bobot!$F$9)</f>
        <v>8.5106382978723402E-2</v>
      </c>
      <c r="M153">
        <f>SUM(M122*Bobot!$F$10)</f>
        <v>0</v>
      </c>
      <c r="N153">
        <f>SUM(N122*Bobot!$F$10)</f>
        <v>0.11347517730496454</v>
      </c>
      <c r="O153">
        <f>SUM(O122*Bobot!$F$11)</f>
        <v>0</v>
      </c>
      <c r="P153">
        <f>SUM(P122*Bobot!$F$11)</f>
        <v>0</v>
      </c>
      <c r="Q153">
        <f>SUM(Q122*Bobot!$F$11)</f>
        <v>0</v>
      </c>
      <c r="R153">
        <f>SUM(R122*Bobot!$F$12)</f>
        <v>1.9342359767891683E-3</v>
      </c>
      <c r="S153">
        <f>SUM(S122*Bobot!$F$12)</f>
        <v>1.8501387604070305E-2</v>
      </c>
      <c r="T153">
        <f>SUM(T122*Bobot!$F$13)</f>
        <v>0</v>
      </c>
      <c r="U153">
        <f>SUM(U122*Bobot!$F$13)</f>
        <v>5.9574468085106386E-2</v>
      </c>
      <c r="V153">
        <f>SUM(V122*Bobot!$F$14)</f>
        <v>5.4711246200607896E-2</v>
      </c>
      <c r="W153" s="33">
        <f t="shared" si="24"/>
        <v>0.45000166859556318</v>
      </c>
    </row>
    <row r="154" spans="1:23" x14ac:dyDescent="0.25">
      <c r="A154">
        <v>16</v>
      </c>
      <c r="B154">
        <f>SUM(B123*Bobot!$F$6)</f>
        <v>2.1276595744680851E-2</v>
      </c>
      <c r="C154" t="str">
        <f t="shared" si="25"/>
        <v>Iphone 15</v>
      </c>
      <c r="D154">
        <f>SUM(D123*Bobot!$F$7)</f>
        <v>2.1276595744680854E-2</v>
      </c>
      <c r="E154">
        <f>SUM(E123*Bobot!$F$7)</f>
        <v>1.5197568389057749E-2</v>
      </c>
      <c r="F154">
        <f>SUM(F123*Bobot!$F$7)</f>
        <v>1.9342359767891684E-2</v>
      </c>
      <c r="G154">
        <f>SUM(G123*Bobot!$F$8)</f>
        <v>0.14893617021276595</v>
      </c>
      <c r="H154">
        <f>SUM(H123*Bobot!$F$8)</f>
        <v>4.9645390070921981E-2</v>
      </c>
      <c r="I154">
        <f>SUM(I123*Bobot!$F$8)</f>
        <v>4.9645390070921981E-2</v>
      </c>
      <c r="J154">
        <f>SUM(J123*Bobot!$F$9)</f>
        <v>0.1702127659574468</v>
      </c>
      <c r="K154">
        <f>SUM(K123*Bobot!$F$9)</f>
        <v>0</v>
      </c>
      <c r="L154">
        <f>SUM(L123*Bobot!$F$9)</f>
        <v>8.5106382978723402E-2</v>
      </c>
      <c r="M154">
        <f>SUM(M123*Bobot!$F$10)</f>
        <v>0</v>
      </c>
      <c r="N154">
        <f>SUM(N123*Bobot!$F$10)</f>
        <v>0</v>
      </c>
      <c r="O154">
        <f>SUM(O123*Bobot!$F$11)</f>
        <v>0</v>
      </c>
      <c r="P154">
        <f>SUM(P123*Bobot!$F$11)</f>
        <v>0</v>
      </c>
      <c r="Q154">
        <f>SUM(Q123*Bobot!$F$11)</f>
        <v>0</v>
      </c>
      <c r="R154">
        <f>SUM(R123*Bobot!$F$12)</f>
        <v>1.9342359767891683E-3</v>
      </c>
      <c r="S154">
        <f>SUM(S123*Bobot!$F$12)</f>
        <v>1.8501387604070305E-2</v>
      </c>
      <c r="T154">
        <f>SUM(T123*Bobot!$F$13)</f>
        <v>0</v>
      </c>
      <c r="U154">
        <f>SUM(U123*Bobot!$F$13)</f>
        <v>0</v>
      </c>
      <c r="V154">
        <f>SUM(V123*Bobot!$F$14)</f>
        <v>0.13677811550151975</v>
      </c>
      <c r="W154" s="33">
        <f t="shared" si="24"/>
        <v>0.35472673076743383</v>
      </c>
    </row>
    <row r="155" spans="1:23" x14ac:dyDescent="0.25">
      <c r="A155">
        <v>17</v>
      </c>
      <c r="B155">
        <f>SUM(B124*Bobot!$F$6)</f>
        <v>2.1276595744680851E-2</v>
      </c>
      <c r="C155" t="str">
        <f t="shared" si="25"/>
        <v>Iphone 15</v>
      </c>
      <c r="D155">
        <f>SUM(D124*Bobot!$F$7)</f>
        <v>2.1276595744680854E-2</v>
      </c>
      <c r="E155">
        <f>SUM(E124*Bobot!$F$7)</f>
        <v>1.5197568389057749E-2</v>
      </c>
      <c r="F155">
        <f>SUM(F124*Bobot!$F$7)</f>
        <v>1.9342359767891684E-2</v>
      </c>
      <c r="G155">
        <f>SUM(G124*Bobot!$F$8)</f>
        <v>0.14893617021276595</v>
      </c>
      <c r="H155">
        <f>SUM(H124*Bobot!$F$8)</f>
        <v>4.9645390070921981E-2</v>
      </c>
      <c r="I155">
        <f>SUM(I124*Bobot!$F$8)</f>
        <v>4.9645390070921981E-2</v>
      </c>
      <c r="J155">
        <f>SUM(J124*Bobot!$F$9)</f>
        <v>0.1702127659574468</v>
      </c>
      <c r="K155">
        <f>SUM(K124*Bobot!$F$9)</f>
        <v>0</v>
      </c>
      <c r="L155">
        <f>SUM(L124*Bobot!$F$9)</f>
        <v>8.5106382978723402E-2</v>
      </c>
      <c r="M155">
        <f>SUM(M124*Bobot!$F$10)</f>
        <v>0</v>
      </c>
      <c r="N155">
        <f>SUM(N124*Bobot!$F$10)</f>
        <v>5.6737588652482268E-2</v>
      </c>
      <c r="O155">
        <f>SUM(O124*Bobot!$F$11)</f>
        <v>0</v>
      </c>
      <c r="P155">
        <f>SUM(P124*Bobot!$F$11)</f>
        <v>0</v>
      </c>
      <c r="Q155">
        <f>SUM(Q124*Bobot!$F$11)</f>
        <v>0</v>
      </c>
      <c r="R155">
        <f>SUM(R124*Bobot!$F$12)</f>
        <v>1.9342359767891683E-3</v>
      </c>
      <c r="S155">
        <f>SUM(S124*Bobot!$F$12)</f>
        <v>1.8501387604070305E-2</v>
      </c>
      <c r="T155">
        <f>SUM(T124*Bobot!$F$13)</f>
        <v>0</v>
      </c>
      <c r="U155">
        <f>SUM(U124*Bobot!$F$13)</f>
        <v>0</v>
      </c>
      <c r="V155">
        <f>SUM(V124*Bobot!$F$14)</f>
        <v>0.10942249240121579</v>
      </c>
      <c r="W155" s="33">
        <f t="shared" si="24"/>
        <v>0.35573990199337102</v>
      </c>
    </row>
    <row r="156" spans="1:23" x14ac:dyDescent="0.25">
      <c r="A156">
        <v>18</v>
      </c>
      <c r="B156">
        <f>SUM(B125*Bobot!$F$6)</f>
        <v>2.1276595744680851E-2</v>
      </c>
      <c r="C156" t="str">
        <f t="shared" si="25"/>
        <v>Iphone 15</v>
      </c>
      <c r="D156">
        <f>SUM(D125*Bobot!$F$7)</f>
        <v>2.1276595744680854E-2</v>
      </c>
      <c r="E156">
        <f>SUM(E125*Bobot!$F$7)</f>
        <v>1.5197568389057749E-2</v>
      </c>
      <c r="F156">
        <f>SUM(F125*Bobot!$F$7)</f>
        <v>1.9342359767891684E-2</v>
      </c>
      <c r="G156">
        <f>SUM(G125*Bobot!$F$8)</f>
        <v>0.14893617021276595</v>
      </c>
      <c r="H156">
        <f>SUM(H125*Bobot!$F$8)</f>
        <v>4.9645390070921981E-2</v>
      </c>
      <c r="I156">
        <f>SUM(I125*Bobot!$F$8)</f>
        <v>4.9645390070921981E-2</v>
      </c>
      <c r="J156">
        <f>SUM(J125*Bobot!$F$9)</f>
        <v>0.1702127659574468</v>
      </c>
      <c r="K156">
        <f>SUM(K125*Bobot!$F$9)</f>
        <v>0</v>
      </c>
      <c r="L156">
        <f>SUM(L125*Bobot!$F$9)</f>
        <v>8.5106382978723402E-2</v>
      </c>
      <c r="M156">
        <f>SUM(M125*Bobot!$F$10)</f>
        <v>0</v>
      </c>
      <c r="N156">
        <f>SUM(N125*Bobot!$F$10)</f>
        <v>0.11347517730496454</v>
      </c>
      <c r="O156">
        <f>SUM(O125*Bobot!$F$11)</f>
        <v>0</v>
      </c>
      <c r="P156">
        <f>SUM(P125*Bobot!$F$11)</f>
        <v>0</v>
      </c>
      <c r="Q156">
        <f>SUM(Q125*Bobot!$F$11)</f>
        <v>0</v>
      </c>
      <c r="R156">
        <f>SUM(R125*Bobot!$F$12)</f>
        <v>1.9342359767891683E-3</v>
      </c>
      <c r="S156">
        <f>SUM(S125*Bobot!$F$12)</f>
        <v>1.8501387604070305E-2</v>
      </c>
      <c r="T156">
        <f>SUM(T125*Bobot!$F$13)</f>
        <v>0</v>
      </c>
      <c r="U156">
        <f>SUM(U125*Bobot!$F$13)</f>
        <v>0</v>
      </c>
      <c r="V156">
        <f>SUM(V125*Bobot!$F$14)</f>
        <v>5.4711246200607896E-2</v>
      </c>
      <c r="W156" s="33">
        <f t="shared" si="24"/>
        <v>0.32939745011900423</v>
      </c>
    </row>
    <row r="157" spans="1:23" x14ac:dyDescent="0.25">
      <c r="A157">
        <v>19</v>
      </c>
      <c r="B157">
        <f>SUM(B126*Bobot!$F$6)</f>
        <v>1.386683603260294E-2</v>
      </c>
      <c r="C157" t="str">
        <f t="shared" si="25"/>
        <v>Galaxy S24</v>
      </c>
      <c r="D157">
        <f>SUM(D126*Bobot!$F$7)</f>
        <v>0</v>
      </c>
      <c r="E157">
        <f>SUM(E126*Bobot!$F$7)</f>
        <v>0</v>
      </c>
      <c r="F157">
        <f>SUM(F126*Bobot!$F$7)</f>
        <v>0.10638297872340426</v>
      </c>
      <c r="G157">
        <f>SUM(G126*Bobot!$F$8)</f>
        <v>0.11170212765957446</v>
      </c>
      <c r="H157">
        <f>SUM(H126*Bobot!$F$8)</f>
        <v>4.9645390070921981E-2</v>
      </c>
      <c r="I157">
        <f>SUM(I126*Bobot!$F$8)</f>
        <v>0</v>
      </c>
      <c r="J157">
        <f>SUM(J126*Bobot!$F$9)</f>
        <v>8.5106382978723402E-2</v>
      </c>
      <c r="K157">
        <f>SUM(K126*Bobot!$F$9)</f>
        <v>8.5106382978723402E-2</v>
      </c>
      <c r="L157">
        <f>SUM(L126*Bobot!$F$9)</f>
        <v>0.1702127659574468</v>
      </c>
      <c r="M157">
        <f>SUM(M126*Bobot!$F$10)</f>
        <v>0</v>
      </c>
      <c r="N157">
        <f>SUM(N126*Bobot!$F$10)</f>
        <v>0.11347517730496454</v>
      </c>
      <c r="O157">
        <f>SUM(O126*Bobot!$F$11)</f>
        <v>2.7995520716685331E-4</v>
      </c>
      <c r="P157">
        <f>SUM(P126*Bobot!$F$11)</f>
        <v>1.0638297872340425E-2</v>
      </c>
      <c r="Q157">
        <f>SUM(Q126*Bobot!$F$11)</f>
        <v>1.9342359767891681E-2</v>
      </c>
      <c r="R157">
        <f>SUM(R126*Bobot!$F$12)</f>
        <v>1.9342359767891683E-3</v>
      </c>
      <c r="S157">
        <f>SUM(S126*Bobot!$F$12)</f>
        <v>1.4801110083256243E-2</v>
      </c>
      <c r="T157">
        <f>SUM(T126*Bobot!$F$13)</f>
        <v>0.14893617021276595</v>
      </c>
      <c r="U157">
        <f>SUM(U126*Bobot!$F$13)</f>
        <v>5.9574468085106386E-2</v>
      </c>
      <c r="V157">
        <f>SUM(V126*Bobot!$F$14)</f>
        <v>0.13677811550151975</v>
      </c>
      <c r="W157" s="33">
        <f t="shared" si="24"/>
        <v>0.53281107943762818</v>
      </c>
    </row>
    <row r="158" spans="1:23" x14ac:dyDescent="0.25">
      <c r="A158">
        <v>20</v>
      </c>
      <c r="B158">
        <f>SUM(B127*Bobot!$F$6)</f>
        <v>1.386683603260294E-2</v>
      </c>
      <c r="C158" t="str">
        <f>C127</f>
        <v>Galaxy S24 Ultra</v>
      </c>
      <c r="D158">
        <f>SUM(D127*Bobot!$F$7)</f>
        <v>8.5106382978723416E-2</v>
      </c>
      <c r="E158">
        <f>SUM(E127*Bobot!$F$7)</f>
        <v>3.0395136778115499E-2</v>
      </c>
      <c r="F158">
        <f>SUM(F127*Bobot!$F$7)</f>
        <v>0.10638297872340426</v>
      </c>
      <c r="G158">
        <f>SUM(G127*Bobot!$F$8)</f>
        <v>0.11170212765957446</v>
      </c>
      <c r="H158">
        <f>SUM(H127*Bobot!$F$8)</f>
        <v>0.14893617021276595</v>
      </c>
      <c r="I158">
        <f>SUM(I127*Bobot!$F$8)</f>
        <v>0.14893617021276595</v>
      </c>
      <c r="J158">
        <f>SUM(J127*Bobot!$F$9)</f>
        <v>8.5106382978723402E-2</v>
      </c>
      <c r="K158">
        <f>SUM(K127*Bobot!$F$9)</f>
        <v>8.5106382978723402E-2</v>
      </c>
      <c r="L158">
        <f>SUM(L127*Bobot!$F$9)</f>
        <v>0.1702127659574468</v>
      </c>
      <c r="M158">
        <f>SUM(M127*Bobot!$F$10)</f>
        <v>8.5106382978723402E-2</v>
      </c>
      <c r="N158">
        <f>SUM(N127*Bobot!$F$10)</f>
        <v>0.11347517730496454</v>
      </c>
      <c r="O158">
        <f>SUM(O127*Bobot!$F$11)</f>
        <v>2.1276595744680851E-2</v>
      </c>
      <c r="P158">
        <f>SUM(P127*Bobot!$F$11)</f>
        <v>2.1276595744680851E-2</v>
      </c>
      <c r="Q158">
        <f>SUM(Q127*Bobot!$F$11)</f>
        <v>2.1276595744680851E-2</v>
      </c>
      <c r="R158">
        <f>SUM(R127*Bobot!$F$12)</f>
        <v>1.9342359767891683E-3</v>
      </c>
      <c r="S158">
        <f>SUM(S127*Bobot!$F$12)</f>
        <v>1.4801110083256243E-2</v>
      </c>
      <c r="T158">
        <f>SUM(T127*Bobot!$F$13)</f>
        <v>0.14893617021276595</v>
      </c>
      <c r="U158">
        <f>SUM(U127*Bobot!$F$13)</f>
        <v>0.11914893617021277</v>
      </c>
      <c r="V158">
        <f>SUM(V127*Bobot!$F$14)</f>
        <v>5.4711246200607896E-2</v>
      </c>
      <c r="W158" s="33">
        <f t="shared" si="24"/>
        <v>0.65551718383466206</v>
      </c>
    </row>
    <row r="159" spans="1:23" x14ac:dyDescent="0.25">
      <c r="A159">
        <v>21</v>
      </c>
      <c r="B159">
        <f>SUM(B128*Bobot!$F$6)</f>
        <v>1.386683603260294E-2</v>
      </c>
      <c r="C159" t="str">
        <f t="shared" si="25"/>
        <v>Galaxy S24 Ultra</v>
      </c>
      <c r="D159">
        <f>SUM(D128*Bobot!$F$7)</f>
        <v>8.5106382978723416E-2</v>
      </c>
      <c r="E159">
        <f>SUM(E128*Bobot!$F$7)</f>
        <v>3.0395136778115499E-2</v>
      </c>
      <c r="F159">
        <f>SUM(F128*Bobot!$F$7)</f>
        <v>0.10638297872340426</v>
      </c>
      <c r="G159">
        <f>SUM(G128*Bobot!$F$8)</f>
        <v>0.11170212765957446</v>
      </c>
      <c r="H159">
        <f>SUM(H128*Bobot!$F$8)</f>
        <v>0.14893617021276595</v>
      </c>
      <c r="I159">
        <f>SUM(I128*Bobot!$F$8)</f>
        <v>0.14893617021276595</v>
      </c>
      <c r="J159">
        <f>SUM(J128*Bobot!$F$9)</f>
        <v>8.5106382978723402E-2</v>
      </c>
      <c r="K159">
        <f>SUM(K128*Bobot!$F$9)</f>
        <v>8.5106382978723402E-2</v>
      </c>
      <c r="L159">
        <f>SUM(L128*Bobot!$F$9)</f>
        <v>0.1702127659574468</v>
      </c>
      <c r="M159">
        <f>SUM(M128*Bobot!$F$10)</f>
        <v>8.5106382978723402E-2</v>
      </c>
      <c r="N159">
        <f>SUM(N128*Bobot!$F$10)</f>
        <v>0.1702127659574468</v>
      </c>
      <c r="O159">
        <f>SUM(O128*Bobot!$F$11)</f>
        <v>2.1276595744680851E-2</v>
      </c>
      <c r="P159">
        <f>SUM(P128*Bobot!$F$11)</f>
        <v>2.1276595744680851E-2</v>
      </c>
      <c r="Q159">
        <f>SUM(Q128*Bobot!$F$11)</f>
        <v>2.1276595744680851E-2</v>
      </c>
      <c r="R159">
        <f>SUM(R128*Bobot!$F$12)</f>
        <v>1.9342359767891683E-3</v>
      </c>
      <c r="S159">
        <f>SUM(S128*Bobot!$F$12)</f>
        <v>1.4801110083256243E-2</v>
      </c>
      <c r="T159">
        <f>SUM(T128*Bobot!$F$13)</f>
        <v>0.14893617021276595</v>
      </c>
      <c r="U159">
        <f>SUM(U128*Bobot!$F$13)</f>
        <v>0.11914893617021277</v>
      </c>
      <c r="V159">
        <f>SUM(V128*Bobot!$F$14)</f>
        <v>2.7355623100303948E-2</v>
      </c>
      <c r="W159" s="33">
        <f t="shared" si="24"/>
        <v>0.6565303550605992</v>
      </c>
    </row>
    <row r="160" spans="1:23" x14ac:dyDescent="0.25">
      <c r="A160">
        <v>22</v>
      </c>
      <c r="B160">
        <f>SUM(B129*Bobot!$F$6)</f>
        <v>1.386683603260294E-2</v>
      </c>
      <c r="C160" t="str">
        <f>C129</f>
        <v>Galaxy S24+(Online Exclusive)</v>
      </c>
      <c r="D160">
        <f>SUM(D129*Bobot!$F$7)</f>
        <v>4.2553191489361708E-2</v>
      </c>
      <c r="E160">
        <f>SUM(E129*Bobot!$F$7)</f>
        <v>3.0395136778115499E-2</v>
      </c>
      <c r="F160">
        <f>SUM(F129*Bobot!$F$7)</f>
        <v>1.9342359767891684E-2</v>
      </c>
      <c r="G160">
        <f>SUM(G129*Bobot!$F$8)</f>
        <v>0.11170212765957446</v>
      </c>
      <c r="H160">
        <f>SUM(H129*Bobot!$F$8)</f>
        <v>0.14893617021276595</v>
      </c>
      <c r="I160">
        <f>SUM(I129*Bobot!$F$8)</f>
        <v>0.14893617021276595</v>
      </c>
      <c r="J160">
        <f>SUM(J129*Bobot!$F$9)</f>
        <v>8.5106382978723402E-2</v>
      </c>
      <c r="K160">
        <f>SUM(K129*Bobot!$F$9)</f>
        <v>8.5106382978723402E-2</v>
      </c>
      <c r="L160">
        <f>SUM(L129*Bobot!$F$9)</f>
        <v>0</v>
      </c>
      <c r="M160">
        <f>SUM(M129*Bobot!$F$10)</f>
        <v>8.5106382978723402E-2</v>
      </c>
      <c r="N160">
        <f>SUM(N129*Bobot!$F$10)</f>
        <v>0.11347517730496454</v>
      </c>
      <c r="O160">
        <f>SUM(O129*Bobot!$F$11)</f>
        <v>2.7995520716685331E-4</v>
      </c>
      <c r="P160">
        <f>SUM(P129*Bobot!$F$11)</f>
        <v>1.0638297872340425E-2</v>
      </c>
      <c r="Q160">
        <f>SUM(Q129*Bobot!$F$11)</f>
        <v>1.9987105093488073E-2</v>
      </c>
      <c r="R160">
        <f>SUM(R129*Bobot!$F$12)</f>
        <v>1.9342359767891683E-3</v>
      </c>
      <c r="S160">
        <f>SUM(S129*Bobot!$F$12)</f>
        <v>1.4801110083256243E-2</v>
      </c>
      <c r="T160">
        <f>SUM(T129*Bobot!$F$13)</f>
        <v>0.14893617021276595</v>
      </c>
      <c r="U160">
        <f>SUM(U129*Bobot!$F$13)</f>
        <v>8.9361702127659565E-2</v>
      </c>
      <c r="V160">
        <f>SUM(V129*Bobot!$F$14)</f>
        <v>0.10942249240121579</v>
      </c>
      <c r="W160" s="33">
        <f t="shared" si="24"/>
        <v>0.58442447785953733</v>
      </c>
    </row>
    <row r="161" spans="1:23" x14ac:dyDescent="0.25">
      <c r="A161">
        <v>23</v>
      </c>
      <c r="B161">
        <f>SUM(B130*Bobot!$F$6)</f>
        <v>1.386683603260294E-2</v>
      </c>
      <c r="C161" t="str">
        <f t="shared" si="25"/>
        <v>Galaxy S24 Ultra</v>
      </c>
      <c r="D161">
        <f>SUM(D130*Bobot!$F$7)</f>
        <v>8.5106382978723416E-2</v>
      </c>
      <c r="E161">
        <f>SUM(E130*Bobot!$F$7)</f>
        <v>0.10638297872340426</v>
      </c>
      <c r="F161">
        <f>SUM(F130*Bobot!$F$7)</f>
        <v>0.10638297872340426</v>
      </c>
      <c r="G161">
        <f>SUM(G130*Bobot!$F$8)</f>
        <v>0.11170212765957446</v>
      </c>
      <c r="H161">
        <f>SUM(H130*Bobot!$F$8)</f>
        <v>0.14893617021276595</v>
      </c>
      <c r="I161">
        <f>SUM(I130*Bobot!$F$8)</f>
        <v>0.14893617021276595</v>
      </c>
      <c r="J161">
        <f>SUM(J130*Bobot!$F$9)</f>
        <v>8.5106382978723402E-2</v>
      </c>
      <c r="K161">
        <f>SUM(K130*Bobot!$F$9)</f>
        <v>8.5106382978723402E-2</v>
      </c>
      <c r="L161">
        <f>SUM(L130*Bobot!$F$9)</f>
        <v>0.1702127659574468</v>
      </c>
      <c r="M161">
        <f>SUM(M130*Bobot!$F$10)</f>
        <v>8.5106382978723402E-2</v>
      </c>
      <c r="N161">
        <f>SUM(N130*Bobot!$F$10)</f>
        <v>0.1702127659574468</v>
      </c>
      <c r="O161">
        <f>SUM(O130*Bobot!$F$11)</f>
        <v>2.1276595744680851E-2</v>
      </c>
      <c r="P161">
        <f>SUM(P130*Bobot!$F$11)</f>
        <v>2.1276595744680851E-2</v>
      </c>
      <c r="Q161">
        <f>SUM(Q130*Bobot!$F$11)</f>
        <v>2.1276595744680851E-2</v>
      </c>
      <c r="R161">
        <f>SUM(R130*Bobot!$F$12)</f>
        <v>1.9342359767891683E-3</v>
      </c>
      <c r="S161">
        <f>SUM(S130*Bobot!$F$12)</f>
        <v>1.4801110083256243E-2</v>
      </c>
      <c r="T161">
        <f>SUM(T130*Bobot!$F$13)</f>
        <v>0.14893617021276595</v>
      </c>
      <c r="U161">
        <f>SUM(U130*Bobot!$F$13)</f>
        <v>0.11914893617021277</v>
      </c>
      <c r="V161">
        <f>SUM(V130*Bobot!$F$14)</f>
        <v>8.2066869300911852E-2</v>
      </c>
      <c r="W161" s="33">
        <f t="shared" si="24"/>
        <v>0.73657088190963682</v>
      </c>
    </row>
    <row r="162" spans="1:23" x14ac:dyDescent="0.25">
      <c r="A162">
        <v>24</v>
      </c>
      <c r="B162">
        <f>SUM(B131*Bobot!$F$6)</f>
        <v>1.386683603260294E-2</v>
      </c>
      <c r="C162" t="str">
        <f t="shared" si="25"/>
        <v>Galaxy S23 FE</v>
      </c>
      <c r="D162">
        <f>SUM(D131*Bobot!$F$7)</f>
        <v>4.2553191489361708E-2</v>
      </c>
      <c r="E162">
        <f>SUM(E131*Bobot!$F$7)</f>
        <v>0.10638297872340426</v>
      </c>
      <c r="F162">
        <f>SUM(F131*Bobot!$F$7)</f>
        <v>9.6711798839458407E-2</v>
      </c>
      <c r="G162">
        <f>SUM(G131*Bobot!$F$8)</f>
        <v>7.4468085106382975E-2</v>
      </c>
      <c r="H162">
        <f>SUM(H131*Bobot!$F$8)</f>
        <v>9.9290780141843962E-2</v>
      </c>
      <c r="I162">
        <f>SUM(I131*Bobot!$F$8)</f>
        <v>0</v>
      </c>
      <c r="J162">
        <f>SUM(J131*Bobot!$F$9)</f>
        <v>0</v>
      </c>
      <c r="K162">
        <f>SUM(K131*Bobot!$F$9)</f>
        <v>0.1702127659574468</v>
      </c>
      <c r="L162">
        <f>SUM(L131*Bobot!$F$9)</f>
        <v>0.1702127659574468</v>
      </c>
      <c r="M162">
        <f>SUM(M131*Bobot!$F$10)</f>
        <v>0</v>
      </c>
      <c r="N162">
        <f>SUM(N131*Bobot!$F$10)</f>
        <v>5.6737588652482268E-2</v>
      </c>
      <c r="O162">
        <f>SUM(O131*Bobot!$F$11)</f>
        <v>2.7995520716685331E-4</v>
      </c>
      <c r="P162">
        <f>SUM(P131*Bobot!$F$11)</f>
        <v>1.0638297872340425E-2</v>
      </c>
      <c r="Q162">
        <f>SUM(Q131*Bobot!$F$11)</f>
        <v>1.9342359767891681E-2</v>
      </c>
      <c r="R162">
        <f>SUM(R131*Bobot!$F$12)</f>
        <v>0</v>
      </c>
      <c r="S162">
        <f>SUM(S131*Bobot!$F$12)</f>
        <v>1.6651248843663275E-2</v>
      </c>
      <c r="T162">
        <f>SUM(T131*Bobot!$F$13)</f>
        <v>9.3085106382978719E-2</v>
      </c>
      <c r="U162">
        <f>SUM(U131*Bobot!$F$13)</f>
        <v>8.9361702127659565E-2</v>
      </c>
      <c r="V162">
        <f>SUM(V131*Bobot!$F$14)</f>
        <v>0.19148936170212766</v>
      </c>
      <c r="W162" s="33">
        <f t="shared" si="24"/>
        <v>0.5966383470923704</v>
      </c>
    </row>
    <row r="163" spans="1:23" x14ac:dyDescent="0.25">
      <c r="A163">
        <v>25</v>
      </c>
      <c r="B163">
        <f>SUM(B132*Bobot!$F$6)</f>
        <v>1.386683603260294E-2</v>
      </c>
      <c r="C163" t="str">
        <f>C132</f>
        <v>Galaxy S23 FE</v>
      </c>
      <c r="D163">
        <f>SUM(D132*Bobot!$F$7)</f>
        <v>4.2553191489361708E-2</v>
      </c>
      <c r="E163">
        <f>SUM(E132*Bobot!$F$7)</f>
        <v>4.5592705167173252E-2</v>
      </c>
      <c r="F163">
        <f>SUM(F132*Bobot!$F$7)</f>
        <v>9.6711798839458407E-2</v>
      </c>
      <c r="G163">
        <f>SUM(G132*Bobot!$F$8)</f>
        <v>7.4468085106382975E-2</v>
      </c>
      <c r="H163">
        <f>SUM(H132*Bobot!$F$8)</f>
        <v>9.9290780141843962E-2</v>
      </c>
      <c r="I163">
        <f>SUM(I132*Bobot!$F$8)</f>
        <v>0</v>
      </c>
      <c r="J163">
        <f>SUM(J132*Bobot!$F$9)</f>
        <v>0</v>
      </c>
      <c r="K163">
        <f>SUM(K132*Bobot!$F$9)</f>
        <v>0.1702127659574468</v>
      </c>
      <c r="L163">
        <f>SUM(L132*Bobot!$F$9)</f>
        <v>0.1702127659574468</v>
      </c>
      <c r="M163">
        <f>SUM(M132*Bobot!$F$10)</f>
        <v>0</v>
      </c>
      <c r="N163">
        <f>SUM(N132*Bobot!$F$10)</f>
        <v>0</v>
      </c>
      <c r="O163">
        <f>SUM(O132*Bobot!$F$11)</f>
        <v>2.7995520716685331E-4</v>
      </c>
      <c r="P163">
        <f>SUM(P132*Bobot!$F$11)</f>
        <v>1.0638297872340425E-2</v>
      </c>
      <c r="Q163">
        <f>SUM(Q132*Bobot!$F$11)</f>
        <v>1.9342359767891681E-2</v>
      </c>
      <c r="R163">
        <f>SUM(R132*Bobot!$F$12)</f>
        <v>0</v>
      </c>
      <c r="S163">
        <f>SUM(S132*Bobot!$F$12)</f>
        <v>1.6651248843663275E-2</v>
      </c>
      <c r="T163">
        <f>SUM(T132*Bobot!$F$13)</f>
        <v>9.3085106382978719E-2</v>
      </c>
      <c r="U163">
        <f>SUM(U132*Bobot!$F$13)</f>
        <v>8.9361702127659565E-2</v>
      </c>
      <c r="V163">
        <f>SUM(V132*Bobot!$F$14)</f>
        <v>0.19148936170212766</v>
      </c>
      <c r="W163" s="33">
        <f t="shared" si="24"/>
        <v>0.54800612824738559</v>
      </c>
    </row>
    <row r="164" spans="1:23" x14ac:dyDescent="0.25">
      <c r="A164">
        <v>26</v>
      </c>
      <c r="B164">
        <f>SUM(B133*Bobot!$F$6)</f>
        <v>1.386683603260294E-2</v>
      </c>
      <c r="C164" t="str">
        <f>C133</f>
        <v>Galaxy S23 Ultra</v>
      </c>
      <c r="D164">
        <f>SUM(D133*Bobot!$F$7)</f>
        <v>8.5106382978723416E-2</v>
      </c>
      <c r="E164">
        <f>SUM(E133*Bobot!$F$7)</f>
        <v>0.10638297872340426</v>
      </c>
      <c r="F164">
        <f>SUM(F133*Bobot!$F$7)</f>
        <v>9.6711798839458407E-2</v>
      </c>
      <c r="G164">
        <f>SUM(G133*Bobot!$F$8)</f>
        <v>7.4468085106382975E-2</v>
      </c>
      <c r="H164">
        <f>SUM(H133*Bobot!$F$8)</f>
        <v>0.14893617021276595</v>
      </c>
      <c r="I164">
        <f>SUM(I133*Bobot!$F$8)</f>
        <v>0.14893617021276595</v>
      </c>
      <c r="J164">
        <f>SUM(J133*Bobot!$F$9)</f>
        <v>0</v>
      </c>
      <c r="K164">
        <f>SUM(K133*Bobot!$F$9)</f>
        <v>8.5106382978723402E-2</v>
      </c>
      <c r="L164">
        <f>SUM(L133*Bobot!$F$9)</f>
        <v>0.1702127659574468</v>
      </c>
      <c r="M164">
        <f>SUM(M133*Bobot!$F$10)</f>
        <v>8.5106382978723402E-2</v>
      </c>
      <c r="N164">
        <f>SUM(N133*Bobot!$F$10)</f>
        <v>0.11347517730496454</v>
      </c>
      <c r="O164">
        <f>SUM(O133*Bobot!$F$11)</f>
        <v>2.1276595744680851E-2</v>
      </c>
      <c r="P164">
        <f>SUM(P133*Bobot!$F$11)</f>
        <v>2.1276595744680851E-2</v>
      </c>
      <c r="Q164">
        <f>SUM(Q133*Bobot!$F$11)</f>
        <v>1.9987105093488073E-2</v>
      </c>
      <c r="R164">
        <f>SUM(R133*Bobot!$F$12)</f>
        <v>1.9342359767891683E-3</v>
      </c>
      <c r="S164">
        <f>SUM(S133*Bobot!$F$12)</f>
        <v>1.4801110083256243E-2</v>
      </c>
      <c r="T164">
        <f>SUM(T133*Bobot!$F$13)</f>
        <v>9.3085106382978719E-2</v>
      </c>
      <c r="U164">
        <f>SUM(U133*Bobot!$F$13)</f>
        <v>0.11914893617021277</v>
      </c>
      <c r="V164">
        <f>SUM(V133*Bobot!$F$14)</f>
        <v>8.2066869300911852E-2</v>
      </c>
      <c r="W164" s="33">
        <f t="shared" si="24"/>
        <v>0.63584285697948428</v>
      </c>
    </row>
    <row r="165" spans="1:23" x14ac:dyDescent="0.25">
      <c r="A165">
        <v>27</v>
      </c>
      <c r="B165">
        <f>SUM(B134*Bobot!$F$6)</f>
        <v>1.386683603260294E-2</v>
      </c>
      <c r="C165" t="str">
        <f>C134</f>
        <v>Galaxy S23+</v>
      </c>
      <c r="D165">
        <f>SUM(D134*Bobot!$F$7)</f>
        <v>4.2553191489361708E-2</v>
      </c>
      <c r="E165">
        <f>SUM(E134*Bobot!$F$7)</f>
        <v>6.0790273556230998E-2</v>
      </c>
      <c r="F165">
        <f>SUM(F134*Bobot!$F$7)</f>
        <v>9.6711798839458407E-2</v>
      </c>
      <c r="G165">
        <f>SUM(G134*Bobot!$F$8)</f>
        <v>7.4468085106382975E-2</v>
      </c>
      <c r="H165">
        <f>SUM(H134*Bobot!$F$8)</f>
        <v>0.12411347517730496</v>
      </c>
      <c r="I165">
        <f>SUM(I134*Bobot!$F$8)</f>
        <v>0</v>
      </c>
      <c r="J165">
        <f>SUM(J134*Bobot!$F$9)</f>
        <v>0</v>
      </c>
      <c r="K165">
        <f>SUM(K134*Bobot!$F$9)</f>
        <v>8.5106382978723402E-2</v>
      </c>
      <c r="L165">
        <f>SUM(L134*Bobot!$F$9)</f>
        <v>0.1702127659574468</v>
      </c>
      <c r="M165">
        <f>SUM(M134*Bobot!$F$10)</f>
        <v>0</v>
      </c>
      <c r="N165">
        <f>SUM(N134*Bobot!$F$10)</f>
        <v>5.6737588652482268E-2</v>
      </c>
      <c r="O165">
        <f>SUM(O134*Bobot!$F$11)</f>
        <v>2.7995520716685331E-4</v>
      </c>
      <c r="P165">
        <f>SUM(P134*Bobot!$F$11)</f>
        <v>1.0638297872340425E-2</v>
      </c>
      <c r="Q165">
        <f>SUM(Q134*Bobot!$F$11)</f>
        <v>1.9987105093488073E-2</v>
      </c>
      <c r="R165">
        <f>SUM(R134*Bobot!$F$12)</f>
        <v>1.9342359767891683E-3</v>
      </c>
      <c r="S165">
        <f>SUM(S134*Bobot!$F$12)</f>
        <v>1.4801110083256243E-2</v>
      </c>
      <c r="T165">
        <f>SUM(T134*Bobot!$F$13)</f>
        <v>9.3085106382978719E-2</v>
      </c>
      <c r="U165">
        <f>SUM(U134*Bobot!$F$13)</f>
        <v>8.9361702127659565E-2</v>
      </c>
      <c r="V165">
        <f>SUM(V134*Bobot!$F$14)</f>
        <v>0.13677811550151975</v>
      </c>
      <c r="W165" s="33">
        <f t="shared" si="24"/>
        <v>0.50689193357167395</v>
      </c>
    </row>
    <row r="166" spans="1:23" x14ac:dyDescent="0.25">
      <c r="A166">
        <v>28</v>
      </c>
      <c r="B166">
        <f>SUM(B135*Bobot!$F$6)</f>
        <v>1.386683603260294E-2</v>
      </c>
      <c r="C166" t="str">
        <f>C135</f>
        <v>Galaxy S23</v>
      </c>
      <c r="D166">
        <f>SUM(D135*Bobot!$F$7)</f>
        <v>0</v>
      </c>
      <c r="E166">
        <f>SUM(E135*Bobot!$F$7)</f>
        <v>0</v>
      </c>
      <c r="F166">
        <f>SUM(F135*Bobot!$F$7)</f>
        <v>9.6711798839458407E-2</v>
      </c>
      <c r="G166">
        <f>SUM(G135*Bobot!$F$8)</f>
        <v>7.4468085106382975E-2</v>
      </c>
      <c r="H166">
        <f>SUM(H135*Bobot!$F$8)</f>
        <v>4.9645390070921981E-2</v>
      </c>
      <c r="I166">
        <f>SUM(I135*Bobot!$F$8)</f>
        <v>0</v>
      </c>
      <c r="J166">
        <f>SUM(J135*Bobot!$F$9)</f>
        <v>0</v>
      </c>
      <c r="K166">
        <f>SUM(K135*Bobot!$F$9)</f>
        <v>8.5106382978723402E-2</v>
      </c>
      <c r="L166">
        <f>SUM(L135*Bobot!$F$9)</f>
        <v>0.1702127659574468</v>
      </c>
      <c r="M166">
        <f>SUM(M135*Bobot!$F$10)</f>
        <v>0</v>
      </c>
      <c r="N166">
        <f>SUM(N135*Bobot!$F$10)</f>
        <v>5.6737588652482268E-2</v>
      </c>
      <c r="O166">
        <f>SUM(O135*Bobot!$F$11)</f>
        <v>2.7995520716685331E-4</v>
      </c>
      <c r="P166">
        <f>SUM(P135*Bobot!$F$11)</f>
        <v>1.0638297872340425E-2</v>
      </c>
      <c r="Q166">
        <f>SUM(Q135*Bobot!$F$11)</f>
        <v>1.9987105093488073E-2</v>
      </c>
      <c r="R166">
        <f>SUM(R135*Bobot!$F$12)</f>
        <v>1.9342359767891683E-3</v>
      </c>
      <c r="S166">
        <f>SUM(S135*Bobot!$F$12)</f>
        <v>1.4801110083256243E-2</v>
      </c>
      <c r="T166">
        <f>SUM(T135*Bobot!$F$13)</f>
        <v>9.3085106382978719E-2</v>
      </c>
      <c r="U166">
        <f>SUM(U135*Bobot!$F$13)</f>
        <v>2.9787234042553193E-2</v>
      </c>
      <c r="V166">
        <f>SUM(V135*Bobot!$F$14)</f>
        <v>0.13677811550151975</v>
      </c>
      <c r="W166" s="33">
        <f t="shared" si="24"/>
        <v>0.41783418281179546</v>
      </c>
    </row>
    <row r="169" spans="1:23" x14ac:dyDescent="0.25">
      <c r="A169" s="66" t="s">
        <v>282</v>
      </c>
      <c r="B169" s="66"/>
    </row>
    <row r="171" spans="1:23" x14ac:dyDescent="0.25">
      <c r="B171" t="s">
        <v>9</v>
      </c>
      <c r="C171" t="s">
        <v>217</v>
      </c>
      <c r="D171" t="s">
        <v>269</v>
      </c>
      <c r="E171" t="s">
        <v>283</v>
      </c>
      <c r="F171" t="s">
        <v>284</v>
      </c>
    </row>
    <row r="172" spans="1:23" x14ac:dyDescent="0.25">
      <c r="B172">
        <v>1</v>
      </c>
      <c r="C172" t="str">
        <f t="shared" ref="C172:C191" si="26">C139</f>
        <v>Zenfone 10</v>
      </c>
      <c r="D172">
        <f t="shared" ref="D172:D191" si="27">W139</f>
        <v>0.37639278725504927</v>
      </c>
      <c r="E172">
        <f>_xlfn.RANK.EQ(Table8[[#This Row],[Nilai]],Table8[Nilai])</f>
        <v>25</v>
      </c>
      <c r="F172" s="65">
        <f t="shared" ref="F172:F199" si="28">SUM(D172/MAX($D$172:$D$199))</f>
        <v>0.51100687863089522</v>
      </c>
    </row>
    <row r="173" spans="1:23" x14ac:dyDescent="0.25">
      <c r="B173">
        <v>2</v>
      </c>
      <c r="C173" t="str">
        <f t="shared" si="26"/>
        <v>Zenfone 10</v>
      </c>
      <c r="D173">
        <f t="shared" si="27"/>
        <v>0.46605844075048997</v>
      </c>
      <c r="E173">
        <f>_xlfn.RANK.EQ(Table8[[#This Row],[Nilai]],Table8[Nilai])</f>
        <v>16</v>
      </c>
      <c r="F173" s="65">
        <f t="shared" si="28"/>
        <v>0.63274078869664907</v>
      </c>
    </row>
    <row r="174" spans="1:23" x14ac:dyDescent="0.25">
      <c r="B174">
        <v>3</v>
      </c>
      <c r="C174" t="str">
        <f t="shared" si="26"/>
        <v>ROG Phone 7 Ultimate</v>
      </c>
      <c r="D174">
        <f t="shared" si="27"/>
        <v>0.51421247347899079</v>
      </c>
      <c r="E174">
        <f>_xlfn.RANK.EQ(Table8[[#This Row],[Nilai]],Table8[Nilai])</f>
        <v>12</v>
      </c>
      <c r="F174" s="65">
        <f t="shared" si="28"/>
        <v>0.69811675441994303</v>
      </c>
    </row>
    <row r="175" spans="1:23" x14ac:dyDescent="0.25">
      <c r="B175">
        <v>4</v>
      </c>
      <c r="C175" t="str">
        <f t="shared" si="26"/>
        <v>ROG Phone 7</v>
      </c>
      <c r="D175">
        <f t="shared" si="27"/>
        <v>0.50002807631587021</v>
      </c>
      <c r="E175">
        <f>_xlfn.RANK.EQ(Table8[[#This Row],[Nilai]],Table8[Nilai])</f>
        <v>14</v>
      </c>
      <c r="F175" s="65">
        <f t="shared" si="28"/>
        <v>0.67885941271462602</v>
      </c>
    </row>
    <row r="176" spans="1:23" x14ac:dyDescent="0.25">
      <c r="B176">
        <v>5</v>
      </c>
      <c r="C176" t="str">
        <f t="shared" si="26"/>
        <v>ROG Phone 7</v>
      </c>
      <c r="D176">
        <f t="shared" si="27"/>
        <v>0.43417194662995334</v>
      </c>
      <c r="E176">
        <f>_xlfn.RANK.EQ(Table8[[#This Row],[Nilai]],Table8[Nilai])</f>
        <v>22</v>
      </c>
      <c r="F176" s="65">
        <f t="shared" si="28"/>
        <v>0.5894503262256543</v>
      </c>
    </row>
    <row r="177" spans="2:6" x14ac:dyDescent="0.25">
      <c r="B177">
        <v>6</v>
      </c>
      <c r="C177" t="str">
        <f t="shared" si="26"/>
        <v>Iphone 15 Pro Max</v>
      </c>
      <c r="D177">
        <f t="shared" si="27"/>
        <v>0.54460102545208922</v>
      </c>
      <c r="E177">
        <f>_xlfn.RANK.EQ(Table8[[#This Row],[Nilai]],Table8[Nilai])</f>
        <v>10</v>
      </c>
      <c r="F177" s="65">
        <f t="shared" si="28"/>
        <v>0.73937354683388279</v>
      </c>
    </row>
    <row r="178" spans="2:6" x14ac:dyDescent="0.25">
      <c r="B178">
        <v>7</v>
      </c>
      <c r="C178" t="str">
        <f t="shared" si="26"/>
        <v>Iphone 15 Pro Max</v>
      </c>
      <c r="D178">
        <f t="shared" si="27"/>
        <v>0.54561419667802635</v>
      </c>
      <c r="E178">
        <f>_xlfn.RANK.EQ(Table8[[#This Row],[Nilai]],Table8[Nilai])</f>
        <v>9</v>
      </c>
      <c r="F178" s="65">
        <f t="shared" si="28"/>
        <v>0.74074907124140543</v>
      </c>
    </row>
    <row r="179" spans="2:6" x14ac:dyDescent="0.25">
      <c r="B179">
        <v>8</v>
      </c>
      <c r="C179" t="str">
        <f t="shared" si="26"/>
        <v>Iphone 15 Pro Max</v>
      </c>
      <c r="D179">
        <f t="shared" si="27"/>
        <v>0.5466273679039636</v>
      </c>
      <c r="E179">
        <f>_xlfn.RANK.EQ(Table8[[#This Row],[Nilai]],Table8[Nilai])</f>
        <v>8</v>
      </c>
      <c r="F179" s="65">
        <f t="shared" si="28"/>
        <v>0.74212459564892808</v>
      </c>
    </row>
    <row r="180" spans="2:6" x14ac:dyDescent="0.25">
      <c r="B180">
        <v>9</v>
      </c>
      <c r="C180" t="str">
        <f t="shared" si="26"/>
        <v>Iphone 15 Pro</v>
      </c>
      <c r="D180">
        <f t="shared" si="27"/>
        <v>0.46516840133861403</v>
      </c>
      <c r="E180">
        <f>_xlfn.RANK.EQ(Table8[[#This Row],[Nilai]],Table8[Nilai])</f>
        <v>17</v>
      </c>
      <c r="F180" s="65">
        <f t="shared" si="28"/>
        <v>0.63153243328410757</v>
      </c>
    </row>
    <row r="181" spans="2:6" x14ac:dyDescent="0.25">
      <c r="B181">
        <v>10</v>
      </c>
      <c r="C181" t="str">
        <f t="shared" si="26"/>
        <v>Iphone 15 Pro</v>
      </c>
      <c r="D181">
        <f t="shared" si="27"/>
        <v>0.46618157256455123</v>
      </c>
      <c r="E181">
        <f>_xlfn.RANK.EQ(Table8[[#This Row],[Nilai]],Table8[Nilai])</f>
        <v>15</v>
      </c>
      <c r="F181" s="65">
        <f t="shared" si="28"/>
        <v>0.63290795769163033</v>
      </c>
    </row>
    <row r="182" spans="2:6" x14ac:dyDescent="0.25">
      <c r="B182">
        <v>11</v>
      </c>
      <c r="C182" t="str">
        <f t="shared" si="26"/>
        <v>Iphone 15 Pro</v>
      </c>
      <c r="D182">
        <f t="shared" si="27"/>
        <v>0.43983912069018444</v>
      </c>
      <c r="E182">
        <f>_xlfn.RANK.EQ(Table8[[#This Row],[Nilai]],Table8[Nilai])</f>
        <v>21</v>
      </c>
      <c r="F182" s="65">
        <f t="shared" si="28"/>
        <v>0.5971443230960416</v>
      </c>
    </row>
    <row r="183" spans="2:6" x14ac:dyDescent="0.25">
      <c r="B183">
        <v>12</v>
      </c>
      <c r="C183" t="str">
        <f t="shared" si="26"/>
        <v>Iphone 15 Pro</v>
      </c>
      <c r="D183">
        <f t="shared" si="27"/>
        <v>0.420588867397378</v>
      </c>
      <c r="E183">
        <f>_xlfn.RANK.EQ(Table8[[#This Row],[Nilai]],Table8[Nilai])</f>
        <v>23</v>
      </c>
      <c r="F183" s="65">
        <f t="shared" si="28"/>
        <v>0.57100935935311137</v>
      </c>
    </row>
    <row r="184" spans="2:6" x14ac:dyDescent="0.25">
      <c r="B184">
        <v>13</v>
      </c>
      <c r="C184" t="str">
        <f t="shared" si="26"/>
        <v>Iphone 15 Plus</v>
      </c>
      <c r="D184">
        <f t="shared" si="27"/>
        <v>0.44631740959215521</v>
      </c>
      <c r="E184">
        <f>_xlfn.RANK.EQ(Table8[[#This Row],[Nilai]],Table8[Nilai])</f>
        <v>20</v>
      </c>
      <c r="F184" s="65">
        <f t="shared" si="28"/>
        <v>0.60593952402113804</v>
      </c>
    </row>
    <row r="185" spans="2:6" x14ac:dyDescent="0.25">
      <c r="B185">
        <v>14</v>
      </c>
      <c r="C185" t="str">
        <f t="shared" si="26"/>
        <v>Iphone 15 Plus</v>
      </c>
      <c r="D185">
        <f t="shared" si="27"/>
        <v>0.4473305808180924</v>
      </c>
      <c r="E185">
        <f>_xlfn.RANK.EQ(Table8[[#This Row],[Nilai]],Table8[Nilai])</f>
        <v>19</v>
      </c>
      <c r="F185" s="65">
        <f t="shared" si="28"/>
        <v>0.60731504842866069</v>
      </c>
    </row>
    <row r="186" spans="2:6" x14ac:dyDescent="0.25">
      <c r="B186">
        <v>15</v>
      </c>
      <c r="C186" t="str">
        <f t="shared" si="26"/>
        <v>Iphone 15 Plus</v>
      </c>
      <c r="D186">
        <f t="shared" si="27"/>
        <v>0.45000166859556318</v>
      </c>
      <c r="E186">
        <f>_xlfn.RANK.EQ(Table8[[#This Row],[Nilai]],Table8[Nilai])</f>
        <v>18</v>
      </c>
      <c r="F186" s="65">
        <f t="shared" si="28"/>
        <v>0.61094143095758402</v>
      </c>
    </row>
    <row r="187" spans="2:6" x14ac:dyDescent="0.25">
      <c r="B187">
        <v>16</v>
      </c>
      <c r="C187" t="str">
        <f t="shared" si="26"/>
        <v>Iphone 15</v>
      </c>
      <c r="D187">
        <f t="shared" si="27"/>
        <v>0.35472673076743383</v>
      </c>
      <c r="E187">
        <f>_xlfn.RANK.EQ(Table8[[#This Row],[Nilai]],Table8[Nilai])</f>
        <v>27</v>
      </c>
      <c r="F187" s="65">
        <f t="shared" si="28"/>
        <v>0.48159211758109116</v>
      </c>
    </row>
    <row r="188" spans="2:6" x14ac:dyDescent="0.25">
      <c r="B188">
        <v>17</v>
      </c>
      <c r="C188" t="str">
        <f t="shared" si="26"/>
        <v>Iphone 15</v>
      </c>
      <c r="D188">
        <f t="shared" si="27"/>
        <v>0.35573990199337102</v>
      </c>
      <c r="E188">
        <f>_xlfn.RANK.EQ(Table8[[#This Row],[Nilai]],Table8[Nilai])</f>
        <v>26</v>
      </c>
      <c r="F188" s="65">
        <f t="shared" si="28"/>
        <v>0.48296764198861381</v>
      </c>
    </row>
    <row r="189" spans="2:6" x14ac:dyDescent="0.25">
      <c r="B189">
        <v>18</v>
      </c>
      <c r="C189" t="str">
        <f t="shared" si="26"/>
        <v>Iphone 15</v>
      </c>
      <c r="D189">
        <f t="shared" si="27"/>
        <v>0.32939745011900423</v>
      </c>
      <c r="E189">
        <f>_xlfn.RANK.EQ(Table8[[#This Row],[Nilai]],Table8[Nilai])</f>
        <v>28</v>
      </c>
      <c r="F189" s="65">
        <f t="shared" si="28"/>
        <v>0.44720400739302507</v>
      </c>
    </row>
    <row r="190" spans="2:6" x14ac:dyDescent="0.25">
      <c r="B190">
        <v>19</v>
      </c>
      <c r="C190" t="str">
        <f t="shared" si="26"/>
        <v>Galaxy S24</v>
      </c>
      <c r="D190">
        <f t="shared" si="27"/>
        <v>0.53281107943762818</v>
      </c>
      <c r="E190">
        <f>_xlfn.RANK.EQ(Table8[[#This Row],[Nilai]],Table8[Nilai])</f>
        <v>11</v>
      </c>
      <c r="F190" s="65">
        <f t="shared" si="28"/>
        <v>0.7233670139881988</v>
      </c>
    </row>
    <row r="191" spans="2:6" x14ac:dyDescent="0.25">
      <c r="B191">
        <v>20</v>
      </c>
      <c r="C191" t="str">
        <f t="shared" si="26"/>
        <v>Galaxy S24 Ultra</v>
      </c>
      <c r="D191">
        <f t="shared" si="27"/>
        <v>0.65551718383466206</v>
      </c>
      <c r="E191">
        <f>_xlfn.RANK.EQ(Table8[[#This Row],[Nilai]],Table8[Nilai])</f>
        <v>3</v>
      </c>
      <c r="F191" s="65">
        <f t="shared" si="28"/>
        <v>0.88995804739818851</v>
      </c>
    </row>
    <row r="192" spans="2:6" x14ac:dyDescent="0.25">
      <c r="B192">
        <v>21</v>
      </c>
      <c r="C192" t="str">
        <f t="shared" ref="C192:C199" si="29">C159</f>
        <v>Galaxy S24 Ultra</v>
      </c>
      <c r="D192">
        <f t="shared" ref="D192:D199" si="30">W159</f>
        <v>0.6565303550605992</v>
      </c>
      <c r="E192">
        <f>_xlfn.RANK.EQ(Table8[[#This Row],[Nilai]],Table8[Nilai])</f>
        <v>2</v>
      </c>
      <c r="F192" s="65">
        <f t="shared" si="28"/>
        <v>0.89133357180571104</v>
      </c>
    </row>
    <row r="193" spans="2:6" x14ac:dyDescent="0.25">
      <c r="B193">
        <v>22</v>
      </c>
      <c r="C193" t="str">
        <f t="shared" si="29"/>
        <v>Galaxy S24+(Online Exclusive)</v>
      </c>
      <c r="D193">
        <f t="shared" si="30"/>
        <v>0.58442447785953733</v>
      </c>
      <c r="E193">
        <f>_xlfn.RANK.EQ(Table8[[#This Row],[Nilai]],Table8[Nilai])</f>
        <v>6</v>
      </c>
      <c r="F193" s="65">
        <f t="shared" si="28"/>
        <v>0.79343956191202658</v>
      </c>
    </row>
    <row r="194" spans="2:6" x14ac:dyDescent="0.25">
      <c r="B194">
        <v>23</v>
      </c>
      <c r="C194" t="str">
        <f t="shared" si="29"/>
        <v>Galaxy S24 Ultra</v>
      </c>
      <c r="D194">
        <f t="shared" si="30"/>
        <v>0.73657088190963682</v>
      </c>
      <c r="E194">
        <f>_xlfn.RANK.EQ(Table8[[#This Row],[Nilai]],Table8[Nilai])</f>
        <v>1</v>
      </c>
      <c r="F194" s="65">
        <f t="shared" si="28"/>
        <v>1</v>
      </c>
    </row>
    <row r="195" spans="2:6" x14ac:dyDescent="0.25">
      <c r="B195">
        <v>24</v>
      </c>
      <c r="C195" t="str">
        <f t="shared" si="29"/>
        <v>Galaxy S23 FE</v>
      </c>
      <c r="D195">
        <f t="shared" si="30"/>
        <v>0.5966383470923704</v>
      </c>
      <c r="E195">
        <f>_xlfn.RANK.EQ(Table8[[#This Row],[Nilai]],Table8[Nilai])</f>
        <v>5</v>
      </c>
      <c r="F195" s="65">
        <f t="shared" si="28"/>
        <v>0.81002163097395774</v>
      </c>
    </row>
    <row r="196" spans="2:6" x14ac:dyDescent="0.25">
      <c r="B196">
        <v>25</v>
      </c>
      <c r="C196" t="str">
        <f t="shared" si="29"/>
        <v>Galaxy S23 FE</v>
      </c>
      <c r="D196">
        <f t="shared" si="30"/>
        <v>0.54800612824738559</v>
      </c>
      <c r="E196">
        <f>_xlfn.RANK.EQ(Table8[[#This Row],[Nilai]],Table8[Nilai])</f>
        <v>7</v>
      </c>
      <c r="F196" s="65">
        <f t="shared" si="28"/>
        <v>0.74399645941287085</v>
      </c>
    </row>
    <row r="197" spans="2:6" x14ac:dyDescent="0.25">
      <c r="B197">
        <v>26</v>
      </c>
      <c r="C197" t="str">
        <f t="shared" si="29"/>
        <v>Galaxy S23 Ultra</v>
      </c>
      <c r="D197">
        <f t="shared" si="30"/>
        <v>0.63584285697948428</v>
      </c>
      <c r="E197">
        <f>_xlfn.RANK.EQ(Table8[[#This Row],[Nilai]],Table8[Nilai])</f>
        <v>4</v>
      </c>
      <c r="F197" s="65">
        <f t="shared" si="28"/>
        <v>0.86324734332559461</v>
      </c>
    </row>
    <row r="198" spans="2:6" x14ac:dyDescent="0.25">
      <c r="B198">
        <v>27</v>
      </c>
      <c r="C198" t="str">
        <f t="shared" si="29"/>
        <v>Galaxy S23+</v>
      </c>
      <c r="D198">
        <f t="shared" si="30"/>
        <v>0.50689193357167395</v>
      </c>
      <c r="E198">
        <f>_xlfn.RANK.EQ(Table8[[#This Row],[Nilai]],Table8[Nilai])</f>
        <v>13</v>
      </c>
      <c r="F198" s="65">
        <f t="shared" si="28"/>
        <v>0.68817807765832906</v>
      </c>
    </row>
    <row r="199" spans="2:6" x14ac:dyDescent="0.25">
      <c r="B199">
        <v>28</v>
      </c>
      <c r="C199" t="str">
        <f t="shared" si="29"/>
        <v>Galaxy S23</v>
      </c>
      <c r="D199">
        <f t="shared" si="30"/>
        <v>0.41783418281179546</v>
      </c>
      <c r="E199">
        <f>_xlfn.RANK.EQ(Table8[[#This Row],[Nilai]],Table8[Nilai])</f>
        <v>24</v>
      </c>
      <c r="F199" s="65">
        <f t="shared" si="28"/>
        <v>0.56726948223708862</v>
      </c>
    </row>
  </sheetData>
  <mergeCells count="4">
    <mergeCell ref="C36:D36"/>
    <mergeCell ref="C4:E4"/>
    <mergeCell ref="B137:C137"/>
    <mergeCell ref="B68:D68"/>
  </mergeCells>
  <pageMargins left="0.7" right="0.7" top="0.75" bottom="0.75" header="0.3" footer="0.3"/>
  <pageSetup orientation="portrait" horizontalDpi="360" verticalDpi="360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9 4 1 9 4 2 - 9 d 6 e - 4 d 4 3 - 9 2 0 4 - 8 4 1 9 a 3 c 3 1 1 7 8 "   x m l n s = " h t t p : / / s c h e m a s . m i c r o s o f t . c o m / D a t a M a s h u p " > A A A A A M I G A A B Q S w M E F A A C A A g A k B N 5 W G y t c m a m A A A A 9 w A A A B I A H A B D b 2 5 m a W c v U G F j a 2 F n Z S 5 4 b W w g o h g A K K A U A A A A A A A A A A A A A A A A A A A A A A A A A A A A h Y 8 x D o I w G I W v Q r r T F k x M J T 9 l 0 M V E E h M T 4 9 q U C o 1 Q D C 2 W u z l 4 J K 8 g R l E 3 x / e 9 b 3 j v f r 1 B N j R 1 c F G d 1 a 1 J U Y Q p C p S R b a F N m a L e H U O G M g 5 b I U + i V M E o G 5 s M t k h R 5 d w 5 I c R 7 j / 0 M t 1 1 J Y k o j c s g 3 O 1 m p R q C P r P / L o T b W C S M V 4 r B / j e E x X s x x x B h l m A K Z K O T a f I 1 4 H P x s f y A s + 9 r 1 n e K 6 C N c r I F M E 8 j 7 B H 1 B L A w Q U A A I A C A C Q E 3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B N 5 W J i L P L O 6 A w A A N h Q A A B M A H A B G b 3 J t d W x h c y 9 T Z W N 0 a W 9 u M S 5 t I K I Y A C i g F A A A A A A A A A A A A A A A A A A A A A A A A A A A A O 1 Y 3 W + b M B B / r 5 T / w X J f Q E J o A Z K 2 q j q p p d N U a f 1 Y 6 c d D 1 Q d C v M Y q H x G Y q l m U / 3 0 G E 8 A Y E 6 9 7 m 9 q p H Z z t u / v 5 d + c 7 k 6 G A 4 C Q G H v t / f D z a G + 1 l C z 9 F c 3 D n z 0 J k g x M Q I j L a A / T H S / I 0 Q F T y 7 T 1 A o e n m a Y p i 8 p i k r 7 M k e d X 0 9 d O V H 6 E T y F b C 5 8 2 T m 8 S E T n k 2 m I J 9 6 C 7 8 + K V Q v l o i S D W V U 8 2 7 1 I + z X 0 k a u U m Y R 3 E x m G n M m r F e w z M 6 P I c G I F Q O C H o n G w O s 4 S V K X w X h O Y 5 Q n F E o w s g j w i 8 L I o h n O Q 5 F 3 e e 5 H w L v 4 l I Y m H w X R C W U r t D D v 0 X h L c o o P t L n 3 b U n i N w F X m Z I 9 N i 9 u R d l f j o H X p i I s 2 9 P C x A X M Z k 6 Z u E p E 1 7 3 C F 3 K X e r 3 w r M E 6 Q O e o 6 T H j U K F 3 a v D 6 d c h q r 7 3 z n o U L / 0 A k 1 W v 5 q n I N U 5 R i L J M G L h J c Y B 4 6 B u 9 D k 5 v G W I C W A y C 2 Q q c o x B H m K C 0 i d R y C p u h d a L Z A F z 0 l T P p W r b k j n p w t q o V a h D Q K T / z h C C P r K h e N 3 v T u f g 1 x 5 x C 0 + J f b f 7 V 4 V 8 n / O s U t k D e o m X o B 9 T p B z / M 0 a S B V g 2 U Y m 1 o M w x o 0 l / 6 r 1 q R b p c W I A 0 e A 2 c 4 S t 6 o X a Y y a x s u B i q x J n r I q b Q G g Q 8 g n U q R d h 1 T x 2 f L z R 0 M m O P d U j c 3 k Z t T t H Z A 7 Y A X + k d q r T o m V b L i S J Y W H d c o Q 9 t T d k d S G H x S X C U x 0 u t D m m U E e 7 S a R 3 v I V 5 q g q R 9 Q 3 a A s M b g 8 e y V e D + C k x u r y 0 Q e h N t N Y 0 d b w C z R N e A T p w a M F O j j 5 C u K E g B 8 4 I 2 Z R F n 1 M g 7 0 9 K d D 1 p k 4 x s N W z N Z B G Y 3 k e K W 1 G T X l 7 T 9 n Z 0 9 T A o u y p R M R Y H h E d p 6 n O q k T u C A k z i K z + o 7 J Y b 9 a a B j f J U t + k F h Z j 3 a u 5 H d t j 1 U O F Y o A l E n n m V X h U 9 t l S y 7 x y c 7 i m Y 1 d R e p e U p U a J 2 V H K 7 0 6 7 I F o 7 + r t B f E X b 1 z H a 7 W H a L s g q e o c F W x 4 H v O d G u 6 W S s m + p s m 8 X x + 7 l z R D 7 V f e l w r 6 t x n 6 Z z 9 s + 7 e 8 O 3 i 3 t 5 W r G O H t s d L I O h D 0 6 s h C w P x 4 C d h k C j Q M 9 r a M p a U t N s Q H d + t m W S 2 m 1 p b T y 2 B Q 5 H S x Q N V 5 H j d R m 1 6 1 / Y 9 V q 0 W r J k 9 j 5 O I N O w 6 A l o 9 D q c C j l x F H i x C k 4 i U 4 X w 6 R U V w n 5 M e G o 9 q Z O W T 6 3 l w 2 p 8 4 e q 5 4 S z s x k U i w R v 6 k i x E T y k N j 6 w U e 3 N H u 8 M j a 5 r R T y 0 2 p u S 9 j i P Z i j d c A W 9 O 1 D f T H t v r H b f Q H 1 d 7 I z 0 X g B H e z j u R 9 j + H r J f f d c A m q X D z 8 8 i n 5 9 F / v P P I r K s g M d / A F B L A Q I t A B Q A A g A I A J A T e V h s r X J m p g A A A P c A A A A S A A A A A A A A A A A A A A A A A A A A A A B D b 2 5 m a W c v U G F j a 2 F n Z S 5 4 b W x Q S w E C L Q A U A A I A C A C Q E 3 l Y D 8 r p q 6 Q A A A D p A A A A E w A A A A A A A A A A A A A A A A D y A A A A W 0 N v b n R l b n R f V H l w Z X N d L n h t b F B L A Q I t A B Q A A g A I A J A T e V i Y i z y z u g M A A D Y U A A A T A A A A A A A A A A A A A A A A A O M B A A B G b 3 J t d W x h c y 9 T Z W N 0 a W 9 u M S 5 t U E s F B g A A A A A D A A M A w g A A A O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7 A A A A A A A A l T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N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J y Y W 5 k J n F 1 b 3 Q 7 L C Z x d W 9 0 O 0 1 l c m s m c X V v d D s s J n F 1 b 3 Q 7 R G l t Z W 5 z a W 9 u L j E m c X V v d D s s J n F 1 b 3 Q 7 R G l t Z W 5 z a W 9 u L j M m c X V v d D s s J n F 1 b 3 Q 7 R G l t Z W 5 z a W 9 u L j U m c X V v d D s s J n F 1 b 3 Q 7 V 2 V p Z 2 h 0 L j E m c X V v d D s s J n F 1 b 3 Q 7 Y n V p b G Q u M i Z x d W 9 0 O y w m c X V v d D t i d W l s Z C 4 z J n F 1 b 3 Q 7 L C Z x d W 9 0 O 1 R 5 c G U m c X V v d D s s J n F 1 b 3 Q 7 U 2 l 6 Z S 4 x J n F 1 b 3 Q 7 L C Z x d W 9 0 O 1 J l c 2 9 s d X R p b 2 4 u M S Z x d W 9 0 O y w m c X V v d D t S Z X N v b H V 0 a W 9 u L j I m c X V v d D s s J n F 1 b 3 Q 7 T 1 M m c X V v d D s s J n F 1 b 3 Q 7 Q 2 h p c H N l d C Z x d W 9 0 O y w m c X V v d D t D U F U m c X V v d D s s J n F 1 b 3 Q 7 U k F N J n F 1 b 3 Q 7 L C Z x d W 9 0 O 1 J P T S Z x d W 9 0 O y w m c X V v d D t D Y W 1 l c m E m c X V v d D s s J n F 1 b 3 Q 7 V H l w Z T I m c X V v d D s s J n F 1 b 3 Q 7 V m l k Z W 8 u M S Z x d W 9 0 O y w m c X V v d D t W a W R l b y 4 y J n F 1 b 3 Q 7 L C Z x d W 9 0 O 1 Z p Z G V v L j M m c X V v d D s s J n F 1 b 3 Q 7 V m l k Z W 8 u N C Z x d W 9 0 O y w m c X V v d D t D Y W 1 l c m E z J n F 1 b 3 Q 7 L C Z x d W 9 0 O 1 R 5 c G U 0 J n F 1 b 3 Q 7 L C Z x d W 9 0 O 1 Z p Z G V v M i 4 x J n F 1 b 3 Q 7 L C Z x d W 9 0 O 1 Z p Z G V v M i 4 y J n F 1 b 3 Q 7 L C Z x d W 9 0 O 1 V T Q i Z x d W 9 0 O y w m c X V v d D t D Y X B h Y 2 l 0 e S Z x d W 9 0 O y w m c X V v d D t U e X B l N i Z x d W 9 0 O y w m c X V v d D t Q c m l j Z S Z x d W 9 0 O 1 0 i I C 8 + P E V u d H J 5 I F R 5 c G U 9 I k Z p b G x D b 2 x 1 b W 5 U e X B l c y I g V m F s d W U 9 I n N C Z 1 l H Q m d Z R k J n W U d C U U 1 E Q m d Z R 0 F 3 T U R C Z 1 l H Q m d Z R E J n W U d C Z 0 1 H Q X c 9 P S I g L z 4 8 R W 5 0 c n k g V H l w Z T 0 i R m l s b E x h c 3 R V c G R h d G V k I i B W Y W x 1 Z T 0 i Z D I w M j Q t M D M t M j R U M T k 6 M j g 6 M z I u N z I y M j k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S Z W N v d m V y e V R h c m d l d F J v d y I g V m F s d W U 9 I m w 1 I i A v P j x F b n R y e S B U e X B l P S J S Z W N v d m V y e V R h c m d l d E N v b H V t b i I g V m F s d W U 9 I m w y I i A v P j x F b n R y e S B U e X B l P S J S Z W N v d m V y e V R h c m d l d F N o Z W V 0 I i B W Y W x 1 Z T 0 i c 1 N o Z W V 0 N S I g L z 4 8 R W 5 0 c n k g V H l w Z T 0 i U X V l c n l J R C I g V m F s d W U 9 I n M z M D Q 4 N T c z N y 0 w N D d i L T Q 4 Y m I t O T A 2 M i 1 h Z D E z M D h h Z T Y 2 Z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u e 0 J y Y W 5 k L D B 9 J n F 1 b 3 Q 7 L C Z x d W 9 0 O 1 N l Y 3 R p b 2 4 x L 1 R h Y m x l M y 9 D a G F u Z 2 V k I F R 5 c G U u e 0 1 l c m s s M X 0 m c X V v d D s s J n F 1 b 3 Q 7 U 2 V j d G l v b j E v V G F i b G U z L 1 J l c G x h Y 2 V k I F Z h b H V l N S 5 7 R G l t Z W 5 z a W 9 u L j E s M n 0 m c X V v d D s s J n F 1 b 3 Q 7 U 2 V j d G l v b j E v V G F i b G U z L 1 J l c G x h Y 2 V k I F Z h b H V l N i 5 7 R G l t Z W 5 z a W 9 u L j M s M 3 0 m c X V v d D s s J n F 1 b 3 Q 7 U 2 V j d G l v b j E v V G F i b G U z L 1 J l c G x h Y 2 V k I F Z h b H V l N y 5 7 R G l t Z W 5 z a W 9 u L j U s N H 0 m c X V v d D s s J n F 1 b 3 Q 7 U 2 V j d G l v b j E v V G F i b G U z L 0 N o Y W 5 n Z W Q g V H l w Z T E u e 1 d l a W d o d C 4 x L D V 9 J n F 1 b 3 Q 7 L C Z x d W 9 0 O 1 N l Y 3 R p b 2 4 x L 1 R h Y m x l M y 9 T c G x p d C B D b 2 x 1 b W 4 g Y n k g R G V s a W 1 p d G V y O S 5 7 Y n V p b G Q u M i w 3 f S Z x d W 9 0 O y w m c X V v d D t T Z W N 0 a W 9 u M S 9 U Y W J s Z T M v U 3 B s a X Q g Q 2 9 s d W 1 u I G J 5 I E R l b G l t a X R l c j k u e 2 J 1 a W x k L j M s O H 0 m c X V v d D s s J n F 1 b 3 Q 7 U 2 V j d G l v b j E v V G F i b G U z L 0 N o Y W 5 n Z W Q g V H l w Z S 5 7 V H l w Z S w 3 f S Z x d W 9 0 O y w m c X V v d D t T Z W N 0 a W 9 u M S 9 U Y W J s Z T M v Q 2 h h b m d l Z C B U e X B l M S 5 7 U 2 l 6 Z S 4 x L D l 9 J n F 1 b 3 Q 7 L C Z x d W 9 0 O 1 N l Y 3 R p b 2 4 x L 1 R h Y m x l M y 9 D a G F u Z 2 V k I F R 5 c G U y L n t S Z X N v b H V 0 a W 9 u L j E s M T B 9 J n F 1 b 3 Q 7 L C Z x d W 9 0 O 1 N l Y 3 R p b 2 4 x L 1 R h Y m x l M y 9 D a G F u Z 2 V k I F R 5 c G U y L n t S Z X N v b H V 0 a W 9 u L j I s M T F 9 J n F 1 b 3 Q 7 L C Z x d W 9 0 O 1 N l Y 3 R p b 2 4 x L 1 R h Y m x l M y 9 D a G F u Z 2 V k I F R 5 c G U u e 0 9 T L D E w f S Z x d W 9 0 O y w m c X V v d D t T Z W N 0 a W 9 u M S 9 U Y W J s Z T M v Q 2 h h b m d l Z C B U e X B l L n t D a G l w c 2 V 0 L D E x f S Z x d W 9 0 O y w m c X V v d D t T Z W N 0 a W 9 u M S 9 U Y W J s Z T M v Q 2 h h b m d l Z C B U e X B l L n t D U F U s M T J 9 J n F 1 b 3 Q 7 L C Z x d W 9 0 O 1 N l Y 3 R p b 2 4 x L 1 R h Y m x l M y 9 D a G F u Z 2 V k I F R 5 c G U u e 1 J B T S w x N H 0 m c X V v d D s s J n F 1 b 3 Q 7 U 2 V j d G l v b j E v V G F i b G U z L 0 N o Y W 5 n Z W Q g V H l w Z S 5 7 U k 9 N L D E 1 f S Z x d W 9 0 O y w m c X V v d D t T Z W N 0 a W 9 u M S 9 U Y W J s Z T M v Q 2 h h b m d l Z C B U e X B l M S 5 7 Q 2 F t Z X J h L D E 3 f S Z x d W 9 0 O y w m c X V v d D t T Z W N 0 a W 9 u M S 9 U Y W J s Z T M v Q 2 h h b m d l Z C B U e X B l L n t U e X B l M i w x N 3 0 m c X V v d D s s J n F 1 b 3 Q 7 U 2 V j d G l v b j E v V G F i b G U z L 0 N o Y W 5 n Z W Q g V H l w Z T M u e 1 Z p Z G V v L j E s M T l 9 J n F 1 b 3 Q 7 L C Z x d W 9 0 O 1 N l Y 3 R p b 2 4 x L 1 R h Y m x l M y 9 D a G F u Z 2 V k I F R 5 c G U z L n t W a W R l b y 4 y L D I w f S Z x d W 9 0 O y w m c X V v d D t T Z W N 0 a W 9 u M S 9 U Y W J s Z T M v Q 2 h h b m d l Z C B U e X B l M y 5 7 V m l k Z W 8 u M y w y M X 0 m c X V v d D s s J n F 1 b 3 Q 7 U 2 V j d G l v b j E v V G F i b G U z L 0 N o Y W 5 n Z W Q g V H l w Z T M u e 1 Z p Z G V v L j Q s M j J 9 J n F 1 b 3 Q 7 L C Z x d W 9 0 O 1 N l Y 3 R p b 2 4 x L 1 R h Y m x l M y 9 D a G F u Z 2 V k I F R 5 c G U x L n t D Y W 1 l c m E z L D I z f S Z x d W 9 0 O y w m c X V v d D t T Z W N 0 a W 9 u M S 9 U Y W J s Z T M v Q 2 h h b m d l Z C B U e X B l L n t U e X B l N C w y M H 0 m c X V v d D s s J n F 1 b 3 Q 7 U 2 V j d G l v b j E v V G F i b G U z L 0 N o Y W 5 n Z W Q g V H l w Z T Q u e 1 Z p Z G V v M i 4 x L D I 1 f S Z x d W 9 0 O y w m c X V v d D t T Z W N 0 a W 9 u M S 9 U Y W J s Z T M v Q 2 h h b m d l Z C B U e X B l N C 5 7 V m l k Z W 8 y L j I s M j Z 9 J n F 1 b 3 Q 7 L C Z x d W 9 0 O 1 N l Y 3 R p b 2 4 x L 1 R h Y m x l M y 9 D a G F u Z 2 V k I F R 5 c G U u e 1 V T Q i w y M n 0 m c X V v d D s s J n F 1 b 3 Q 7 U 2 V j d G l v b j E v V G F i b G U z L 0 N o Y W 5 n Z W Q g V H l w Z T E u e 0 N h c G F j a X R 5 L D I 4 f S Z x d W 9 0 O y w m c X V v d D t T Z W N 0 a W 9 u M S 9 U Y W J s Z T M v Q 2 h h b m d l Z C B U e X B l L n t U e X B l N i w y N H 0 m c X V v d D s s J n F 1 b 3 Q 7 U 2 V j d G l v b j E v V G F i b G U z L 0 N o Y W 5 n Z W Q g V H l w Z T E u e 1 B y a W N l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G F i b G U z L 0 N o Y W 5 n Z W Q g V H l w Z S 5 7 Q n J h b m Q s M H 0 m c X V v d D s s J n F 1 b 3 Q 7 U 2 V j d G l v b j E v V G F i b G U z L 0 N o Y W 5 n Z W Q g V H l w Z S 5 7 T W V y a y w x f S Z x d W 9 0 O y w m c X V v d D t T Z W N 0 a W 9 u M S 9 U Y W J s Z T M v U m V w b G F j Z W Q g V m F s d W U 1 L n t E a W 1 l b n N p b 2 4 u M S w y f S Z x d W 9 0 O y w m c X V v d D t T Z W N 0 a W 9 u M S 9 U Y W J s Z T M v U m V w b G F j Z W Q g V m F s d W U 2 L n t E a W 1 l b n N p b 2 4 u M y w z f S Z x d W 9 0 O y w m c X V v d D t T Z W N 0 a W 9 u M S 9 U Y W J s Z T M v U m V w b G F j Z W Q g V m F s d W U 3 L n t E a W 1 l b n N p b 2 4 u N S w 0 f S Z x d W 9 0 O y w m c X V v d D t T Z W N 0 a W 9 u M S 9 U Y W J s Z T M v Q 2 h h b m d l Z C B U e X B l M S 5 7 V 2 V p Z 2 h 0 L j E s N X 0 m c X V v d D s s J n F 1 b 3 Q 7 U 2 V j d G l v b j E v V G F i b G U z L 1 N w b G l 0 I E N v b H V t b i B i e S B E Z W x p b W l 0 Z X I 5 L n t i d W l s Z C 4 y L D d 9 J n F 1 b 3 Q 7 L C Z x d W 9 0 O 1 N l Y 3 R p b 2 4 x L 1 R h Y m x l M y 9 T c G x p d C B D b 2 x 1 b W 4 g Y n k g R G V s a W 1 p d G V y O S 5 7 Y n V p b G Q u M y w 4 f S Z x d W 9 0 O y w m c X V v d D t T Z W N 0 a W 9 u M S 9 U Y W J s Z T M v Q 2 h h b m d l Z C B U e X B l L n t U e X B l L D d 9 J n F 1 b 3 Q 7 L C Z x d W 9 0 O 1 N l Y 3 R p b 2 4 x L 1 R h Y m x l M y 9 D a G F u Z 2 V k I F R 5 c G U x L n t T a X p l L j E s O X 0 m c X V v d D s s J n F 1 b 3 Q 7 U 2 V j d G l v b j E v V G F i b G U z L 0 N o Y W 5 n Z W Q g V H l w Z T I u e 1 J l c 2 9 s d X R p b 2 4 u M S w x M H 0 m c X V v d D s s J n F 1 b 3 Q 7 U 2 V j d G l v b j E v V G F i b G U z L 0 N o Y W 5 n Z W Q g V H l w Z T I u e 1 J l c 2 9 s d X R p b 2 4 u M i w x M X 0 m c X V v d D s s J n F 1 b 3 Q 7 U 2 V j d G l v b j E v V G F i b G U z L 0 N o Y W 5 n Z W Q g V H l w Z S 5 7 T 1 M s M T B 9 J n F 1 b 3 Q 7 L C Z x d W 9 0 O 1 N l Y 3 R p b 2 4 x L 1 R h Y m x l M y 9 D a G F u Z 2 V k I F R 5 c G U u e 0 N o a X B z Z X Q s M T F 9 J n F 1 b 3 Q 7 L C Z x d W 9 0 O 1 N l Y 3 R p b 2 4 x L 1 R h Y m x l M y 9 D a G F u Z 2 V k I F R 5 c G U u e 0 N Q V S w x M n 0 m c X V v d D s s J n F 1 b 3 Q 7 U 2 V j d G l v b j E v V G F i b G U z L 0 N o Y W 5 n Z W Q g V H l w Z S 5 7 U k F N L D E 0 f S Z x d W 9 0 O y w m c X V v d D t T Z W N 0 a W 9 u M S 9 U Y W J s Z T M v Q 2 h h b m d l Z C B U e X B l L n t S T 0 0 s M T V 9 J n F 1 b 3 Q 7 L C Z x d W 9 0 O 1 N l Y 3 R p b 2 4 x L 1 R h Y m x l M y 9 D a G F u Z 2 V k I F R 5 c G U x L n t D Y W 1 l c m E s M T d 9 J n F 1 b 3 Q 7 L C Z x d W 9 0 O 1 N l Y 3 R p b 2 4 x L 1 R h Y m x l M y 9 D a G F u Z 2 V k I F R 5 c G U u e 1 R 5 c G U y L D E 3 f S Z x d W 9 0 O y w m c X V v d D t T Z W N 0 a W 9 u M S 9 U Y W J s Z T M v Q 2 h h b m d l Z C B U e X B l M y 5 7 V m l k Z W 8 u M S w x O X 0 m c X V v d D s s J n F 1 b 3 Q 7 U 2 V j d G l v b j E v V G F i b G U z L 0 N o Y W 5 n Z W Q g V H l w Z T M u e 1 Z p Z G V v L j I s M j B 9 J n F 1 b 3 Q 7 L C Z x d W 9 0 O 1 N l Y 3 R p b 2 4 x L 1 R h Y m x l M y 9 D a G F u Z 2 V k I F R 5 c G U z L n t W a W R l b y 4 z L D I x f S Z x d W 9 0 O y w m c X V v d D t T Z W N 0 a W 9 u M S 9 U Y W J s Z T M v Q 2 h h b m d l Z C B U e X B l M y 5 7 V m l k Z W 8 u N C w y M n 0 m c X V v d D s s J n F 1 b 3 Q 7 U 2 V j d G l v b j E v V G F i b G U z L 0 N o Y W 5 n Z W Q g V H l w Z T E u e 0 N h b W V y Y T M s M j N 9 J n F 1 b 3 Q 7 L C Z x d W 9 0 O 1 N l Y 3 R p b 2 4 x L 1 R h Y m x l M y 9 D a G F u Z 2 V k I F R 5 c G U u e 1 R 5 c G U 0 L D I w f S Z x d W 9 0 O y w m c X V v d D t T Z W N 0 a W 9 u M S 9 U Y W J s Z T M v Q 2 h h b m d l Z C B U e X B l N C 5 7 V m l k Z W 8 y L j E s M j V 9 J n F 1 b 3 Q 7 L C Z x d W 9 0 O 1 N l Y 3 R p b 2 4 x L 1 R h Y m x l M y 9 D a G F u Z 2 V k I F R 5 c G U 0 L n t W a W R l b z I u M i w y N n 0 m c X V v d D s s J n F 1 b 3 Q 7 U 2 V j d G l v b j E v V G F i b G U z L 0 N o Y W 5 n Z W Q g V H l w Z S 5 7 V V N C L D I y f S Z x d W 9 0 O y w m c X V v d D t T Z W N 0 a W 9 u M S 9 U Y W J s Z T M v Q 2 h h b m d l Z C B U e X B l M S 5 7 Q 2 F w Y W N p d H k s M j h 9 J n F 1 b 3 Q 7 L C Z x d W 9 0 O 1 N l Y 3 R p b 2 4 x L 1 R h Y m x l M y 9 D a G F u Z 2 V k I F R 5 c G U u e 1 R 5 c G U 2 L D I 0 f S Z x d W 9 0 O y w m c X V v d D t T Z W N 0 a W 9 u M S 9 U Y W J s Z T M v Q 2 h h b m d l Z C B U e X B l M S 5 7 U H J p Y 2 U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T U 6 M z I 6 M D E u N T I x M T M 2 O F o i I C 8 + P E V u d H J 5 I F R 5 c G U 9 I k Z p b G x D b 2 x 1 b W 5 U e X B l c y I g V m F s d W U 9 I n N C Z 1 l H Q m d Z R 0 J n W U d C Z 1 l H Q m d Z R E F 3 W U d C Z 1 l H Q m d Z R 0 J n W U Q i I C 8 + P E V u d H J 5 I F R 5 c G U 9 I k Z p b G x D b 2 x 1 b W 5 O Y W 1 l c y I g V m F s d W U 9 I n N b J n F 1 b 3 Q 7 Q n J h b m Q m c X V v d D s s J n F 1 b 3 Q 7 T W V y a y Z x d W 9 0 O y w m c X V v d D t E a W 1 l b n N p b 2 4 m c X V v d D s s J n F 1 b 3 Q 7 V 2 V p Z 2 h 0 J n F 1 b 3 Q 7 L C Z x d W 9 0 O 2 J 1 a W x k J n F 1 b 3 Q 7 L C Z x d W 9 0 O 0 R 1 Y W w g U 0 l N J n F 1 b 3 Q 7 L C Z x d W 9 0 O z V H J n F 1 b 3 Q 7 L C Z x d W 9 0 O 1 R 5 c G U m c X V v d D s s J n F 1 b 3 Q 7 U 2 l 6 Z S Z x d W 9 0 O y w m c X V v d D t S Z X N v b H V 0 a W 9 u J n F 1 b 3 Q 7 L C Z x d W 9 0 O 0 9 T J n F 1 b 3 Q 7 L C Z x d W 9 0 O 0 N o a X B z Z X Q m c X V v d D s s J n F 1 b 3 Q 7 Q 1 B V J n F 1 b 3 Q 7 L C Z x d W 9 0 O 0 N h c m Q g U 2 x v d C Z x d W 9 0 O y w m c X V v d D t S Q U 0 m c X V v d D s s J n F 1 b 3 Q 7 U k 9 N J n F 1 b 3 Q 7 L C Z x d W 9 0 O 0 N h b W V y Y S Z x d W 9 0 O y w m c X V v d D t U e X B l M i Z x d W 9 0 O y w m c X V v d D t W a W R l b y Z x d W 9 0 O y w m c X V v d D t D Y W 1 l c m E z J n F 1 b 3 Q 7 L C Z x d W 9 0 O 1 R 5 c G U 0 J n F 1 b 3 Q 7 L C Z x d W 9 0 O 1 Z p Z G V v M i Z x d W 9 0 O y w m c X V v d D t V U 0 I m c X V v d D s s J n F 1 b 3 Q 7 Q 2 F w Y W N p d H k m c X V v d D s s J n F 1 b 3 Q 7 V H l w Z T Y m c X V v d D s s J n F 1 b 3 Q 7 V 2 l y Z W x l c 3 M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I C g y K S 9 D a G F u Z 2 V k I F R 5 c G U u e 0 J y Y W 5 k L D B 9 J n F 1 b 3 Q 7 L C Z x d W 9 0 O 1 N l Y 3 R p b 2 4 x L 1 R h Y m x l M y A o M i k v Q 2 h h b m d l Z C B U e X B l L n t N Z X J r L D F 9 J n F 1 b 3 Q 7 L C Z x d W 9 0 O 1 N l Y 3 R p b 2 4 x L 1 R h Y m x l M y A o M i k v Q 2 h h b m d l Z C B U e X B l L n t E a W 1 l b n N p b 2 4 s M n 0 m c X V v d D s s J n F 1 b 3 Q 7 U 2 V j d G l v b j E v V G F i b G U z I C g y K S 9 D a G F u Z 2 V k I F R 5 c G U u e 1 d l a W d o d C w z f S Z x d W 9 0 O y w m c X V v d D t T Z W N 0 a W 9 u M S 9 U Y W J s Z T M g K D I p L 0 N o Y W 5 n Z W Q g V H l w Z S 5 7 Y n V p b G Q s N H 0 m c X V v d D s s J n F 1 b 3 Q 7 U 2 V j d G l v b j E v V G F i b G U z I C g y K S 9 D a G F u Z 2 V k I F R 5 c G U u e 0 R 1 Y W w g U 0 l N L D V 9 J n F 1 b 3 Q 7 L C Z x d W 9 0 O 1 N l Y 3 R p b 2 4 x L 1 R h Y m x l M y A o M i k v Q 2 h h b m d l Z C B U e X B l L n s 1 R y w 2 f S Z x d W 9 0 O y w m c X V v d D t T Z W N 0 a W 9 u M S 9 U Y W J s Z T M g K D I p L 0 N o Y W 5 n Z W Q g V H l w Z S 5 7 V H l w Z S w 3 f S Z x d W 9 0 O y w m c X V v d D t T Z W N 0 a W 9 u M S 9 U Y W J s Z T M g K D I p L 0 N o Y W 5 n Z W Q g V H l w Z S 5 7 U 2 l 6 Z S w 4 f S Z x d W 9 0 O y w m c X V v d D t T Z W N 0 a W 9 u M S 9 U Y W J s Z T M g K D I p L 0 N o Y W 5 n Z W Q g V H l w Z S 5 7 U m V z b 2 x 1 d G l v b i w 5 f S Z x d W 9 0 O y w m c X V v d D t T Z W N 0 a W 9 u M S 9 U Y W J s Z T M g K D I p L 0 N o Y W 5 n Z W Q g V H l w Z S 5 7 T 1 M s M T B 9 J n F 1 b 3 Q 7 L C Z x d W 9 0 O 1 N l Y 3 R p b 2 4 x L 1 R h Y m x l M y A o M i k v Q 2 h h b m d l Z C B U e X B l L n t D a G l w c 2 V 0 L D E x f S Z x d W 9 0 O y w m c X V v d D t T Z W N 0 a W 9 u M S 9 U Y W J s Z T M g K D I p L 0 N o Y W 5 n Z W Q g V H l w Z S 5 7 Q 1 B V L D E y f S Z x d W 9 0 O y w m c X V v d D t T Z W N 0 a W 9 u M S 9 U Y W J s Z T M g K D I p L 0 N o Y W 5 n Z W Q g V H l w Z S 5 7 Q 2 F y Z C B T b G 9 0 L D E z f S Z x d W 9 0 O y w m c X V v d D t T Z W N 0 a W 9 u M S 9 U Y W J s Z T M g K D I p L 0 N o Y W 5 n Z W Q g V H l w Z S 5 7 U k F N L D E 0 f S Z x d W 9 0 O y w m c X V v d D t T Z W N 0 a W 9 u M S 9 U Y W J s Z T M g K D I p L 0 N o Y W 5 n Z W Q g V H l w Z S 5 7 U k 9 N L D E 1 f S Z x d W 9 0 O y w m c X V v d D t T Z W N 0 a W 9 u M S 9 U Y W J s Z T M g K D I p L 0 N o Y W 5 n Z W Q g V H l w Z S 5 7 Q 2 F t Z X J h L D E 2 f S Z x d W 9 0 O y w m c X V v d D t T Z W N 0 a W 9 u M S 9 U Y W J s Z T M g K D I p L 0 N o Y W 5 n Z W Q g V H l w Z S 5 7 V H l w Z T I s M T d 9 J n F 1 b 3 Q 7 L C Z x d W 9 0 O 1 N l Y 3 R p b 2 4 x L 1 R h Y m x l M y A o M i k v Q 2 h h b m d l Z C B U e X B l L n t W a W R l b y w x O H 0 m c X V v d D s s J n F 1 b 3 Q 7 U 2 V j d G l v b j E v V G F i b G U z I C g y K S 9 D a G F u Z 2 V k I F R 5 c G U u e 0 N h b W V y Y T M s M T l 9 J n F 1 b 3 Q 7 L C Z x d W 9 0 O 1 N l Y 3 R p b 2 4 x L 1 R h Y m x l M y A o M i k v Q 2 h h b m d l Z C B U e X B l L n t U e X B l N C w y M H 0 m c X V v d D s s J n F 1 b 3 Q 7 U 2 V j d G l v b j E v V G F i b G U z I C g y K S 9 D a G F u Z 2 V k I F R 5 c G U u e 1 Z p Z G V v M i w y M X 0 m c X V v d D s s J n F 1 b 3 Q 7 U 2 V j d G l v b j E v V G F i b G U z I C g y K S 9 D a G F u Z 2 V k I F R 5 c G U u e 1 V T Q i w y M n 0 m c X V v d D s s J n F 1 b 3 Q 7 U 2 V j d G l v b j E v V G F i b G U z I C g y K S 9 D a G F u Z 2 V k I F R 5 c G U u e 0 N h c G F j a X R 5 L D I z f S Z x d W 9 0 O y w m c X V v d D t T Z W N 0 a W 9 u M S 9 U Y W J s Z T M g K D I p L 0 N o Y W 5 n Z W Q g V H l w Z S 5 7 V H l w Z T Y s M j R 9 J n F 1 b 3 Q 7 L C Z x d W 9 0 O 1 N l Y 3 R p b 2 4 x L 1 R h Y m x l M y A o M i k v Q 2 h h b m d l Z C B U e X B l L n t X a X J l b G V z c y w y N X 0 m c X V v d D s s J n F 1 b 3 Q 7 U 2 V j d G l v b j E v V G F i b G U z I C g y K S 9 D a G F u Z 2 V k I F R 5 c G U u e 1 B y a W N l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G F i b G U z I C g y K S 9 D a G F u Z 2 V k I F R 5 c G U u e 0 J y Y W 5 k L D B 9 J n F 1 b 3 Q 7 L C Z x d W 9 0 O 1 N l Y 3 R p b 2 4 x L 1 R h Y m x l M y A o M i k v Q 2 h h b m d l Z C B U e X B l L n t N Z X J r L D F 9 J n F 1 b 3 Q 7 L C Z x d W 9 0 O 1 N l Y 3 R p b 2 4 x L 1 R h Y m x l M y A o M i k v Q 2 h h b m d l Z C B U e X B l L n t E a W 1 l b n N p b 2 4 s M n 0 m c X V v d D s s J n F 1 b 3 Q 7 U 2 V j d G l v b j E v V G F i b G U z I C g y K S 9 D a G F u Z 2 V k I F R 5 c G U u e 1 d l a W d o d C w z f S Z x d W 9 0 O y w m c X V v d D t T Z W N 0 a W 9 u M S 9 U Y W J s Z T M g K D I p L 0 N o Y W 5 n Z W Q g V H l w Z S 5 7 Y n V p b G Q s N H 0 m c X V v d D s s J n F 1 b 3 Q 7 U 2 V j d G l v b j E v V G F i b G U z I C g y K S 9 D a G F u Z 2 V k I F R 5 c G U u e 0 R 1 Y W w g U 0 l N L D V 9 J n F 1 b 3 Q 7 L C Z x d W 9 0 O 1 N l Y 3 R p b 2 4 x L 1 R h Y m x l M y A o M i k v Q 2 h h b m d l Z C B U e X B l L n s 1 R y w 2 f S Z x d W 9 0 O y w m c X V v d D t T Z W N 0 a W 9 u M S 9 U Y W J s Z T M g K D I p L 0 N o Y W 5 n Z W Q g V H l w Z S 5 7 V H l w Z S w 3 f S Z x d W 9 0 O y w m c X V v d D t T Z W N 0 a W 9 u M S 9 U Y W J s Z T M g K D I p L 0 N o Y W 5 n Z W Q g V H l w Z S 5 7 U 2 l 6 Z S w 4 f S Z x d W 9 0 O y w m c X V v d D t T Z W N 0 a W 9 u M S 9 U Y W J s Z T M g K D I p L 0 N o Y W 5 n Z W Q g V H l w Z S 5 7 U m V z b 2 x 1 d G l v b i w 5 f S Z x d W 9 0 O y w m c X V v d D t T Z W N 0 a W 9 u M S 9 U Y W J s Z T M g K D I p L 0 N o Y W 5 n Z W Q g V H l w Z S 5 7 T 1 M s M T B 9 J n F 1 b 3 Q 7 L C Z x d W 9 0 O 1 N l Y 3 R p b 2 4 x L 1 R h Y m x l M y A o M i k v Q 2 h h b m d l Z C B U e X B l L n t D a G l w c 2 V 0 L D E x f S Z x d W 9 0 O y w m c X V v d D t T Z W N 0 a W 9 u M S 9 U Y W J s Z T M g K D I p L 0 N o Y W 5 n Z W Q g V H l w Z S 5 7 Q 1 B V L D E y f S Z x d W 9 0 O y w m c X V v d D t T Z W N 0 a W 9 u M S 9 U Y W J s Z T M g K D I p L 0 N o Y W 5 n Z W Q g V H l w Z S 5 7 Q 2 F y Z C B T b G 9 0 L D E z f S Z x d W 9 0 O y w m c X V v d D t T Z W N 0 a W 9 u M S 9 U Y W J s Z T M g K D I p L 0 N o Y W 5 n Z W Q g V H l w Z S 5 7 U k F N L D E 0 f S Z x d W 9 0 O y w m c X V v d D t T Z W N 0 a W 9 u M S 9 U Y W J s Z T M g K D I p L 0 N o Y W 5 n Z W Q g V H l w Z S 5 7 U k 9 N L D E 1 f S Z x d W 9 0 O y w m c X V v d D t T Z W N 0 a W 9 u M S 9 U Y W J s Z T M g K D I p L 0 N o Y W 5 n Z W Q g V H l w Z S 5 7 Q 2 F t Z X J h L D E 2 f S Z x d W 9 0 O y w m c X V v d D t T Z W N 0 a W 9 u M S 9 U Y W J s Z T M g K D I p L 0 N o Y W 5 n Z W Q g V H l w Z S 5 7 V H l w Z T I s M T d 9 J n F 1 b 3 Q 7 L C Z x d W 9 0 O 1 N l Y 3 R p b 2 4 x L 1 R h Y m x l M y A o M i k v Q 2 h h b m d l Z C B U e X B l L n t W a W R l b y w x O H 0 m c X V v d D s s J n F 1 b 3 Q 7 U 2 V j d G l v b j E v V G F i b G U z I C g y K S 9 D a G F u Z 2 V k I F R 5 c G U u e 0 N h b W V y Y T M s M T l 9 J n F 1 b 3 Q 7 L C Z x d W 9 0 O 1 N l Y 3 R p b 2 4 x L 1 R h Y m x l M y A o M i k v Q 2 h h b m d l Z C B U e X B l L n t U e X B l N C w y M H 0 m c X V v d D s s J n F 1 b 3 Q 7 U 2 V j d G l v b j E v V G F i b G U z I C g y K S 9 D a G F u Z 2 V k I F R 5 c G U u e 1 Z p Z G V v M i w y M X 0 m c X V v d D s s J n F 1 b 3 Q 7 U 2 V j d G l v b j E v V G F i b G U z I C g y K S 9 D a G F u Z 2 V k I F R 5 c G U u e 1 V T Q i w y M n 0 m c X V v d D s s J n F 1 b 3 Q 7 U 2 V j d G l v b j E v V G F i b G U z I C g y K S 9 D a G F u Z 2 V k I F R 5 c G U u e 0 N h c G F j a X R 5 L D I z f S Z x d W 9 0 O y w m c X V v d D t T Z W N 0 a W 9 u M S 9 U Y W J s Z T M g K D I p L 0 N o Y W 5 n Z W Q g V H l w Z S 5 7 V H l w Z T Y s M j R 9 J n F 1 b 3 Q 7 L C Z x d W 9 0 O 1 N l Y 3 R p b 2 4 x L 1 R h Y m x l M y A o M i k v Q 2 h h b m d l Z C B U e X B l L n t X a X J l b G V z c y w y N X 0 m c X V v d D s s J n F 1 b 3 Q 7 U 2 V j d G l v b j E v V G F i b G U z I C g y K S 9 D a G F u Z 2 V k I F R 5 c G U u e 1 B y a W N l L D I 2 f S Z x d W 9 0 O 1 0 s J n F 1 b 3 Q 7 U m V s Y X R p b 2 5 z a G l w S W 5 m b y Z x d W 9 0 O z p b X X 0 i I C 8 + P E V u d H J 5 I F R 5 c G U 9 I l F 1 Z X J 5 S U Q i I F Z h b H V l P S J z Y j Q x M D c 1 N T k t Z G E z Y i 0 0 Z W E x L W J h Y T Q t M G Q 3 Z D M z O D R j Z j B h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3 B s a X Q l M j B D b 2 x 1 b W 4 l M j B i e S U y M E R l b G l t a X R l c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q I u h v 7 e Z T I R v z L y q A O 3 K A A A A A A I A A A A A A B B m A A A A A Q A A I A A A A M z 3 R j o v L d W d Z h T F N Q a J d z c T p I S 2 8 9 2 a o H D l b C P n R T K A A A A A A A 6 A A A A A A g A A I A A A A H a 0 v C t Y 0 h y O 4 M f p P T P e 6 2 / 6 b D P H 4 2 I D s 9 G C J y 5 Q Z / d 5 U A A A A N V k q l A m l F C J r e 3 3 y 7 K 5 Q D K b D L V g O / h y k 7 G I w 9 E 5 5 N T B z Z a w F X 1 m 4 I 6 u 6 1 P N h u j 1 D X I E X k C v W D 1 d c j b k 5 D F N z J P Q D O E 4 P f t Y + P G 9 r q w 9 L W y M Q A A A A G + K I N 7 1 6 B n 9 e i 6 s c Z r u S 7 c / 5 r 0 j M T B f 3 k m Z C e T s / A H G B S U p t / m 0 U x L o / h E l L B i E W W C + V g 4 W D b b i a X 7 B e e 7 G S S 0 = < / D a t a M a s h u p > 
</file>

<file path=customXml/itemProps1.xml><?xml version="1.0" encoding="utf-8"?>
<ds:datastoreItem xmlns:ds="http://schemas.openxmlformats.org/officeDocument/2006/customXml" ds:itemID="{0CF8DBBE-804D-4FC0-9A58-EFA7F5F00A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bahan</vt:lpstr>
      <vt:lpstr>normalisasi data</vt:lpstr>
      <vt:lpstr>konversi</vt:lpstr>
      <vt:lpstr>konversi2</vt:lpstr>
      <vt:lpstr>Bobot</vt:lpstr>
      <vt:lpstr>perhitungan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NUR CAHYO</dc:creator>
  <cp:lastModifiedBy>WAHYU NUR CAHYO</cp:lastModifiedBy>
  <dcterms:created xsi:type="dcterms:W3CDTF">2024-03-04T13:19:34Z</dcterms:created>
  <dcterms:modified xsi:type="dcterms:W3CDTF">2024-04-02T03:54:33Z</dcterms:modified>
</cp:coreProperties>
</file>