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i\IdeaProjects\SEPJ\FinancingTool\src\main\resources\com\example\financingtool\"/>
    </mc:Choice>
  </mc:AlternateContent>
  <xr:revisionPtr revIDLastSave="0" documentId="13_ncr:1_{C30E3FCD-ED78-4F9C-A4AF-CC86805EF46D}" xr6:coauthVersionLast="47" xr6:coauthVersionMax="47" xr10:uidLastSave="{00000000-0000-0000-0000-000000000000}"/>
  <bookViews>
    <workbookView xWindow="-108" yWindow="-108" windowWidth="23256" windowHeight="12576" activeTab="3" xr2:uid="{4C9598BD-5712-4F7A-AC8E-F76386525838}"/>
  </bookViews>
  <sheets>
    <sheet name="Executive Summary" sheetId="22" r:id="rId1"/>
    <sheet name="Basisinformation" sheetId="7" r:id="rId2"/>
    <sheet name="Standort" sheetId="11" r:id="rId3"/>
    <sheet name="Widmung" sheetId="23" r:id="rId4"/>
    <sheet name="Gesamtinvestitionskosten" sheetId="8" r:id="rId5"/>
    <sheet name="Mittelverwendung - Mittelherkun" sheetId="9" r:id="rId6"/>
    <sheet name="Wirtschaftlichkeitsrechnung" sheetId="10" r:id="rId7"/>
    <sheet name="MVMH1" sheetId="12" r:id="rId8"/>
    <sheet name="MVMH2" sheetId="18" r:id="rId9"/>
    <sheet name="MVMH3" sheetId="19" r:id="rId10"/>
    <sheet name="MVMH4" sheetId="20" r:id="rId11"/>
    <sheet name="MVMH5" sheetId="21" r:id="rId12"/>
    <sheet name="Restliche Fragen" sheetId="4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3" l="1"/>
  <c r="A2" i="22"/>
  <c r="U2" i="7"/>
  <c r="Y2" i="7"/>
  <c r="U3" i="7"/>
  <c r="Y3" i="7"/>
  <c r="A3" i="22" s="1"/>
  <c r="U5" i="7"/>
  <c r="Y5" i="7" s="1"/>
  <c r="A5" i="22" s="1"/>
  <c r="U6" i="7"/>
  <c r="W6" i="7"/>
  <c r="Y6" i="7" s="1"/>
  <c r="A6" i="22" s="1"/>
  <c r="U7" i="7"/>
  <c r="Y7" i="7" s="1"/>
  <c r="A7" i="22" s="1"/>
  <c r="W7" i="7"/>
  <c r="U8" i="7"/>
  <c r="Y8" i="7" s="1"/>
  <c r="A8" i="22" s="1"/>
  <c r="U9" i="7"/>
  <c r="Y9" i="7" s="1"/>
  <c r="A9" i="22" s="1"/>
  <c r="W9" i="7"/>
  <c r="U10" i="7"/>
  <c r="Y10" i="7" s="1"/>
  <c r="A10" i="22" s="1"/>
  <c r="W10" i="7"/>
  <c r="U11" i="7"/>
  <c r="Y11" i="7"/>
  <c r="U12" i="7"/>
  <c r="Y12" i="7"/>
  <c r="A12" i="22" s="1"/>
  <c r="A11" i="22"/>
  <c r="A6" i="23"/>
  <c r="A7" i="23"/>
  <c r="A8" i="23"/>
  <c r="A9" i="23"/>
  <c r="A10" i="23"/>
  <c r="A5" i="23"/>
  <c r="A3" i="23" a="1"/>
  <c r="A3" i="23" s="1"/>
  <c r="E21" i="10"/>
  <c r="D3" i="8"/>
  <c r="H4" i="10"/>
  <c r="F4" i="10"/>
  <c r="P6" i="7"/>
  <c r="P5" i="7"/>
  <c r="A11" i="21" a="1"/>
  <c r="A11" i="21" s="1"/>
  <c r="E11" i="21" a="1"/>
  <c r="E11" i="21" s="1"/>
  <c r="D3" i="21" a="1"/>
  <c r="D3" i="21" s="1"/>
  <c r="A3" i="21" a="1"/>
  <c r="A3" i="21" s="1"/>
  <c r="A10" i="20" a="1"/>
  <c r="A10" i="20" s="1"/>
  <c r="E10" i="20" a="1"/>
  <c r="E10" i="20" s="1"/>
  <c r="D3" i="20" a="1"/>
  <c r="D3" i="20" s="1"/>
  <c r="A3" i="20" a="1"/>
  <c r="A3" i="20" s="1"/>
  <c r="A10" i="19" a="1"/>
  <c r="A10" i="19" s="1"/>
  <c r="E10" i="19" a="1"/>
  <c r="E10" i="19" s="1"/>
  <c r="D3" i="19" a="1"/>
  <c r="D3" i="19" s="1"/>
  <c r="A3" i="19" a="1"/>
  <c r="A3" i="19" s="1"/>
  <c r="A8" i="18" a="1"/>
  <c r="A8" i="18" s="1"/>
  <c r="E8" i="18" a="1"/>
  <c r="E8" i="18" s="1"/>
  <c r="D3" i="18" a="1"/>
  <c r="D3" i="18" s="1"/>
  <c r="A3" i="18" a="1"/>
  <c r="A3" i="18" s="1"/>
  <c r="C7" i="12"/>
  <c r="B7" i="12"/>
  <c r="F7" i="12"/>
  <c r="F3" i="12" a="1"/>
  <c r="F3" i="12" s="1"/>
  <c r="E5" i="12"/>
  <c r="E4" i="12"/>
  <c r="E3" i="12"/>
  <c r="E7" i="12"/>
  <c r="D5" i="12"/>
  <c r="D4" i="12"/>
  <c r="D3" i="12"/>
  <c r="C4" i="12"/>
  <c r="C3" i="12"/>
  <c r="B4" i="12"/>
  <c r="B3" i="12"/>
  <c r="A7" i="12"/>
  <c r="A4" i="12"/>
  <c r="A3" i="12"/>
  <c r="P3" i="7"/>
  <c r="P2" i="7"/>
  <c r="E20" i="10"/>
  <c r="F19" i="10" s="1"/>
  <c r="F13" i="10"/>
  <c r="G13" i="10" s="1"/>
  <c r="B13" i="10"/>
  <c r="F7" i="10"/>
  <c r="G7" i="10" s="1"/>
  <c r="C7" i="10"/>
  <c r="B7" i="10"/>
  <c r="AK11" i="9"/>
  <c r="AL3" i="9" s="1"/>
  <c r="AH11" i="9"/>
  <c r="AI3" i="9" s="1"/>
  <c r="AC10" i="9"/>
  <c r="AD7" i="9" s="1"/>
  <c r="Z10" i="9"/>
  <c r="AA3" i="9" s="1"/>
  <c r="AL9" i="9"/>
  <c r="U9" i="9"/>
  <c r="V5" i="9" s="1"/>
  <c r="R9" i="9"/>
  <c r="S3" i="9" s="1"/>
  <c r="E8" i="9"/>
  <c r="F4" i="9" s="1"/>
  <c r="M7" i="9"/>
  <c r="N5" i="9" s="1"/>
  <c r="F6" i="9"/>
  <c r="AL5" i="9"/>
  <c r="F5" i="9"/>
  <c r="AL4" i="9"/>
  <c r="AI4" i="9"/>
  <c r="N4" i="9"/>
  <c r="F3" i="9"/>
  <c r="F8" i="9" s="1"/>
  <c r="P7" i="7" l="1"/>
  <c r="P4" i="7"/>
  <c r="W4" i="7" s="1"/>
  <c r="AI11" i="9"/>
  <c r="V6" i="9"/>
  <c r="AL7" i="9"/>
  <c r="AD5" i="9"/>
  <c r="AD6" i="9"/>
  <c r="AL6" i="9"/>
  <c r="AL11" i="9" s="1"/>
  <c r="AD8" i="9"/>
  <c r="AL8" i="9"/>
  <c r="AD4" i="9"/>
  <c r="S4" i="9"/>
  <c r="F18" i="10"/>
  <c r="S9" i="9"/>
  <c r="J7" i="9"/>
  <c r="K3" i="9" s="1"/>
  <c r="V4" i="9"/>
  <c r="AA4" i="9"/>
  <c r="AA10" i="9" s="1"/>
  <c r="V3" i="9"/>
  <c r="B8" i="9"/>
  <c r="C3" i="9" s="1"/>
  <c r="N3" i="9"/>
  <c r="N7" i="9" s="1"/>
  <c r="AD3" i="9"/>
  <c r="V7" i="9"/>
  <c r="U4" i="7" l="1"/>
  <c r="Y4" i="7" s="1"/>
  <c r="A4" i="22" s="1"/>
  <c r="AD10" i="9"/>
  <c r="V9" i="9"/>
  <c r="K4" i="9"/>
  <c r="K7" i="9" s="1"/>
  <c r="C4" i="9"/>
  <c r="C8" i="9" s="1"/>
  <c r="C5" i="8" l="1"/>
  <c r="D5" i="8" s="1"/>
  <c r="C3" i="8"/>
  <c r="B13" i="8" l="1"/>
  <c r="B15" i="8" s="1"/>
  <c r="E3" i="8"/>
  <c r="C4" i="8"/>
  <c r="D4" i="8" s="1"/>
  <c r="E5" i="8"/>
  <c r="C6" i="8"/>
  <c r="D6" i="8" s="1"/>
  <c r="E6" i="8"/>
  <c r="C7" i="8"/>
  <c r="E7" i="8" s="1"/>
  <c r="D7" i="8"/>
  <c r="C8" i="8"/>
  <c r="D8" i="8" s="1"/>
  <c r="C9" i="8"/>
  <c r="D9" i="8" s="1"/>
  <c r="C10" i="8"/>
  <c r="D10" i="8"/>
  <c r="E10" i="8"/>
  <c r="E11" i="8"/>
  <c r="E9" i="8" l="1"/>
  <c r="C13" i="8"/>
  <c r="D13" i="8" s="1"/>
  <c r="D15" i="8" s="1"/>
  <c r="E8" i="8"/>
  <c r="E4" i="8"/>
  <c r="C15" i="8" l="1"/>
  <c r="E13" i="8"/>
  <c r="E15" i="8" s="1"/>
  <c r="E22" i="10" s="1"/>
  <c r="F8" i="8"/>
  <c r="F9" i="8"/>
  <c r="F6" i="8"/>
  <c r="F10" i="8"/>
  <c r="F11" i="8"/>
  <c r="F7" i="8"/>
  <c r="F4" i="8" l="1"/>
  <c r="F5" i="8"/>
  <c r="F3" i="8"/>
  <c r="E23" i="10"/>
  <c r="F13" i="8"/>
  <c r="F15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<sst xmlns="http://schemas.openxmlformats.org/spreadsheetml/2006/main" count="219" uniqueCount="132">
  <si>
    <t>Wohneinheiten</t>
  </si>
  <si>
    <t>Garagenstellplätze</t>
  </si>
  <si>
    <t>ROI</t>
  </si>
  <si>
    <t>Ziel-Baubeginn</t>
  </si>
  <si>
    <t>Ziel-Fertigstellung</t>
  </si>
  <si>
    <t>netto</t>
  </si>
  <si>
    <t>Ust</t>
  </si>
  <si>
    <t>brutto</t>
  </si>
  <si>
    <t>in %</t>
  </si>
  <si>
    <t>KB 00 Grund</t>
  </si>
  <si>
    <t xml:space="preserve">KB 01 Aufschließung </t>
  </si>
  <si>
    <t>KB 02 Bauwerk-Rohbau bis KB 05</t>
  </si>
  <si>
    <t>KB 06 Außenanlagen</t>
  </si>
  <si>
    <t>KB 07 Honorare</t>
  </si>
  <si>
    <t>KB 08 Nebenkosten</t>
  </si>
  <si>
    <t>KB 09 Reserven</t>
  </si>
  <si>
    <t>KB 10 Vermarktung</t>
  </si>
  <si>
    <t>KB 11 Finanzierung</t>
  </si>
  <si>
    <t>Zwischensumme (vor Steuerkorrektur)</t>
  </si>
  <si>
    <t>Steuerkorrektur</t>
  </si>
  <si>
    <t>GIK adaptiert um Vorsteuer</t>
  </si>
  <si>
    <t>UST</t>
  </si>
  <si>
    <t>UST (Grund)</t>
  </si>
  <si>
    <t>(eigentlich 1% glauben wir)</t>
  </si>
  <si>
    <t>Mittelverwendung</t>
  </si>
  <si>
    <t>Mittelherkunft</t>
  </si>
  <si>
    <t>Investitionskosten</t>
  </si>
  <si>
    <t>Eigenkapital</t>
  </si>
  <si>
    <t>Finanzierungskosten</t>
  </si>
  <si>
    <t>BTVG Erlöse</t>
  </si>
  <si>
    <t>Summe</t>
  </si>
  <si>
    <t>Berechnung Anleger/Eigenn.</t>
  </si>
  <si>
    <t>Verhältnis</t>
  </si>
  <si>
    <t>Wohnfläche</t>
  </si>
  <si>
    <t>netto (10%)</t>
  </si>
  <si>
    <t>Wohnungen</t>
  </si>
  <si>
    <t>Preise</t>
  </si>
  <si>
    <t>Eigennutzer</t>
  </si>
  <si>
    <t>Anleger</t>
  </si>
  <si>
    <t>Parkplätze</t>
  </si>
  <si>
    <t>Gesamt</t>
  </si>
  <si>
    <t>Erlöse</t>
  </si>
  <si>
    <t>in % d. Summe</t>
  </si>
  <si>
    <t>EUR/ Einheit</t>
  </si>
  <si>
    <t>brutto=netto</t>
  </si>
  <si>
    <t>GIK (nach Steuerkorrektur)</t>
  </si>
  <si>
    <t>Dev. Profit vor Steuern</t>
  </si>
  <si>
    <t>Dev. Profit vor Steuern in %</t>
  </si>
  <si>
    <t>4.Person</t>
  </si>
  <si>
    <t>Wie berechne ich die beste Lage?</t>
  </si>
  <si>
    <t>Wie mache ich die Marktanalyse am besten?</t>
  </si>
  <si>
    <t>Flächenwidmung -Was ist das, wuie funktioniert das?</t>
  </si>
  <si>
    <t>Stammdaten</t>
  </si>
  <si>
    <t>Firmenname</t>
  </si>
  <si>
    <t>Postleitzahl</t>
  </si>
  <si>
    <t>Ort</t>
  </si>
  <si>
    <t xml:space="preserve">Entfernung zur Schule </t>
  </si>
  <si>
    <t>Lagebeschreibung</t>
  </si>
  <si>
    <t xml:space="preserve">Maps - Bild </t>
  </si>
  <si>
    <t>Lage der Öffi Anbindung</t>
  </si>
  <si>
    <t>Basisinformationen</t>
  </si>
  <si>
    <t>Fremdkapital Tranche 3</t>
  </si>
  <si>
    <t>Fremdkapital Tranche 2</t>
  </si>
  <si>
    <t>Fremdkapital Tranche 1</t>
  </si>
  <si>
    <t>Fremdkapital Tranche 4</t>
  </si>
  <si>
    <t>Fremdkapital Tranche 5</t>
  </si>
  <si>
    <t>Wien</t>
  </si>
  <si>
    <t>Hallo</t>
  </si>
  <si>
    <t>U4</t>
  </si>
  <si>
    <t>12</t>
  </si>
  <si>
    <t>10</t>
  </si>
  <si>
    <t>Tranche</t>
  </si>
  <si>
    <t>20</t>
  </si>
  <si>
    <t>120</t>
  </si>
  <si>
    <t>34</t>
  </si>
  <si>
    <t>23</t>
  </si>
  <si>
    <t>Schulen</t>
  </si>
  <si>
    <t>Restaurants</t>
  </si>
  <si>
    <t>Öffentliche Verkehrsmittel</t>
  </si>
  <si>
    <t>Einzelhandel</t>
  </si>
  <si>
    <t>Lagebeschreibungen</t>
  </si>
  <si>
    <t>zu Fuß</t>
  </si>
  <si>
    <t>mit dem Fahrrad</t>
  </si>
  <si>
    <t>1170</t>
  </si>
  <si>
    <t>W II = Bauklasse 2</t>
  </si>
  <si>
    <t xml:space="preserve">
</t>
  </si>
  <si>
    <t>test</t>
  </si>
  <si>
    <t>hierU6</t>
  </si>
  <si>
    <t>u7</t>
  </si>
  <si>
    <t>gk = gekuppelte Bauweise</t>
  </si>
  <si>
    <t>Braumüllergasse 21</t>
  </si>
  <si>
    <t>Gesamtinvestitionskosten</t>
  </si>
  <si>
    <t>Mittelverwendung und Mittelherkunft</t>
  </si>
  <si>
    <t>Wirtschaftlichkeitsrechnung</t>
  </si>
  <si>
    <t>Grundstücksgröße (in m²)</t>
  </si>
  <si>
    <t>Wohnnutzfläche (in m²)</t>
  </si>
  <si>
    <t>Außenfläche (in m²)</t>
  </si>
  <si>
    <t xml:space="preserve">Straße </t>
  </si>
  <si>
    <t>Kaufpreis (in €)</t>
  </si>
  <si>
    <t>Gewinn (in €)</t>
  </si>
  <si>
    <t>Standortlage</t>
  </si>
  <si>
    <t>m²</t>
  </si>
  <si>
    <t>Prognostizierter Verkaufserlös (in €)</t>
  </si>
  <si>
    <t>Executive Summary</t>
  </si>
  <si>
    <t>Ankauf der Liegenschaft “</t>
  </si>
  <si>
    <t>” in Form eines Asset Deals mit einer eigens gegründeten Projektgesellschaft</t>
  </si>
  <si>
    <t xml:space="preserve">Kaufpreis: EUR </t>
  </si>
  <si>
    <t>Flächenwidmung – laut WBO</t>
  </si>
  <si>
    <t>WBO</t>
  </si>
  <si>
    <t>BB</t>
  </si>
  <si>
    <t xml:space="preserve">Bebauungsbestimmungen: </t>
  </si>
  <si>
    <t xml:space="preserve">; Widmung: </t>
  </si>
  <si>
    <t xml:space="preserve">Grundstücksgröße: </t>
  </si>
  <si>
    <t xml:space="preserve"> m²</t>
  </si>
  <si>
    <t xml:space="preserve">Erzielbare Wohnnutzfläche laut Architekt: </t>
  </si>
  <si>
    <t xml:space="preserve"> m² WNFL zzgl. gew. Außenflächen von </t>
  </si>
  <si>
    <t xml:space="preserve">Nutzung: </t>
  </si>
  <si>
    <t xml:space="preserve"> Wohneinheiten mit </t>
  </si>
  <si>
    <t xml:space="preserve"> Garagenstellplätzen</t>
  </si>
  <si>
    <t xml:space="preserve">Gesamtinvestitionskosten: EUR </t>
  </si>
  <si>
    <t xml:space="preserve"> (gerundet)</t>
  </si>
  <si>
    <t xml:space="preserve">Prognostizierter Verkaufserlös: EUR </t>
  </si>
  <si>
    <t xml:space="preserve">; ø Verkaufspreis EUR </t>
  </si>
  <si>
    <t xml:space="preserve">Ziel-Baubeginn: </t>
  </si>
  <si>
    <t xml:space="preserve">Ziel-Fertigstellung: </t>
  </si>
  <si>
    <t>Q4/2025</t>
  </si>
  <si>
    <t>Q2/2026</t>
  </si>
  <si>
    <t xml:space="preserve"> (gerundet ROI </t>
  </si>
  <si>
    <t>%)</t>
  </si>
  <si>
    <t>Distanzen</t>
  </si>
  <si>
    <t xml:space="preserve">Gewinn: EUR </t>
  </si>
  <si>
    <t>G = Gärtnerische Ausgestaltung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</si>
</sst>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%"/>
    <numFmt numFmtId="165" formatCode="0.0000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gradientFill degree="90">
        <stop position="0">
          <color rgb="FFFFFF00"/>
        </stop>
        <stop position="1">
          <color theme="4"/>
        </stop>
      </gradientFill>
    </fill>
    <fill>
      <patternFill patternType="solid">
        <fgColor rgb="FFFF0000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" xfId="0" applyBorder="1"/>
    <xf numFmtId="10" fontId="0" fillId="2" borderId="1" xfId="1" applyNumberFormat="1" applyFont="1" applyFill="1" applyBorder="1"/>
    <xf numFmtId="0" fontId="0" fillId="2" borderId="1" xfId="0" applyFill="1" applyBorder="1"/>
    <xf numFmtId="10" fontId="0" fillId="2" borderId="1" xfId="0" applyNumberFormat="1" applyFill="1" applyBorder="1"/>
    <xf numFmtId="164" fontId="0" fillId="0" borderId="1" xfId="1" applyNumberFormat="1" applyFont="1" applyBorder="1"/>
    <xf numFmtId="10" fontId="0" fillId="0" borderId="1" xfId="0" applyNumberFormat="1" applyBorder="1"/>
    <xf numFmtId="9" fontId="0" fillId="0" borderId="1" xfId="1" applyFont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9" fontId="0" fillId="0" borderId="0" xfId="0" applyNumberFormat="1"/>
    <xf numFmtId="165" fontId="0" fillId="0" borderId="0" xfId="0" applyNumberFormat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0" fontId="0" fillId="6" borderId="1" xfId="0" applyFill="1" applyBorder="1"/>
    <xf numFmtId="10" fontId="0" fillId="0" borderId="1" xfId="1" applyNumberFormat="1" applyFont="1" applyBorder="1"/>
    <xf numFmtId="0" fontId="5" fillId="0" borderId="1" xfId="0" applyFont="1" applyBorder="1"/>
    <xf numFmtId="0" fontId="5" fillId="0" borderId="0" xfId="0" applyFont="1"/>
    <xf numFmtId="10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 applyAlignment="1">
      <alignment horizontal="left"/>
    </xf>
    <xf numFmtId="0" fontId="5" fillId="0" borderId="5" xfId="0" applyFont="1" applyBorder="1"/>
    <xf numFmtId="0" fontId="4" fillId="7" borderId="1" xfId="0" applyFont="1" applyFill="1" applyBorder="1"/>
    <xf numFmtId="0" fontId="0" fillId="8" borderId="0" xfId="0" applyFill="1"/>
    <xf numFmtId="0" fontId="4" fillId="7" borderId="3" xfId="0" applyFont="1" applyFill="1" applyBorder="1"/>
    <xf numFmtId="0" fontId="5" fillId="0" borderId="1" xfId="0" applyFont="1" applyBorder="1" applyAlignment="1">
      <alignment wrapText="1"/>
    </xf>
    <xf numFmtId="1" fontId="6" fillId="2" borderId="1" xfId="0" applyNumberFormat="1" applyFont="1" applyFill="1" applyBorder="1"/>
    <xf numFmtId="1" fontId="0" fillId="2" borderId="1" xfId="0" applyNumberFormat="1" applyFill="1" applyBorder="1"/>
    <xf numFmtId="1" fontId="5" fillId="0" borderId="1" xfId="0" applyNumberFormat="1" applyFont="1" applyBorder="1"/>
    <xf numFmtId="0" fontId="5" fillId="2" borderId="1" xfId="0" applyFont="1" applyFill="1" applyBorder="1"/>
    <xf numFmtId="49" fontId="5" fillId="2" borderId="1" xfId="0" applyNumberFormat="1" applyFont="1" applyFill="1" applyBorder="1"/>
    <xf numFmtId="0" fontId="4" fillId="7" borderId="2" xfId="0" applyFont="1" applyFill="1" applyBorder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0" fillId="0" borderId="6" xfId="0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0" fillId="0" borderId="1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metadata.xml" Type="http://schemas.openxmlformats.org/officeDocument/2006/relationships/sheetMetadata"/><Relationship Id="rId18" Target="calcChain.xml" Type="http://schemas.openxmlformats.org/officeDocument/2006/relationships/calcChain"/><Relationship Id="rId19" Target="../customXml/item1.xml" Type="http://schemas.openxmlformats.org/officeDocument/2006/relationships/customXml"/><Relationship Id="rId2" Target="worksheets/sheet2.xml" Type="http://schemas.openxmlformats.org/officeDocument/2006/relationships/worksheet"/><Relationship Id="rId20" Target="../customXml/item2.xml" Type="http://schemas.openxmlformats.org/officeDocument/2006/relationships/customXml"/><Relationship Id="rId21" Target="../customXml/item3.xml" Type="http://schemas.openxmlformats.org/officeDocument/2006/relationships/customXml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2671E-D144-4B50-AABB-443299DFAAD9}">
  <dimension ref="A1:B17"/>
  <sheetViews>
    <sheetView workbookViewId="0">
      <selection activeCell="D6" sqref="D6"/>
    </sheetView>
  </sheetViews>
  <sheetFormatPr defaultRowHeight="14.4" x14ac:dyDescent="0.3"/>
  <cols>
    <col min="1" max="1" width="101.33203125" bestFit="1" customWidth="1"/>
    <col min="6" max="6" width="11.88671875" bestFit="1" customWidth="1"/>
  </cols>
  <sheetData>
    <row r="1" spans="1:2" ht="18" x14ac:dyDescent="0.35">
      <c r="A1" s="33" t="s">
        <v>103</v>
      </c>
      <c r="B1" s="26"/>
    </row>
    <row r="2" spans="1:2" x14ac:dyDescent="0.3">
      <c r="A2" s="18" t="str">
        <f>+Basisinformation!Y2</f>
        <v>Ankauf der Liegenschaft “Braumüllergasse 21” in Form eines Asset Deals mit einer eigens gegründeten Projektgesellschaft</v>
      </c>
      <c r="B2" s="18"/>
    </row>
    <row r="3" spans="1:2" x14ac:dyDescent="0.3">
      <c r="A3" s="18" t="str">
        <f>+Basisinformation!Y3</f>
        <v>Kaufpreis: EUR 10</v>
      </c>
      <c r="B3" s="18"/>
    </row>
    <row r="4" spans="1:2" x14ac:dyDescent="0.3">
      <c r="A4" s="18" t="str">
        <f>+Basisinformation!Y4</f>
        <v>Bebauungsbestimmungen: G; Widmung: W II gk</v>
      </c>
      <c r="B4" s="22"/>
    </row>
    <row r="5" spans="1:2" x14ac:dyDescent="0.3">
      <c r="A5" s="18" t="str">
        <f>+Basisinformation!Y5</f>
        <v>Grundstücksgröße: 20 m²</v>
      </c>
      <c r="B5" s="18"/>
    </row>
    <row r="6" spans="1:2" x14ac:dyDescent="0.3">
      <c r="A6" s="18" t="str">
        <f>+Basisinformation!Y6</f>
        <v>Erzielbare Wohnnutzfläche laut Architekt: 120 m² WNFL zzgl. gew. Außenflächen von 34 m²</v>
      </c>
      <c r="B6" s="21"/>
    </row>
    <row r="7" spans="1:2" x14ac:dyDescent="0.3">
      <c r="A7" s="18" t="str">
        <f>+Basisinformation!Y7</f>
        <v>Nutzung: 34 Wohneinheiten mit 12 Garagenstellplätzen</v>
      </c>
      <c r="B7" s="18"/>
    </row>
    <row r="8" spans="1:2" x14ac:dyDescent="0.3">
      <c r="A8" s="18" t="str">
        <f>+Basisinformation!Y8</f>
        <v>Gesamtinvestitionskosten: EUR 7750000 (gerundet)</v>
      </c>
      <c r="B8" s="18"/>
    </row>
    <row r="9" spans="1:2" x14ac:dyDescent="0.3">
      <c r="A9" s="18" t="str">
        <f>+Basisinformation!Y9</f>
        <v>Prognostizierter Verkaufserlös: EUR 10260000; ø Verkaufspreis EUR 10000</v>
      </c>
      <c r="B9" s="18"/>
    </row>
    <row r="10" spans="1:2" x14ac:dyDescent="0.3">
      <c r="A10" s="18" t="str">
        <f>+Basisinformation!Y10</f>
        <v>Gewinn: EUR 2500000 (gerundet ROI 32,33%)</v>
      </c>
      <c r="B10" s="18"/>
    </row>
    <row r="11" spans="1:2" x14ac:dyDescent="0.3">
      <c r="A11" s="18" t="str">
        <f>+Basisinformation!Y11</f>
        <v>Ziel-Baubeginn: Q4/2025</v>
      </c>
      <c r="B11" s="18"/>
    </row>
    <row r="12" spans="1:2" x14ac:dyDescent="0.3">
      <c r="A12" s="18" t="str">
        <f>+Basisinformation!Y12</f>
        <v>Ziel-Fertigstellung: Q2/2026</v>
      </c>
      <c r="B12" s="18"/>
    </row>
    <row r="13" spans="1:2" x14ac:dyDescent="0.3">
      <c r="A13" s="18"/>
      <c r="B13" s="18"/>
    </row>
    <row r="14" spans="1:2" x14ac:dyDescent="0.3">
      <c r="A14" s="18"/>
      <c r="B14" s="18"/>
    </row>
    <row r="15" spans="1:2" x14ac:dyDescent="0.3">
      <c r="A15" s="18"/>
      <c r="B15" s="18"/>
    </row>
    <row r="16" spans="1:2" x14ac:dyDescent="0.3">
      <c r="A16" s="18"/>
      <c r="B16" s="18"/>
    </row>
    <row r="17" spans="1:2" x14ac:dyDescent="0.3">
      <c r="A17" s="18"/>
      <c r="B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7DB-AB41-497D-B306-2E29F3117BD9}">
  <dimension ref="A1:Y12"/>
  <sheetViews>
    <sheetView workbookViewId="0">
      <selection activeCell="T6" sqref="T6"/>
    </sheetView>
  </sheetViews>
  <sheetFormatPr defaultColWidth="9" defaultRowHeight="14.4" x14ac:dyDescent="0.3"/>
  <cols>
    <col min="1" max="1" width="29.5546875" customWidth="1" collapsed="1"/>
    <col min="8" max="8" width="25.33203125" customWidth="1" collapsed="1"/>
    <col min="9" max="9" width="24.5546875" customWidth="1" collapsed="1"/>
    <col min="15" max="15" width="50.6640625" customWidth="1" collapsed="1"/>
    <col min="20" max="20" width="35.77734375" bestFit="1" customWidth="1"/>
  </cols>
  <sheetData>
    <row r="1" spans="1:25" ht="18" x14ac:dyDescent="0.35">
      <c r="A1" s="34" t="s">
        <v>60</v>
      </c>
      <c r="B1" s="35"/>
      <c r="C1" s="35"/>
      <c r="D1" s="35"/>
      <c r="E1" s="36"/>
      <c r="F1" s="19"/>
      <c r="G1" s="19"/>
      <c r="H1" s="34" t="s">
        <v>52</v>
      </c>
      <c r="I1" s="35"/>
      <c r="J1" s="35"/>
      <c r="K1" s="35"/>
      <c r="L1" s="36"/>
      <c r="O1" s="24" t="s">
        <v>107</v>
      </c>
      <c r="T1" s="24" t="s">
        <v>103</v>
      </c>
    </row>
    <row r="2" spans="1:25" x14ac:dyDescent="0.3">
      <c r="A2" s="18" t="s">
        <v>98</v>
      </c>
      <c r="B2" s="18" t="s">
        <v>70</v>
      </c>
      <c r="C2" s="18"/>
      <c r="D2" s="18"/>
      <c r="E2" s="18"/>
      <c r="F2" s="19"/>
      <c r="G2" s="19"/>
      <c r="H2" s="18" t="s">
        <v>53</v>
      </c>
      <c r="I2" s="18" t="s">
        <v>86</v>
      </c>
      <c r="J2" s="18"/>
      <c r="K2" s="18"/>
      <c r="L2" s="18"/>
      <c r="O2" s="18" t="s">
        <v>84</v>
      </c>
      <c r="P2" t="str">
        <f>LEFT(O2,SEARCH("=",O2)-2)</f>
        <v>W II</v>
      </c>
      <c r="T2" s="18" t="s">
        <v>104</v>
      </c>
      <c r="U2" s="18" t="str">
        <f>+Basisinformation!I3</f>
        <v>Braumüllergasse 21</v>
      </c>
      <c r="V2" s="18" t="s">
        <v>105</v>
      </c>
      <c r="W2" s="18"/>
      <c r="X2" s="18"/>
      <c r="Y2" t="str">
        <f t="shared" ref="Y2:Y9" si="0">+CONCATENATE(T2,U2,V2,W2,X2)</f>
        <v>Ankauf der Liegenschaft “Braumüllergasse 21” in Form eines Asset Deals mit einer eigens gegründeten Projektgesellschaft</v>
      </c>
    </row>
    <row r="3" spans="1:25" x14ac:dyDescent="0.3">
      <c r="A3" s="18" t="s">
        <v>94</v>
      </c>
      <c r="B3" s="18" t="s">
        <v>72</v>
      </c>
      <c r="C3" s="18"/>
      <c r="D3" s="18"/>
      <c r="E3" s="18"/>
      <c r="F3" s="19"/>
      <c r="G3" s="19"/>
      <c r="H3" s="18" t="s">
        <v>97</v>
      </c>
      <c r="I3" s="18" t="s">
        <v>90</v>
      </c>
      <c r="J3" s="18"/>
      <c r="K3" s="18"/>
      <c r="L3" s="18"/>
      <c r="O3" s="18" t="s">
        <v>89</v>
      </c>
      <c r="P3" t="str">
        <f>LEFT(O3,SEARCH("=",O3)-2)</f>
        <v>gk</v>
      </c>
      <c r="T3" s="18" t="s">
        <v>106</v>
      </c>
      <c r="U3" s="18" t="str">
        <f>+Basisinformation!B2</f>
        <v>10</v>
      </c>
      <c r="V3" s="18"/>
      <c r="W3" s="18"/>
      <c r="X3" s="18"/>
      <c r="Y3" t="str">
        <f t="shared" si="0"/>
        <v>Kaufpreis: EUR 10</v>
      </c>
    </row>
    <row r="4" spans="1:25" x14ac:dyDescent="0.3">
      <c r="A4" s="18" t="s">
        <v>95</v>
      </c>
      <c r="B4" s="18" t="s">
        <v>73</v>
      </c>
      <c r="C4" s="18"/>
      <c r="D4" s="18"/>
      <c r="E4" s="18"/>
      <c r="F4" s="19"/>
      <c r="G4" s="19"/>
      <c r="H4" s="18" t="s">
        <v>54</v>
      </c>
      <c r="I4" s="22" t="s">
        <v>83</v>
      </c>
      <c r="J4" s="18"/>
      <c r="K4" s="18"/>
      <c r="L4" s="18"/>
      <c r="O4" s="27" t="s">
        <v>131</v>
      </c>
      <c r="P4" s="25" t="str">
        <f>CONCATENATE(P2," ",P3)</f>
        <v>W II gk</v>
      </c>
      <c r="Q4" t="s">
        <v>108</v>
      </c>
      <c r="T4" s="18" t="s">
        <v>110</v>
      </c>
      <c r="U4" s="18" t="str">
        <f>+Basisinformation!P7</f>
        <v>G</v>
      </c>
      <c r="V4" s="18" t="s">
        <v>111</v>
      </c>
      <c r="W4" s="18" t="str">
        <f>+Basisinformation!P4</f>
        <v>W II gk</v>
      </c>
      <c r="X4" s="18"/>
      <c r="Y4" t="str">
        <f t="shared" si="0"/>
        <v>Bebauungsbestimmungen: G; Widmung: W II gk</v>
      </c>
    </row>
    <row r="5" spans="1:25" x14ac:dyDescent="0.3">
      <c r="A5" s="18" t="s">
        <v>0</v>
      </c>
      <c r="B5" s="18" t="s">
        <v>74</v>
      </c>
      <c r="C5" s="18"/>
      <c r="D5" s="18"/>
      <c r="E5" s="18"/>
      <c r="F5" s="19"/>
      <c r="G5" s="19"/>
      <c r="H5" s="18" t="s">
        <v>55</v>
      </c>
      <c r="I5" s="18" t="s">
        <v>66</v>
      </c>
      <c r="J5" s="18"/>
      <c r="K5" s="18"/>
      <c r="L5" s="18"/>
      <c r="O5" s="27"/>
      <c r="P5" t="str">
        <f>+IF(ISBLANK(O4),"angefordert",LEFT(O4,SEARCH("=",O4)-2))</f>
        <v>G</v>
      </c>
      <c r="T5" s="18" t="s">
        <v>112</v>
      </c>
      <c r="U5" s="18" t="str">
        <f>+Basisinformation!B3</f>
        <v>20</v>
      </c>
      <c r="V5" s="18" t="s">
        <v>113</v>
      </c>
      <c r="W5" s="18"/>
      <c r="X5" s="18"/>
      <c r="Y5" t="str">
        <f t="shared" si="0"/>
        <v>Grundstücksgröße: 20 m²</v>
      </c>
    </row>
    <row r="6" spans="1:25" x14ac:dyDescent="0.3">
      <c r="A6" s="18" t="s">
        <v>1</v>
      </c>
      <c r="B6" s="18" t="s">
        <v>69</v>
      </c>
      <c r="C6" s="18"/>
      <c r="D6" s="18"/>
      <c r="E6" s="18"/>
      <c r="F6" s="19"/>
      <c r="G6" s="19"/>
      <c r="H6" s="31" t="s">
        <v>56</v>
      </c>
      <c r="I6" s="32" t="s">
        <v>87</v>
      </c>
      <c r="J6" s="18"/>
      <c r="K6" s="18"/>
      <c r="L6" s="18"/>
      <c r="O6" s="18"/>
      <c r="P6" t="str">
        <f>+IF(ISBLANK(O5),"angefordert",LEFT(O5,SEARCH("=",O5)-2))</f>
        <v>angefordert</v>
      </c>
      <c r="T6" s="18" t="s">
        <v>114</v>
      </c>
      <c r="U6" s="18" t="str">
        <f>+Basisinformation!B4</f>
        <v>120</v>
      </c>
      <c r="V6" s="18" t="s">
        <v>115</v>
      </c>
      <c r="W6" s="18" t="str">
        <f>+Basisinformation!B7</f>
        <v>34</v>
      </c>
      <c r="X6" s="18" t="s">
        <v>113</v>
      </c>
      <c r="Y6" t="str">
        <f t="shared" si="0"/>
        <v>Erzielbare Wohnnutzfläche laut Architekt: 120 m² WNFL zzgl. gew. Außenflächen von 34 m²</v>
      </c>
    </row>
    <row r="7" spans="1:25" x14ac:dyDescent="0.3">
      <c r="A7" s="18" t="s">
        <v>96</v>
      </c>
      <c r="B7" s="18" t="s">
        <v>74</v>
      </c>
      <c r="C7" s="18"/>
      <c r="D7" s="18"/>
      <c r="E7" s="18"/>
      <c r="F7" s="19"/>
      <c r="G7" s="19"/>
      <c r="H7" s="31" t="s">
        <v>57</v>
      </c>
      <c r="I7" s="31" t="s">
        <v>67</v>
      </c>
      <c r="J7" s="18"/>
      <c r="K7" s="18"/>
      <c r="L7" s="18"/>
      <c r="O7" s="18"/>
      <c r="P7" s="25" t="str">
        <f>+IF(AND(P5="angefordert",P6="angefordert"),"angefordert",CONCATENATE(IF(ISBLANK(O4),,P5),IF(ISBLANK(O5),,P6)))</f>
        <v>G</v>
      </c>
      <c r="Q7" t="s">
        <v>109</v>
      </c>
      <c r="T7" s="18" t="s">
        <v>116</v>
      </c>
      <c r="U7" s="18" t="str">
        <f>+Basisinformation!B5</f>
        <v>34</v>
      </c>
      <c r="V7" s="18" t="s">
        <v>117</v>
      </c>
      <c r="W7" s="18" t="str">
        <f>+Basisinformation!B6</f>
        <v>12</v>
      </c>
      <c r="X7" s="18" t="s">
        <v>118</v>
      </c>
      <c r="Y7" t="str">
        <f t="shared" si="0"/>
        <v>Nutzung: 34 Wohneinheiten mit 12 Garagenstellplätzen</v>
      </c>
    </row>
    <row r="8" spans="1:25" x14ac:dyDescent="0.3">
      <c r="A8" s="31" t="s">
        <v>102</v>
      </c>
      <c r="B8" s="31" t="s">
        <v>75</v>
      </c>
      <c r="C8" s="18"/>
      <c r="D8" s="18"/>
      <c r="E8" s="18"/>
      <c r="F8" s="19"/>
      <c r="G8" s="19"/>
      <c r="H8" s="31" t="s">
        <v>58</v>
      </c>
      <c r="I8" s="31" t="s">
        <v>88</v>
      </c>
      <c r="J8" s="18"/>
      <c r="K8" s="18"/>
      <c r="L8" s="18"/>
      <c r="O8" s="18"/>
      <c r="T8" s="18" t="s">
        <v>119</v>
      </c>
      <c r="U8" s="18">
        <f>+ROUND(Gesamtinvestitionskosten!E15,-4)</f>
        <v>7750000</v>
      </c>
      <c r="V8" s="18" t="s">
        <v>120</v>
      </c>
      <c r="W8" s="18"/>
      <c r="X8" s="18"/>
      <c r="Y8" t="str">
        <f t="shared" si="0"/>
        <v>Gesamtinvestitionskosten: EUR 7750000 (gerundet)</v>
      </c>
    </row>
    <row r="9" spans="1:25" x14ac:dyDescent="0.3">
      <c r="A9" s="31" t="s">
        <v>99</v>
      </c>
      <c r="B9" s="31" t="s">
        <v>69</v>
      </c>
      <c r="C9" s="18"/>
      <c r="D9" s="18"/>
      <c r="E9" s="20"/>
      <c r="F9" s="19"/>
      <c r="G9" s="19"/>
      <c r="H9" s="31" t="s">
        <v>59</v>
      </c>
      <c r="I9" s="31" t="s">
        <v>68</v>
      </c>
      <c r="J9" s="18"/>
      <c r="K9" s="18"/>
      <c r="L9" s="18"/>
      <c r="O9" s="18"/>
      <c r="T9" s="18" t="s">
        <v>121</v>
      </c>
      <c r="U9" s="18">
        <f>+ROUND(Wirtschaftlichkeitsrechnung!E20,-4)</f>
        <v>10260000</v>
      </c>
      <c r="V9" s="18" t="s">
        <v>122</v>
      </c>
      <c r="W9" s="30">
        <f>+ROUND(Wirtschaftlichkeitsrechnung!F4,0)</f>
        <v>10000</v>
      </c>
      <c r="X9" s="18"/>
      <c r="Y9" t="str">
        <f t="shared" si="0"/>
        <v>Prognostizierter Verkaufserlös: EUR 10260000; ø Verkaufspreis EUR 10000</v>
      </c>
    </row>
    <row r="10" spans="1:25" x14ac:dyDescent="0.3">
      <c r="A10" s="18" t="s">
        <v>3</v>
      </c>
      <c r="B10" s="18" t="s">
        <v>125</v>
      </c>
      <c r="C10" s="18"/>
      <c r="D10" s="18"/>
      <c r="E10" s="18"/>
      <c r="F10" s="19"/>
      <c r="G10" s="19"/>
      <c r="H10" s="18"/>
      <c r="I10" s="18"/>
      <c r="J10" s="18"/>
      <c r="K10" s="18"/>
      <c r="L10" s="18"/>
      <c r="T10" s="18" t="s">
        <v>130</v>
      </c>
      <c r="U10" s="18">
        <f>+ROUND(Wirtschaftlichkeitsrechnung!E22,-5)</f>
        <v>2500000</v>
      </c>
      <c r="V10" s="18" t="s">
        <v>127</v>
      </c>
      <c r="W10" s="20">
        <f>+Wirtschaftlichkeitsrechnung!E23</f>
        <v>0.32334413683406937</v>
      </c>
      <c r="X10" s="18" t="s">
        <v>128</v>
      </c>
      <c r="Y10" t="str">
        <f>+CONCATENATE(T10,U10,V10,ROUND(W10*100,2),X10)</f>
        <v>Gewinn: EUR 2500000 (gerundet ROI 32,33%)</v>
      </c>
    </row>
    <row r="11" spans="1:25" x14ac:dyDescent="0.3">
      <c r="A11" s="23" t="s">
        <v>4</v>
      </c>
      <c r="B11" s="23" t="s">
        <v>126</v>
      </c>
      <c r="C11" s="23"/>
      <c r="D11" s="23"/>
      <c r="E11" s="23"/>
      <c r="F11" s="19"/>
      <c r="G11" s="19"/>
      <c r="H11" s="18"/>
      <c r="I11" s="18"/>
      <c r="J11" s="18"/>
      <c r="K11" s="18"/>
      <c r="L11" s="18"/>
      <c r="T11" s="18" t="s">
        <v>123</v>
      </c>
      <c r="U11" s="18" t="str">
        <f>+Basisinformation!B10</f>
        <v>Q4/2025</v>
      </c>
      <c r="V11" s="18"/>
      <c r="W11" s="18"/>
      <c r="X11" s="18"/>
      <c r="Y11" t="str">
        <f>+CONCATENATE(T11,U11,V11,W11)</f>
        <v>Ziel-Baubeginn: Q4/2025</v>
      </c>
    </row>
    <row r="12" spans="1:25" x14ac:dyDescent="0.3">
      <c r="A12" s="31" t="s">
        <v>2</v>
      </c>
      <c r="B12" s="3" t="s">
        <v>74</v>
      </c>
      <c r="C12" s="1"/>
      <c r="D12" s="1"/>
      <c r="E12" s="1"/>
      <c r="T12" s="18" t="s">
        <v>124</v>
      </c>
      <c r="U12" s="18" t="str">
        <f>+Basisinformation!B11</f>
        <v>Q2/2026</v>
      </c>
      <c r="V12" s="18"/>
      <c r="W12" s="18"/>
      <c r="X12" s="18"/>
      <c r="Y12" t="str">
        <f>+CONCATENATE(T12,U12,V12,W12)</f>
        <v>Ziel-Fertigstellung: Q2/2026</v>
      </c>
    </row>
  </sheetData>
  <mergeCells count="2">
    <mergeCell ref="A1:E1"/>
    <mergeCell ref="H1:L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1B2F-3DBF-489E-A2D4-48405C39BCBA}">
  <dimension ref="A1:F13"/>
  <sheetViews>
    <sheetView workbookViewId="0">
      <selection activeCell="B4" sqref="B4"/>
    </sheetView>
  </sheetViews>
  <sheetFormatPr defaultColWidth="9.109375" defaultRowHeight="14.4" x14ac:dyDescent="0.3"/>
  <cols>
    <col min="1" max="1" width="29.88671875" bestFit="1" customWidth="1" collapsed="1"/>
    <col min="2" max="2" width="7.88671875" bestFit="1" customWidth="1" collapsed="1"/>
    <col min="3" max="3" width="18.88671875" bestFit="1" customWidth="1" collapsed="1"/>
    <col min="6" max="6" width="23.109375" bestFit="1" customWidth="1" collapsed="1"/>
  </cols>
  <sheetData>
    <row r="1" spans="1:6" x14ac:dyDescent="0.3">
      <c r="A1" t="s">
        <v>100</v>
      </c>
    </row>
    <row r="2" spans="1:6" ht="18" x14ac:dyDescent="0.35">
      <c r="A2" s="8" t="s">
        <v>129</v>
      </c>
      <c r="B2" s="8" t="s">
        <v>81</v>
      </c>
      <c r="C2" s="8" t="s">
        <v>82</v>
      </c>
      <c r="F2" s="8" t="s">
        <v>80</v>
      </c>
    </row>
    <row r="3" spans="1:6" x14ac:dyDescent="0.3">
      <c r="A3" s="1"/>
      <c r="B3" s="1"/>
      <c r="C3" s="1"/>
      <c r="F3" s="1" t="s">
        <v>85</v>
      </c>
    </row>
    <row r="4" spans="1:6" x14ac:dyDescent="0.3">
      <c r="A4" s="1" t="s">
        <v>76</v>
      </c>
      <c r="B4" s="1">
        <v>8</v>
      </c>
      <c r="C4" s="1">
        <v>8</v>
      </c>
      <c r="F4" s="1" t="s">
        <v>85</v>
      </c>
    </row>
    <row r="5" spans="1:6" x14ac:dyDescent="0.3">
      <c r="A5" s="1" t="s">
        <v>77</v>
      </c>
      <c r="B5" s="1">
        <v>8</v>
      </c>
      <c r="C5" s="1">
        <v>8</v>
      </c>
      <c r="F5" s="1" t="s">
        <v>85</v>
      </c>
    </row>
    <row r="6" spans="1:6" x14ac:dyDescent="0.3">
      <c r="A6" s="1" t="s">
        <v>78</v>
      </c>
      <c r="B6" s="1">
        <v>8</v>
      </c>
      <c r="C6" s="1">
        <v>8</v>
      </c>
      <c r="F6" s="1" t="s">
        <v>85</v>
      </c>
    </row>
    <row r="7" spans="1:6" x14ac:dyDescent="0.3">
      <c r="A7" s="1" t="s">
        <v>79</v>
      </c>
      <c r="B7" s="1">
        <v>8</v>
      </c>
      <c r="C7" s="1">
        <v>8</v>
      </c>
      <c r="F7" s="1" t="s">
        <v>85</v>
      </c>
    </row>
    <row r="8" spans="1:6" x14ac:dyDescent="0.3">
      <c r="A8" s="1"/>
      <c r="B8" s="1"/>
      <c r="C8" s="1"/>
      <c r="F8" s="1" t="s">
        <v>85</v>
      </c>
    </row>
    <row r="9" spans="1:6" x14ac:dyDescent="0.3">
      <c r="A9" s="14"/>
      <c r="B9" s="1"/>
      <c r="C9" s="1"/>
      <c r="F9" s="1" t="s">
        <v>85</v>
      </c>
    </row>
    <row r="10" spans="1:6" x14ac:dyDescent="0.3">
      <c r="A10" s="1"/>
      <c r="B10" s="1"/>
      <c r="C10" s="1"/>
      <c r="F10" s="1" t="s">
        <v>85</v>
      </c>
    </row>
    <row r="11" spans="1:6" x14ac:dyDescent="0.3">
      <c r="A11" s="1"/>
      <c r="B11" s="15"/>
      <c r="C11" s="15"/>
      <c r="F11" s="1" t="s">
        <v>85</v>
      </c>
    </row>
    <row r="12" spans="1:6" x14ac:dyDescent="0.3">
      <c r="A12" s="1"/>
      <c r="B12" s="15"/>
      <c r="C12" s="15"/>
      <c r="F12" s="1" t="s">
        <v>85</v>
      </c>
    </row>
    <row r="13" spans="1:6" x14ac:dyDescent="0.3">
      <c r="A13" s="1"/>
      <c r="B13" s="15"/>
      <c r="C13" s="15"/>
      <c r="F13" s="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B394-FC16-4981-9813-BB2630F00164}">
  <dimension ref="A1:A10"/>
  <sheetViews>
    <sheetView tabSelected="1" workbookViewId="0">
      <selection activeCell="B5" sqref="B5"/>
    </sheetView>
  </sheetViews>
  <sheetFormatPr defaultRowHeight="14.4" x14ac:dyDescent="0.3"/>
  <cols>
    <col min="1" max="1" width="32.21875" bestFit="1" customWidth="1"/>
  </cols>
  <sheetData>
    <row r="1" spans="1:1" ht="18" x14ac:dyDescent="0.35">
      <c r="A1" s="24" t="s">
        <v>107</v>
      </c>
    </row>
    <row r="2" spans="1:1" x14ac:dyDescent="0.3">
      <c r="A2" s="18" t="str">
        <f>+CONCATENATE(Basisinformation!I3,", ",Basisinformation!I4," ",Basisinformation!I5)</f>
        <v>Braumüllergasse 21, 1170 Wien</v>
      </c>
    </row>
    <row r="3" spans="1:1" x14ac:dyDescent="0.3">
      <c r="A3" s="18" t="str" cm="1">
        <f t="array" ref="A3:A4">+Basisinformation!O2:O3</f>
        <v>W II = Bauklasse 2</v>
      </c>
    </row>
    <row r="4" spans="1:1" x14ac:dyDescent="0.3">
      <c r="A4" s="18" t="str">
        <v>gk = gekuppelte Bauweise</v>
      </c>
    </row>
    <row r="5" spans="1:1" x14ac:dyDescent="0.3">
      <c r="A5" s="27" t="str">
        <f>+IF(ISBLANK(Basisinformation!O4),"",Basisinformation!O4)</f>
        <v>G = Gärtnerische Ausgestaltung</v>
      </c>
    </row>
    <row r="6" spans="1:1" x14ac:dyDescent="0.3">
      <c r="A6" s="27" t="str">
        <f>+IF(ISBLANK(Basisinformation!O5),"",Basisinformation!O5)</f>
        <v/>
      </c>
    </row>
    <row r="7" spans="1:1" x14ac:dyDescent="0.3">
      <c r="A7" s="27" t="str">
        <f>+IF(ISBLANK(Basisinformation!O6),"",Basisinformation!O6)</f>
        <v/>
      </c>
    </row>
    <row r="8" spans="1:1" x14ac:dyDescent="0.3">
      <c r="A8" s="27" t="str">
        <f>+IF(ISBLANK(Basisinformation!O7),"",Basisinformation!O7)</f>
        <v/>
      </c>
    </row>
    <row r="9" spans="1:1" x14ac:dyDescent="0.3">
      <c r="A9" s="27" t="str">
        <f>+IF(ISBLANK(Basisinformation!O8),"",Basisinformation!O8)</f>
        <v/>
      </c>
    </row>
    <row r="10" spans="1:1" x14ac:dyDescent="0.3">
      <c r="A10" s="27" t="str">
        <f>+IF(ISBLANK(Basisinformation!O9),"",Basisinformation!O9)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66AFC-3CC1-4339-B554-0D5829A53635}">
  <dimension ref="A1:G22"/>
  <sheetViews>
    <sheetView workbookViewId="0">
      <selection activeCell="D11" sqref="D11"/>
    </sheetView>
  </sheetViews>
  <sheetFormatPr defaultColWidth="9" defaultRowHeight="14.4" x14ac:dyDescent="0.3"/>
  <cols>
    <col min="1" max="1" width="31.109375" customWidth="1" collapsed="1"/>
    <col min="2" max="3" width="10.6640625" bestFit="1" customWidth="1" collapsed="1"/>
    <col min="4" max="4" width="11.88671875" customWidth="1" collapsed="1"/>
  </cols>
  <sheetData>
    <row r="1" spans="1:7" x14ac:dyDescent="0.3">
      <c r="A1" s="37" t="s">
        <v>91</v>
      </c>
      <c r="B1" s="37"/>
      <c r="C1" s="37"/>
      <c r="D1" s="37"/>
      <c r="E1" s="37"/>
      <c r="F1" s="37"/>
      <c r="G1" s="37"/>
    </row>
    <row r="2" spans="1:7" ht="18" x14ac:dyDescent="0.35">
      <c r="A2" s="8"/>
      <c r="B2" s="8" t="s">
        <v>5</v>
      </c>
      <c r="C2" s="8" t="s">
        <v>6</v>
      </c>
      <c r="D2" s="8" t="s">
        <v>8</v>
      </c>
      <c r="E2" s="8" t="s">
        <v>7</v>
      </c>
      <c r="F2" s="8" t="s">
        <v>8</v>
      </c>
      <c r="G2" s="8"/>
    </row>
    <row r="3" spans="1:7" x14ac:dyDescent="0.3">
      <c r="A3" s="1" t="s">
        <v>9</v>
      </c>
      <c r="B3" s="1">
        <v>2530800</v>
      </c>
      <c r="C3" s="3">
        <f>B3*B22</f>
        <v>25308</v>
      </c>
      <c r="D3" s="17">
        <f>+B22</f>
        <v>0.01</v>
      </c>
      <c r="E3" s="3">
        <f t="shared" ref="E3:E11" si="0">B3+C3</f>
        <v>2556108</v>
      </c>
      <c r="F3" s="2">
        <f t="shared" ref="F3:F11" si="1">$E3/$E$15</f>
        <v>0.32971195228077765</v>
      </c>
      <c r="G3" s="1"/>
    </row>
    <row r="4" spans="1:7" x14ac:dyDescent="0.3">
      <c r="A4" s="1" t="s">
        <v>10</v>
      </c>
      <c r="B4" s="1">
        <v>85892</v>
      </c>
      <c r="C4" s="3">
        <f t="shared" ref="C4:C10" si="2">B4*$B$21</f>
        <v>17178.400000000001</v>
      </c>
      <c r="D4" s="6">
        <f t="shared" ref="D4:D10" si="3">C4/B4</f>
        <v>0.2</v>
      </c>
      <c r="E4" s="3">
        <f t="shared" si="0"/>
        <v>103070.39999999999</v>
      </c>
      <c r="F4" s="2">
        <f t="shared" si="1"/>
        <v>1.329503401513577E-2</v>
      </c>
      <c r="G4" s="1"/>
    </row>
    <row r="5" spans="1:7" x14ac:dyDescent="0.3">
      <c r="A5" s="1" t="s">
        <v>11</v>
      </c>
      <c r="B5" s="1">
        <v>2475206</v>
      </c>
      <c r="C5" s="3">
        <f>B5*$B$21</f>
        <v>495041.2</v>
      </c>
      <c r="D5" s="6">
        <f>C5/B5</f>
        <v>0.2</v>
      </c>
      <c r="E5" s="3">
        <f t="shared" si="0"/>
        <v>2970247.2</v>
      </c>
      <c r="F5" s="2">
        <f t="shared" si="1"/>
        <v>0.38313169986108314</v>
      </c>
      <c r="G5" s="1"/>
    </row>
    <row r="6" spans="1:7" x14ac:dyDescent="0.3">
      <c r="A6" s="1" t="s">
        <v>12</v>
      </c>
      <c r="B6" s="1">
        <v>212558</v>
      </c>
      <c r="C6" s="3">
        <f t="shared" si="2"/>
        <v>42511.600000000006</v>
      </c>
      <c r="D6" s="6">
        <f t="shared" si="3"/>
        <v>0.20000000000000004</v>
      </c>
      <c r="E6" s="3">
        <f t="shared" si="0"/>
        <v>255069.6</v>
      </c>
      <c r="F6" s="2">
        <f t="shared" si="1"/>
        <v>3.2901385928715471E-2</v>
      </c>
      <c r="G6" s="1"/>
    </row>
    <row r="7" spans="1:7" x14ac:dyDescent="0.3">
      <c r="A7" s="1" t="s">
        <v>13</v>
      </c>
      <c r="B7" s="1">
        <v>612366</v>
      </c>
      <c r="C7" s="3">
        <f t="shared" si="2"/>
        <v>122473.20000000001</v>
      </c>
      <c r="D7" s="6">
        <f t="shared" si="3"/>
        <v>0.2</v>
      </c>
      <c r="E7" s="3">
        <f t="shared" si="0"/>
        <v>734839.2</v>
      </c>
      <c r="F7" s="2">
        <f t="shared" si="1"/>
        <v>9.4786788056077764E-2</v>
      </c>
      <c r="G7" s="5"/>
    </row>
    <row r="8" spans="1:7" x14ac:dyDescent="0.3">
      <c r="A8" s="1" t="s">
        <v>14</v>
      </c>
      <c r="B8" s="1">
        <v>39881</v>
      </c>
      <c r="C8" s="3">
        <f t="shared" si="2"/>
        <v>7976.2000000000007</v>
      </c>
      <c r="D8" s="6">
        <f t="shared" si="3"/>
        <v>0.2</v>
      </c>
      <c r="E8" s="3">
        <f t="shared" si="0"/>
        <v>47857.2</v>
      </c>
      <c r="F8" s="2">
        <f t="shared" si="1"/>
        <v>6.1730923899505153E-3</v>
      </c>
      <c r="G8" s="1"/>
    </row>
    <row r="9" spans="1:7" x14ac:dyDescent="0.3">
      <c r="A9" s="1" t="s">
        <v>15</v>
      </c>
      <c r="B9" s="1">
        <v>101581</v>
      </c>
      <c r="C9" s="3">
        <f t="shared" si="2"/>
        <v>20316.2</v>
      </c>
      <c r="D9" s="6">
        <f t="shared" si="3"/>
        <v>0.2</v>
      </c>
      <c r="E9" s="3">
        <f t="shared" si="0"/>
        <v>121897.2</v>
      </c>
      <c r="F9" s="2">
        <f t="shared" si="1"/>
        <v>1.572349986368354E-2</v>
      </c>
      <c r="G9" s="1"/>
    </row>
    <row r="10" spans="1:7" x14ac:dyDescent="0.3">
      <c r="A10" s="1" t="s">
        <v>16</v>
      </c>
      <c r="B10" s="1">
        <v>52000</v>
      </c>
      <c r="C10" s="3">
        <f t="shared" si="2"/>
        <v>10400</v>
      </c>
      <c r="D10" s="6">
        <f t="shared" si="3"/>
        <v>0.2</v>
      </c>
      <c r="E10" s="3">
        <f t="shared" si="0"/>
        <v>62400</v>
      </c>
      <c r="F10" s="2">
        <f t="shared" si="1"/>
        <v>8.0489657801315617E-3</v>
      </c>
      <c r="G10" s="1"/>
    </row>
    <row r="11" spans="1:7" x14ac:dyDescent="0.3">
      <c r="A11" s="1" t="s">
        <v>17</v>
      </c>
      <c r="B11" s="9">
        <v>901060</v>
      </c>
      <c r="C11" s="3">
        <v>0</v>
      </c>
      <c r="D11" s="6">
        <v>0.12</v>
      </c>
      <c r="E11" s="3">
        <f t="shared" si="0"/>
        <v>901060</v>
      </c>
      <c r="F11" s="2">
        <f t="shared" si="1"/>
        <v>0.11622758182444463</v>
      </c>
      <c r="G11" s="1"/>
    </row>
    <row r="12" spans="1:7" x14ac:dyDescent="0.3">
      <c r="A12" s="1"/>
      <c r="B12" s="1"/>
      <c r="C12" s="1"/>
      <c r="D12" s="6"/>
      <c r="E12" s="1"/>
      <c r="F12" s="1"/>
      <c r="G12" s="1"/>
    </row>
    <row r="13" spans="1:7" x14ac:dyDescent="0.3">
      <c r="A13" s="1" t="s">
        <v>18</v>
      </c>
      <c r="B13" s="3">
        <f>SUM(B3:B11)</f>
        <v>7011344</v>
      </c>
      <c r="C13" s="3">
        <f>SUM(C3:C11)</f>
        <v>741204.79999999981</v>
      </c>
      <c r="D13" s="4">
        <f>C13/B13</f>
        <v>0.10571508115990312</v>
      </c>
      <c r="E13" s="10">
        <f>B13+C13</f>
        <v>7752548.7999999998</v>
      </c>
      <c r="F13" s="4">
        <f>SUM(F3:F11)</f>
        <v>1</v>
      </c>
      <c r="G13" s="1"/>
    </row>
    <row r="14" spans="1:7" x14ac:dyDescent="0.3">
      <c r="A14" s="1" t="s">
        <v>19</v>
      </c>
      <c r="B14" s="1"/>
      <c r="C14" s="1"/>
      <c r="D14" s="1"/>
      <c r="E14" s="1"/>
      <c r="F14" s="1"/>
      <c r="G14" s="1"/>
    </row>
    <row r="15" spans="1:7" x14ac:dyDescent="0.3">
      <c r="A15" s="1" t="s">
        <v>20</v>
      </c>
      <c r="B15" s="3">
        <f>B13</f>
        <v>7011344</v>
      </c>
      <c r="C15" s="3">
        <f>C13</f>
        <v>741204.79999999981</v>
      </c>
      <c r="D15" s="3">
        <f>D13</f>
        <v>0.10571508115990312</v>
      </c>
      <c r="E15" s="10">
        <f>E13</f>
        <v>7752548.7999999998</v>
      </c>
      <c r="F15" s="4">
        <f>F13</f>
        <v>1</v>
      </c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21" spans="1:7" x14ac:dyDescent="0.3">
      <c r="A21" t="s">
        <v>21</v>
      </c>
      <c r="B21" s="11">
        <v>0.2</v>
      </c>
    </row>
    <row r="22" spans="1:7" x14ac:dyDescent="0.3">
      <c r="A22" t="s">
        <v>22</v>
      </c>
      <c r="B22" s="12">
        <v>0.01</v>
      </c>
      <c r="C22" t="s">
        <v>23</v>
      </c>
    </row>
  </sheetData>
  <mergeCells count="1">
    <mergeCell ref="A1:G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36-E6A3-4E31-88A7-DF1DE6751CED}">
  <dimension ref="A1:AL12"/>
  <sheetViews>
    <sheetView workbookViewId="0">
      <selection activeCell="H12" sqref="H12"/>
    </sheetView>
  </sheetViews>
  <sheetFormatPr defaultColWidth="9"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  <col min="9" max="9" width="20.6640625" customWidth="1" collapsed="1"/>
    <col min="10" max="11" width="10.6640625" customWidth="1" collapsed="1"/>
    <col min="12" max="12" width="20.6640625" customWidth="1" collapsed="1"/>
    <col min="13" max="14" width="10.6640625" customWidth="1" collapsed="1"/>
    <col min="17" max="17" width="20.6640625" customWidth="1" collapsed="1"/>
    <col min="18" max="19" width="10.6640625" customWidth="1" collapsed="1"/>
    <col min="20" max="20" width="20.6640625" customWidth="1" collapsed="1"/>
    <col min="21" max="22" width="10.6640625" customWidth="1" collapsed="1"/>
    <col min="25" max="25" width="20.6640625" customWidth="1" collapsed="1"/>
    <col min="26" max="27" width="10.6640625" customWidth="1" collapsed="1"/>
    <col min="28" max="28" width="20.6640625" customWidth="1" collapsed="1"/>
    <col min="29" max="30" width="10.6640625" customWidth="1" collapsed="1"/>
    <col min="33" max="33" width="20.6640625" customWidth="1" collapsed="1"/>
    <col min="34" max="35" width="10.6640625" customWidth="1" collapsed="1"/>
    <col min="36" max="36" width="20.6640625" customWidth="1" collapsed="1"/>
    <col min="37" max="38" width="10.6640625" customWidth="1" collapsed="1"/>
  </cols>
  <sheetData>
    <row r="1" spans="1:38" x14ac:dyDescent="0.3">
      <c r="A1" s="37" t="s">
        <v>92</v>
      </c>
      <c r="B1" s="37"/>
      <c r="C1" s="37"/>
      <c r="D1" s="37"/>
      <c r="E1" s="37"/>
      <c r="F1" s="37"/>
      <c r="I1" s="37" t="s">
        <v>92</v>
      </c>
      <c r="J1" s="37"/>
      <c r="K1" s="37"/>
      <c r="L1" s="37"/>
      <c r="M1" s="37"/>
      <c r="N1" s="37"/>
      <c r="Q1" s="37" t="s">
        <v>92</v>
      </c>
      <c r="R1" s="37"/>
      <c r="S1" s="37"/>
      <c r="T1" s="37"/>
      <c r="U1" s="37"/>
      <c r="V1" s="37"/>
      <c r="Y1" s="37" t="s">
        <v>92</v>
      </c>
      <c r="Z1" s="37"/>
      <c r="AA1" s="37"/>
      <c r="AB1" s="37"/>
      <c r="AC1" s="37"/>
      <c r="AD1" s="37"/>
      <c r="AG1" s="37" t="s">
        <v>92</v>
      </c>
      <c r="AH1" s="37"/>
      <c r="AI1" s="37"/>
      <c r="AJ1" s="37"/>
      <c r="AK1" s="37"/>
      <c r="AL1" s="37"/>
    </row>
    <row r="2" spans="1:38" ht="30" customHeight="1" x14ac:dyDescent="0.35">
      <c r="A2" s="38" t="s">
        <v>24</v>
      </c>
      <c r="B2" s="38"/>
      <c r="C2" s="38"/>
      <c r="D2" s="39" t="s">
        <v>25</v>
      </c>
      <c r="E2" s="40"/>
      <c r="F2" s="41"/>
      <c r="I2" s="38" t="s">
        <v>24</v>
      </c>
      <c r="J2" s="38"/>
      <c r="K2" s="38"/>
      <c r="L2" s="39" t="s">
        <v>25</v>
      </c>
      <c r="M2" s="40"/>
      <c r="N2" s="41"/>
      <c r="Q2" s="38" t="s">
        <v>24</v>
      </c>
      <c r="R2" s="38"/>
      <c r="S2" s="38"/>
      <c r="T2" s="39" t="s">
        <v>25</v>
      </c>
      <c r="U2" s="40"/>
      <c r="V2" s="41"/>
      <c r="Y2" s="38" t="s">
        <v>24</v>
      </c>
      <c r="Z2" s="38"/>
      <c r="AA2" s="38"/>
      <c r="AB2" s="39" t="s">
        <v>25</v>
      </c>
      <c r="AC2" s="40"/>
      <c r="AD2" s="41"/>
      <c r="AG2" s="38" t="s">
        <v>24</v>
      </c>
      <c r="AH2" s="38"/>
      <c r="AI2" s="38"/>
      <c r="AJ2" s="39" t="s">
        <v>25</v>
      </c>
      <c r="AK2" s="40"/>
      <c r="AL2" s="41"/>
    </row>
    <row r="3" spans="1:38" ht="30" customHeight="1" x14ac:dyDescent="0.3">
      <c r="A3" s="1" t="s">
        <v>26</v>
      </c>
      <c r="B3" s="1">
        <v>10</v>
      </c>
      <c r="C3" s="2">
        <f>$B3/$B8</f>
        <v>9.1743119266055051E-2</v>
      </c>
      <c r="D3" s="1" t="s">
        <v>27</v>
      </c>
      <c r="E3" s="1">
        <v>20</v>
      </c>
      <c r="F3" s="2">
        <f>$E3/$E8</f>
        <v>0.5714285714285714</v>
      </c>
      <c r="I3" s="1" t="s">
        <v>26</v>
      </c>
      <c r="J3" s="1">
        <v>123</v>
      </c>
      <c r="K3" s="2">
        <f>$J3/$J7</f>
        <v>0.55405405405405406</v>
      </c>
      <c r="L3" s="1" t="s">
        <v>27</v>
      </c>
      <c r="M3" s="1">
        <v>234</v>
      </c>
      <c r="N3" s="2">
        <f>$M3/$M7</f>
        <v>0.20689655172413793</v>
      </c>
      <c r="Q3" s="1" t="s">
        <v>26</v>
      </c>
      <c r="R3" s="1">
        <v>2</v>
      </c>
      <c r="S3" s="2">
        <f>$R3/$R9</f>
        <v>1.9801980198019802E-2</v>
      </c>
      <c r="T3" s="1" t="s">
        <v>27</v>
      </c>
      <c r="U3" s="1">
        <v>1</v>
      </c>
      <c r="V3" s="2">
        <f>$U3/$U9</f>
        <v>1.2345679012345678E-2</v>
      </c>
      <c r="Y3" s="1" t="s">
        <v>26</v>
      </c>
      <c r="Z3" s="1">
        <v>10</v>
      </c>
      <c r="AA3" s="2">
        <f>$Z3/$Z10</f>
        <v>9.1743119266055051E-2</v>
      </c>
      <c r="AB3" s="1" t="s">
        <v>27</v>
      </c>
      <c r="AC3" s="1">
        <v>20</v>
      </c>
      <c r="AD3" s="2">
        <f>$AC3/$AC10</f>
        <v>0.37735849056603776</v>
      </c>
      <c r="AG3" s="1" t="s">
        <v>26</v>
      </c>
      <c r="AH3" s="1">
        <v>1</v>
      </c>
      <c r="AI3" s="2">
        <f>$AH3/$AH11</f>
        <v>0.01</v>
      </c>
      <c r="AJ3" s="1" t="s">
        <v>27</v>
      </c>
      <c r="AK3" s="1">
        <v>2</v>
      </c>
      <c r="AL3" s="2">
        <f>$AK3/$AK11</f>
        <v>1.1428571428571429E-2</v>
      </c>
    </row>
    <row r="4" spans="1:38" ht="30" customHeight="1" x14ac:dyDescent="0.3">
      <c r="A4" s="1" t="s">
        <v>28</v>
      </c>
      <c r="B4" s="16">
        <v>99</v>
      </c>
      <c r="C4" s="2">
        <f>$B4/$B8</f>
        <v>0.90825688073394495</v>
      </c>
      <c r="D4" s="13" t="s">
        <v>63</v>
      </c>
      <c r="E4" s="1">
        <v>1</v>
      </c>
      <c r="F4" s="2">
        <f>$E4/$E8</f>
        <v>2.8571428571428571E-2</v>
      </c>
      <c r="I4" s="1" t="s">
        <v>28</v>
      </c>
      <c r="J4" s="16">
        <v>99</v>
      </c>
      <c r="K4" s="2">
        <f>$J4/$J7</f>
        <v>0.44594594594594594</v>
      </c>
      <c r="L4" s="13" t="s">
        <v>63</v>
      </c>
      <c r="M4" s="1">
        <v>555</v>
      </c>
      <c r="N4" s="2">
        <f>$M4/$M7</f>
        <v>0.49071618037135278</v>
      </c>
      <c r="Q4" s="1" t="s">
        <v>28</v>
      </c>
      <c r="R4" s="16">
        <v>99</v>
      </c>
      <c r="S4" s="2">
        <f>$R4/$R9</f>
        <v>0.98019801980198018</v>
      </c>
      <c r="T4" s="13" t="s">
        <v>63</v>
      </c>
      <c r="U4" s="1">
        <v>10</v>
      </c>
      <c r="V4" s="2">
        <f>$U4/$U9</f>
        <v>0.12345679012345678</v>
      </c>
      <c r="Y4" s="1" t="s">
        <v>28</v>
      </c>
      <c r="Z4" s="16">
        <v>99</v>
      </c>
      <c r="AA4" s="2">
        <f>$Z4/$Z10</f>
        <v>0.90825688073394495</v>
      </c>
      <c r="AB4" s="13" t="s">
        <v>63</v>
      </c>
      <c r="AC4" s="1">
        <v>1</v>
      </c>
      <c r="AD4" s="2">
        <f>$AC4/$AC10</f>
        <v>1.8867924528301886E-2</v>
      </c>
      <c r="AG4" s="1" t="s">
        <v>28</v>
      </c>
      <c r="AH4" s="16">
        <v>99</v>
      </c>
      <c r="AI4" s="2">
        <f>$AH4/$AH11</f>
        <v>0.99</v>
      </c>
      <c r="AJ4" s="13" t="s">
        <v>63</v>
      </c>
      <c r="AK4" s="1">
        <v>23</v>
      </c>
      <c r="AL4" s="2">
        <f>$AK4/$AK11</f>
        <v>0.13142857142857142</v>
      </c>
    </row>
    <row r="5" spans="1:38" ht="30" customHeight="1" x14ac:dyDescent="0.3">
      <c r="A5" s="1"/>
      <c r="B5" s="1"/>
      <c r="C5" s="3"/>
      <c r="D5" s="13" t="s">
        <v>62</v>
      </c>
      <c r="E5" s="1">
        <v>2</v>
      </c>
      <c r="F5" s="2">
        <f>$E5/$E8</f>
        <v>5.7142857142857141E-2</v>
      </c>
      <c r="I5" s="1"/>
      <c r="J5" s="1"/>
      <c r="K5" s="3"/>
      <c r="L5" s="1" t="s">
        <v>29</v>
      </c>
      <c r="M5" s="1">
        <v>342</v>
      </c>
      <c r="N5" s="2">
        <f>$M5/$M7</f>
        <v>0.30238726790450926</v>
      </c>
      <c r="Q5" s="1"/>
      <c r="R5" s="1"/>
      <c r="S5" s="3"/>
      <c r="T5" s="13" t="s">
        <v>62</v>
      </c>
      <c r="U5" s="1">
        <v>23</v>
      </c>
      <c r="V5" s="2">
        <f>$U5/$U9</f>
        <v>0.2839506172839506</v>
      </c>
      <c r="Y5" s="1"/>
      <c r="Z5" s="1"/>
      <c r="AA5" s="3"/>
      <c r="AB5" s="13" t="s">
        <v>62</v>
      </c>
      <c r="AC5" s="1">
        <v>2</v>
      </c>
      <c r="AD5" s="2">
        <f>$AC5/$AC10</f>
        <v>3.7735849056603772E-2</v>
      </c>
      <c r="AG5" s="1"/>
      <c r="AH5" s="1"/>
      <c r="AI5" s="3"/>
      <c r="AJ5" s="13" t="s">
        <v>62</v>
      </c>
      <c r="AK5" s="1">
        <v>34</v>
      </c>
      <c r="AL5" s="2">
        <f>$AK5/$AK11</f>
        <v>0.19428571428571428</v>
      </c>
    </row>
    <row r="6" spans="1:38" ht="30" customHeight="1" x14ac:dyDescent="0.3">
      <c r="A6" s="1"/>
      <c r="B6" s="1"/>
      <c r="C6" s="3"/>
      <c r="D6" s="1" t="s">
        <v>29</v>
      </c>
      <c r="E6" s="1">
        <v>12</v>
      </c>
      <c r="F6" s="2">
        <f>$E6/$E8</f>
        <v>0.34285714285714286</v>
      </c>
      <c r="I6" s="1"/>
      <c r="J6" s="1"/>
      <c r="K6" s="3"/>
      <c r="L6" s="1"/>
      <c r="M6" s="1"/>
      <c r="N6" s="2"/>
      <c r="Q6" s="1"/>
      <c r="R6" s="1"/>
      <c r="S6" s="3"/>
      <c r="T6" s="13" t="s">
        <v>61</v>
      </c>
      <c r="U6" s="1">
        <v>45</v>
      </c>
      <c r="V6" s="2">
        <f>$U6/$U9</f>
        <v>0.55555555555555558</v>
      </c>
      <c r="Y6" s="1"/>
      <c r="Z6" s="1"/>
      <c r="AA6" s="3"/>
      <c r="AB6" s="13" t="s">
        <v>61</v>
      </c>
      <c r="AC6" s="1">
        <v>3</v>
      </c>
      <c r="AD6" s="2">
        <f>$AC6/$AC10</f>
        <v>5.6603773584905662E-2</v>
      </c>
      <c r="AG6" s="1"/>
      <c r="AH6" s="1"/>
      <c r="AI6" s="3"/>
      <c r="AJ6" s="13" t="s">
        <v>61</v>
      </c>
      <c r="AK6" s="1">
        <v>89</v>
      </c>
      <c r="AL6" s="2">
        <f>$AK6/$AK11</f>
        <v>0.50857142857142856</v>
      </c>
    </row>
    <row r="7" spans="1:38" ht="30" customHeight="1" x14ac:dyDescent="0.3">
      <c r="A7" s="1"/>
      <c r="B7" s="1"/>
      <c r="C7" s="3"/>
      <c r="D7" s="1"/>
      <c r="E7" s="1"/>
      <c r="F7" s="2"/>
      <c r="I7" s="1" t="s">
        <v>30</v>
      </c>
      <c r="J7" s="3">
        <f>SUM(J3:J6)</f>
        <v>222</v>
      </c>
      <c r="K7" s="4">
        <f>SUM(K3:K6)</f>
        <v>1</v>
      </c>
      <c r="L7" s="3"/>
      <c r="M7" s="10">
        <f>SUM(M3:M6)</f>
        <v>1131</v>
      </c>
      <c r="N7" s="4">
        <f>SUM(N3:N6)</f>
        <v>1</v>
      </c>
      <c r="Q7" s="1"/>
      <c r="R7" s="1"/>
      <c r="S7" s="3"/>
      <c r="T7" s="1" t="s">
        <v>29</v>
      </c>
      <c r="U7" s="1">
        <v>2</v>
      </c>
      <c r="V7" s="2">
        <f>$U7/$U9</f>
        <v>2.4691358024691357E-2</v>
      </c>
      <c r="Y7" s="1"/>
      <c r="Z7" s="1"/>
      <c r="AA7" s="3"/>
      <c r="AB7" s="13" t="s">
        <v>64</v>
      </c>
      <c r="AC7" s="1">
        <v>4</v>
      </c>
      <c r="AD7" s="2">
        <f>$AC7/$AC10</f>
        <v>7.5471698113207544E-2</v>
      </c>
      <c r="AG7" s="1"/>
      <c r="AH7" s="1"/>
      <c r="AI7" s="3"/>
      <c r="AJ7" s="13" t="s">
        <v>64</v>
      </c>
      <c r="AK7" s="1">
        <v>12</v>
      </c>
      <c r="AL7" s="2">
        <f>$AK7/$AK11</f>
        <v>6.8571428571428575E-2</v>
      </c>
    </row>
    <row r="8" spans="1:38" ht="30" customHeight="1" x14ac:dyDescent="0.3">
      <c r="A8" s="1" t="s">
        <v>30</v>
      </c>
      <c r="B8" s="3">
        <f>SUM(B3:B7)</f>
        <v>109</v>
      </c>
      <c r="C8" s="4">
        <f>SUM(C3:C7)</f>
        <v>1</v>
      </c>
      <c r="D8" s="3"/>
      <c r="E8" s="10">
        <f>SUM(E3:E7)</f>
        <v>35</v>
      </c>
      <c r="F8" s="4">
        <f>SUM(F3:F7)</f>
        <v>1</v>
      </c>
      <c r="Q8" s="1"/>
      <c r="R8" s="1"/>
      <c r="S8" s="3"/>
      <c r="T8" s="1"/>
      <c r="U8" s="1"/>
      <c r="V8" s="2"/>
      <c r="Y8" s="1"/>
      <c r="Z8" s="1"/>
      <c r="AA8" s="3"/>
      <c r="AB8" s="1" t="s">
        <v>29</v>
      </c>
      <c r="AC8" s="1">
        <v>23</v>
      </c>
      <c r="AD8" s="2">
        <f>$AC8/$AC10</f>
        <v>0.43396226415094341</v>
      </c>
      <c r="AG8" s="1"/>
      <c r="AH8" s="1"/>
      <c r="AI8" s="3"/>
      <c r="AJ8" s="13" t="s">
        <v>65</v>
      </c>
      <c r="AK8" s="1">
        <v>12</v>
      </c>
      <c r="AL8" s="2">
        <f>$AK8/$AK11</f>
        <v>6.8571428571428575E-2</v>
      </c>
    </row>
    <row r="9" spans="1:38" ht="30" customHeight="1" x14ac:dyDescent="0.3">
      <c r="Q9" s="1" t="s">
        <v>30</v>
      </c>
      <c r="R9" s="3">
        <f>SUM(R3:R8)</f>
        <v>101</v>
      </c>
      <c r="S9" s="4">
        <f>SUM(S3:S8)</f>
        <v>1</v>
      </c>
      <c r="T9" s="3"/>
      <c r="U9" s="10">
        <f>SUM(U3:U8)</f>
        <v>81</v>
      </c>
      <c r="V9" s="4">
        <f>SUM(V3:V8)</f>
        <v>1</v>
      </c>
      <c r="Y9" s="1"/>
      <c r="Z9" s="1"/>
      <c r="AA9" s="3"/>
      <c r="AB9" s="1"/>
      <c r="AC9" s="1"/>
      <c r="AD9" s="2"/>
      <c r="AG9" s="1"/>
      <c r="AH9" s="1"/>
      <c r="AI9" s="3"/>
      <c r="AJ9" s="1" t="s">
        <v>29</v>
      </c>
      <c r="AK9" s="1">
        <v>3</v>
      </c>
      <c r="AL9" s="2">
        <f>$AK9/$AK11</f>
        <v>1.7142857142857144E-2</v>
      </c>
    </row>
    <row r="10" spans="1:38" ht="30" customHeight="1" x14ac:dyDescent="0.3">
      <c r="Y10" s="1" t="s">
        <v>30</v>
      </c>
      <c r="Z10" s="3">
        <f>SUM(Z3:Z9)</f>
        <v>109</v>
      </c>
      <c r="AA10" s="4">
        <f>SUM(AA3:AA9)</f>
        <v>1</v>
      </c>
      <c r="AB10" s="3"/>
      <c r="AC10" s="10">
        <f>SUM(AC3:AC9)</f>
        <v>53</v>
      </c>
      <c r="AD10" s="4">
        <f>SUM(AD3:AD9)</f>
        <v>1</v>
      </c>
      <c r="AG10" s="1"/>
      <c r="AH10" s="1"/>
      <c r="AI10" s="3"/>
      <c r="AJ10" s="1"/>
      <c r="AK10" s="1"/>
      <c r="AL10" s="2"/>
    </row>
    <row r="11" spans="1:38" ht="30" customHeight="1" x14ac:dyDescent="0.3">
      <c r="AG11" s="1" t="s">
        <v>30</v>
      </c>
      <c r="AH11" s="3">
        <f>SUM(AH3:AH10)</f>
        <v>100</v>
      </c>
      <c r="AI11" s="4">
        <f>SUM(AI3:AI10)</f>
        <v>1</v>
      </c>
      <c r="AJ11" s="3"/>
      <c r="AK11" s="10">
        <f>SUM(AK3:AK10)</f>
        <v>175</v>
      </c>
      <c r="AL11" s="4">
        <f>SUM(AL3:AL10)</f>
        <v>1</v>
      </c>
    </row>
    <row r="12" spans="1:38" x14ac:dyDescent="0.3">
      <c r="G12" s="1" t="s">
        <v>71</v>
      </c>
      <c r="H12" s="1">
        <v>5</v>
      </c>
    </row>
  </sheetData>
  <mergeCells count="15">
    <mergeCell ref="A2:C2"/>
    <mergeCell ref="D2:F2"/>
    <mergeCell ref="AB2:AD2"/>
    <mergeCell ref="AG2:AI2"/>
    <mergeCell ref="AJ2:AL2"/>
    <mergeCell ref="I2:K2"/>
    <mergeCell ref="L2:N2"/>
    <mergeCell ref="Q2:S2"/>
    <mergeCell ref="T2:V2"/>
    <mergeCell ref="Y2:AA2"/>
    <mergeCell ref="A1:F1"/>
    <mergeCell ref="I1:N1"/>
    <mergeCell ref="Q1:V1"/>
    <mergeCell ref="Y1:AD1"/>
    <mergeCell ref="AG1:AL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0A179-3460-4B7F-B6A0-F84428E1F30B}">
  <dimension ref="A1:I26"/>
  <sheetViews>
    <sheetView workbookViewId="0">
      <selection activeCell="E22" sqref="E22"/>
    </sheetView>
  </sheetViews>
  <sheetFormatPr defaultColWidth="9" defaultRowHeight="14.4" x14ac:dyDescent="0.3"/>
  <cols>
    <col min="1" max="1" width="42.88671875" customWidth="1" collapsed="1"/>
    <col min="2" max="2" width="12.109375" customWidth="1" collapsed="1"/>
    <col min="3" max="3" width="13.88671875" customWidth="1" collapsed="1"/>
    <col min="4" max="4" width="10.6640625" bestFit="1" customWidth="1" collapsed="1"/>
    <col min="5" max="5" width="13.109375" customWidth="1" collapsed="1"/>
  </cols>
  <sheetData>
    <row r="1" spans="1:9" x14ac:dyDescent="0.3">
      <c r="A1" s="37" t="s">
        <v>93</v>
      </c>
      <c r="B1" s="37"/>
      <c r="C1" s="37"/>
      <c r="D1" s="37"/>
      <c r="E1" s="37"/>
      <c r="F1" s="37"/>
      <c r="G1" s="37"/>
      <c r="H1" s="37"/>
      <c r="I1" s="37"/>
    </row>
    <row r="2" spans="1:9" ht="18" x14ac:dyDescent="0.35">
      <c r="A2" s="8" t="s">
        <v>31</v>
      </c>
      <c r="B2" s="8" t="s">
        <v>32</v>
      </c>
      <c r="C2" s="8" t="s">
        <v>33</v>
      </c>
      <c r="D2" s="8"/>
      <c r="E2" s="8" t="s">
        <v>34</v>
      </c>
      <c r="F2" s="8" t="s">
        <v>37</v>
      </c>
      <c r="G2" s="8"/>
      <c r="H2" s="8" t="s">
        <v>38</v>
      </c>
      <c r="I2" s="8"/>
    </row>
    <row r="3" spans="1:9" x14ac:dyDescent="0.3">
      <c r="A3" s="14" t="s">
        <v>35</v>
      </c>
      <c r="B3" s="1"/>
      <c r="C3" s="1"/>
      <c r="D3" s="1"/>
      <c r="F3" s="15">
        <v>0.1</v>
      </c>
      <c r="G3" s="1"/>
      <c r="H3" s="15">
        <v>0.2</v>
      </c>
      <c r="I3" s="1"/>
    </row>
    <row r="4" spans="1:9" x14ac:dyDescent="0.3">
      <c r="A4" s="1" t="s">
        <v>36</v>
      </c>
      <c r="B4" s="1"/>
      <c r="C4" s="1"/>
      <c r="D4" s="1"/>
      <c r="E4" s="16">
        <v>9091</v>
      </c>
      <c r="F4" s="29">
        <f>+E4*1.1</f>
        <v>10000.1</v>
      </c>
      <c r="G4" s="1"/>
      <c r="H4" s="28">
        <f>+E4*1.2</f>
        <v>10909.199999999999</v>
      </c>
      <c r="I4" s="1"/>
    </row>
    <row r="5" spans="1:9" x14ac:dyDescent="0.3">
      <c r="A5" s="1" t="s">
        <v>37</v>
      </c>
      <c r="B5" s="16">
        <v>35</v>
      </c>
      <c r="C5" s="1">
        <v>959</v>
      </c>
      <c r="D5" s="1" t="s">
        <v>101</v>
      </c>
      <c r="E5" s="1"/>
      <c r="F5" s="1">
        <v>9587290</v>
      </c>
      <c r="G5" s="1"/>
      <c r="H5" s="1"/>
      <c r="I5" s="1"/>
    </row>
    <row r="6" spans="1:9" x14ac:dyDescent="0.3">
      <c r="A6" s="1" t="s">
        <v>38</v>
      </c>
      <c r="B6" s="16">
        <v>12</v>
      </c>
      <c r="C6" s="1">
        <v>0</v>
      </c>
      <c r="D6" s="1" t="s">
        <v>101</v>
      </c>
      <c r="E6" s="1"/>
      <c r="F6" s="1"/>
      <c r="G6" s="1"/>
      <c r="H6" s="1"/>
      <c r="I6" s="1"/>
    </row>
    <row r="7" spans="1:9" x14ac:dyDescent="0.3">
      <c r="A7" s="1" t="s">
        <v>30</v>
      </c>
      <c r="B7" s="7">
        <f>SUM(B4:B6)</f>
        <v>47</v>
      </c>
      <c r="C7" s="1">
        <f>SUM(C4:C6)</f>
        <v>959</v>
      </c>
      <c r="D7" s="1" t="s">
        <v>101</v>
      </c>
      <c r="E7" s="1"/>
      <c r="F7" s="1">
        <f>F5</f>
        <v>9587290</v>
      </c>
      <c r="G7" s="14">
        <f>F7</f>
        <v>9587290</v>
      </c>
      <c r="H7" s="1"/>
      <c r="I7" s="1"/>
    </row>
    <row r="8" spans="1:9" x14ac:dyDescent="0.3">
      <c r="A8" s="1"/>
      <c r="B8" s="1"/>
      <c r="C8" s="1"/>
      <c r="D8" s="1"/>
      <c r="E8" s="1"/>
      <c r="F8" s="1"/>
      <c r="G8" s="1"/>
      <c r="H8" s="1"/>
      <c r="I8" s="1"/>
    </row>
    <row r="9" spans="1:9" x14ac:dyDescent="0.3">
      <c r="A9" s="14" t="s">
        <v>39</v>
      </c>
      <c r="B9" s="1"/>
      <c r="C9" s="1"/>
      <c r="D9" s="1"/>
      <c r="E9" s="1"/>
      <c r="F9" s="1"/>
      <c r="G9" s="1"/>
      <c r="H9" s="1"/>
      <c r="I9" s="1"/>
    </row>
    <row r="10" spans="1:9" x14ac:dyDescent="0.3">
      <c r="A10" s="1" t="s">
        <v>36</v>
      </c>
      <c r="B10" s="1"/>
      <c r="C10" s="1"/>
      <c r="D10" s="1"/>
      <c r="E10" s="16">
        <v>38182</v>
      </c>
      <c r="F10" s="1">
        <v>34</v>
      </c>
      <c r="G10" s="1"/>
      <c r="H10" s="14">
        <v>12</v>
      </c>
      <c r="I10" s="1"/>
    </row>
    <row r="11" spans="1:9" x14ac:dyDescent="0.3">
      <c r="A11" s="1" t="s">
        <v>37</v>
      </c>
      <c r="B11" s="15">
        <v>1</v>
      </c>
      <c r="C11" s="16">
        <v>12</v>
      </c>
      <c r="D11" s="1"/>
      <c r="E11" s="1"/>
      <c r="F11" s="1">
        <v>672000</v>
      </c>
      <c r="G11" s="1"/>
      <c r="H11" s="1"/>
      <c r="I11" s="1"/>
    </row>
    <row r="12" spans="1:9" x14ac:dyDescent="0.3">
      <c r="A12" s="1" t="s">
        <v>38</v>
      </c>
      <c r="B12" s="15">
        <v>0</v>
      </c>
      <c r="C12" s="16">
        <v>34</v>
      </c>
      <c r="D12" s="1"/>
      <c r="E12" s="1">
        <v>0</v>
      </c>
      <c r="F12" s="1"/>
      <c r="G12" s="1"/>
      <c r="H12" s="1"/>
      <c r="I12" s="1"/>
    </row>
    <row r="13" spans="1:9" x14ac:dyDescent="0.3">
      <c r="A13" s="1" t="s">
        <v>30</v>
      </c>
      <c r="B13" s="15">
        <f>SUM(B11:B12)</f>
        <v>1</v>
      </c>
      <c r="C13" s="1">
        <v>16</v>
      </c>
      <c r="D13" s="1"/>
      <c r="E13" s="1">
        <v>0</v>
      </c>
      <c r="F13" s="1">
        <f>F11</f>
        <v>672000</v>
      </c>
      <c r="G13" s="14">
        <f>F13</f>
        <v>672000</v>
      </c>
      <c r="H13" s="1"/>
      <c r="I13" s="1"/>
    </row>
    <row r="14" spans="1:9" x14ac:dyDescent="0.3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42" t="s">
        <v>40</v>
      </c>
      <c r="C17" s="42"/>
      <c r="D17" s="42"/>
      <c r="E17" s="1" t="s">
        <v>41</v>
      </c>
      <c r="F17" s="1" t="s">
        <v>42</v>
      </c>
      <c r="G17" s="1" t="s">
        <v>43</v>
      </c>
      <c r="H17" s="1"/>
      <c r="I17" s="1"/>
    </row>
    <row r="18" spans="1:9" x14ac:dyDescent="0.3">
      <c r="A18" s="1"/>
      <c r="B18" s="1"/>
      <c r="C18" s="1" t="s">
        <v>35</v>
      </c>
      <c r="D18" s="1" t="s">
        <v>44</v>
      </c>
      <c r="E18" s="1">
        <v>9587290</v>
      </c>
      <c r="F18" s="2">
        <f>$E18/$E$20</f>
        <v>0.93449839121420686</v>
      </c>
      <c r="G18" s="1">
        <v>10000</v>
      </c>
      <c r="H18" s="1"/>
      <c r="I18" s="1"/>
    </row>
    <row r="19" spans="1:9" x14ac:dyDescent="0.3">
      <c r="A19" s="1"/>
      <c r="B19" s="1"/>
      <c r="C19" s="1" t="s">
        <v>39</v>
      </c>
      <c r="D19" s="1" t="s">
        <v>44</v>
      </c>
      <c r="E19" s="1">
        <v>672000</v>
      </c>
      <c r="F19" s="2">
        <f>$E19/$E$20</f>
        <v>6.5501608785793169E-2</v>
      </c>
      <c r="G19" s="1">
        <v>42000</v>
      </c>
      <c r="H19" s="1"/>
      <c r="I19" s="1"/>
    </row>
    <row r="20" spans="1:9" x14ac:dyDescent="0.3">
      <c r="A20" s="1"/>
      <c r="B20" s="1"/>
      <c r="C20" s="1" t="s">
        <v>30</v>
      </c>
      <c r="D20" s="1"/>
      <c r="E20" s="3">
        <f>SUM(E18:E19)</f>
        <v>10259290</v>
      </c>
      <c r="F20" s="1"/>
      <c r="G20" s="1"/>
      <c r="H20" s="1"/>
      <c r="I20" s="1"/>
    </row>
    <row r="21" spans="1:9" x14ac:dyDescent="0.3">
      <c r="A21" s="1"/>
      <c r="B21" s="1"/>
      <c r="C21" s="1"/>
      <c r="D21" s="1" t="s">
        <v>45</v>
      </c>
      <c r="E21" s="9">
        <f>+Gesamtinvestitionskosten!E15</f>
        <v>7752548.7999999998</v>
      </c>
      <c r="F21" s="1"/>
      <c r="G21" s="1"/>
      <c r="H21" s="1"/>
      <c r="I21" s="1"/>
    </row>
    <row r="22" spans="1:9" x14ac:dyDescent="0.3">
      <c r="A22" s="1"/>
      <c r="B22" s="1"/>
      <c r="C22" s="1"/>
      <c r="D22" s="1" t="s">
        <v>46</v>
      </c>
      <c r="E22" s="3">
        <f>E20-E21</f>
        <v>2506741.2000000002</v>
      </c>
      <c r="F22" s="1"/>
      <c r="G22" s="1"/>
      <c r="H22" s="1"/>
      <c r="I22" s="1"/>
    </row>
    <row r="23" spans="1:9" x14ac:dyDescent="0.3">
      <c r="A23" s="1"/>
      <c r="B23" s="1"/>
      <c r="C23" s="1"/>
      <c r="D23" s="1" t="s">
        <v>47</v>
      </c>
      <c r="E23" s="2">
        <f>E22/E21</f>
        <v>0.32334413683406937</v>
      </c>
      <c r="F23" s="1"/>
      <c r="G23" s="1"/>
      <c r="H23" s="1"/>
      <c r="I23" s="1"/>
    </row>
    <row r="24" spans="1:9" x14ac:dyDescent="0.3">
      <c r="A24" s="1"/>
      <c r="B24" s="1"/>
      <c r="C24" s="1"/>
      <c r="D24" s="1"/>
      <c r="E24" s="7"/>
      <c r="F24" s="1"/>
      <c r="G24" s="1"/>
      <c r="H24" s="1"/>
      <c r="I24" s="1"/>
    </row>
    <row r="25" spans="1:9" x14ac:dyDescent="0.3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1"/>
      <c r="B26" s="1"/>
      <c r="C26" s="1"/>
      <c r="D26" s="1"/>
      <c r="E26" s="1"/>
      <c r="F26" s="1"/>
      <c r="G26" s="1"/>
      <c r="H26" s="1"/>
      <c r="I26" s="1"/>
    </row>
  </sheetData>
  <mergeCells count="2">
    <mergeCell ref="B17:D17"/>
    <mergeCell ref="A1:I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EA2CB-3137-483B-BB0D-B03B8C368056}">
  <dimension ref="A1:F7"/>
  <sheetViews>
    <sheetView workbookViewId="0">
      <selection activeCell="A2" sqref="A2:C2"/>
    </sheetView>
  </sheetViews>
  <sheetFormatPr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</cols>
  <sheetData>
    <row r="1" spans="1:6" x14ac:dyDescent="0.3">
      <c r="A1" s="37" t="s">
        <v>92</v>
      </c>
      <c r="B1" s="37"/>
      <c r="C1" s="37"/>
      <c r="D1" s="37"/>
      <c r="E1" s="37"/>
      <c r="F1" s="37"/>
    </row>
    <row r="2" spans="1:6" ht="18" x14ac:dyDescent="0.35">
      <c r="A2" s="38" t="s">
        <v>24</v>
      </c>
      <c r="B2" s="38"/>
      <c r="C2" s="38"/>
      <c r="D2" s="39" t="s">
        <v>25</v>
      </c>
      <c r="E2" s="40"/>
      <c r="F2" s="41"/>
    </row>
    <row r="3" spans="1:6" x14ac:dyDescent="0.3">
      <c r="A3" s="1" t="str">
        <f>+'Mittelverwendung - Mittelherkun'!I3</f>
        <v>Investitionskosten</v>
      </c>
      <c r="B3" s="1">
        <f>+'Mittelverwendung - Mittelherkun'!J3</f>
        <v>123</v>
      </c>
      <c r="C3" s="2">
        <f>+'Mittelverwendung - Mittelherkun'!K3</f>
        <v>0.55405405405405406</v>
      </c>
      <c r="D3" s="1" t="str">
        <f>+'Mittelverwendung - Mittelherkun'!L3</f>
        <v>Eigenkapital</v>
      </c>
      <c r="E3" s="1">
        <f>+'Mittelverwendung - Mittelherkun'!M3</f>
        <v>234</v>
      </c>
      <c r="F3" s="2" cm="1">
        <f t="array" ref="F3:F5">+'Mittelverwendung - Mittelherkun'!N3:N5</f>
        <v>0.20689655172413793</v>
      </c>
    </row>
    <row r="4" spans="1:6" x14ac:dyDescent="0.3">
      <c r="A4" s="1" t="str">
        <f>+'Mittelverwendung - Mittelherkun'!I4</f>
        <v>Finanzierungskosten</v>
      </c>
      <c r="B4" s="16">
        <f>+'Mittelverwendung - Mittelherkun'!J4</f>
        <v>99</v>
      </c>
      <c r="C4" s="2">
        <f>+'Mittelverwendung - Mittelherkun'!K4</f>
        <v>0.44594594594594594</v>
      </c>
      <c r="D4" s="13" t="str">
        <f>+'Mittelverwendung - Mittelherkun'!L4</f>
        <v>Fremdkapital Tranche 1</v>
      </c>
      <c r="E4" s="1">
        <f>+'Mittelverwendung - Mittelherkun'!M4</f>
        <v>555</v>
      </c>
      <c r="F4" s="2">
        <v>0.49071618037135278</v>
      </c>
    </row>
    <row r="5" spans="1:6" x14ac:dyDescent="0.3">
      <c r="A5" s="1"/>
      <c r="B5" s="1"/>
      <c r="C5" s="3"/>
      <c r="D5" s="1" t="str">
        <f>+'Mittelverwendung - Mittelherkun'!L5</f>
        <v>BTVG Erlöse</v>
      </c>
      <c r="E5" s="1">
        <f>+'Mittelverwendung - Mittelherkun'!M5</f>
        <v>342</v>
      </c>
      <c r="F5" s="2">
        <v>0.30238726790450926</v>
      </c>
    </row>
    <row r="6" spans="1:6" x14ac:dyDescent="0.3">
      <c r="A6" s="1"/>
      <c r="B6" s="1"/>
      <c r="C6" s="3"/>
      <c r="D6" s="1"/>
      <c r="E6" s="1"/>
      <c r="F6" s="2"/>
    </row>
    <row r="7" spans="1:6" x14ac:dyDescent="0.3">
      <c r="A7" s="1" t="str">
        <f>+'Mittelverwendung - Mittelherkun'!I7</f>
        <v>Summe</v>
      </c>
      <c r="B7" s="3">
        <f>+'Mittelverwendung - Mittelherkun'!J7</f>
        <v>222</v>
      </c>
      <c r="C7" s="4">
        <f>+'Mittelverwendung - Mittelherkun'!K7</f>
        <v>1</v>
      </c>
      <c r="D7" s="3"/>
      <c r="E7" s="10">
        <f>+'Mittelverwendung - Mittelherkun'!M7</f>
        <v>1131</v>
      </c>
      <c r="F7" s="4">
        <f>+'Mittelverwendung - Mittelherkun'!N7</f>
        <v>1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CAD6-D690-4F39-9F95-0EFEA57D740F}">
  <dimension ref="A1:F8"/>
  <sheetViews>
    <sheetView workbookViewId="0">
      <selection activeCell="A9" sqref="A9"/>
    </sheetView>
  </sheetViews>
  <sheetFormatPr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</cols>
  <sheetData>
    <row r="1" spans="1:6" x14ac:dyDescent="0.3">
      <c r="A1" s="37" t="s">
        <v>92</v>
      </c>
      <c r="B1" s="37"/>
      <c r="C1" s="37"/>
      <c r="D1" s="37"/>
      <c r="E1" s="37"/>
      <c r="F1" s="37"/>
    </row>
    <row r="2" spans="1:6" ht="18" x14ac:dyDescent="0.35">
      <c r="A2" s="38" t="s">
        <v>24</v>
      </c>
      <c r="B2" s="38"/>
      <c r="C2" s="38"/>
      <c r="D2" s="39" t="s">
        <v>25</v>
      </c>
      <c r="E2" s="40"/>
      <c r="F2" s="41"/>
    </row>
    <row r="3" spans="1:6" x14ac:dyDescent="0.3">
      <c r="A3" s="1" t="str" cm="1">
        <f t="array" ref="A3:C4">+'Mittelverwendung - Mittelherkun'!A3:C4</f>
        <v>Investitionskosten</v>
      </c>
      <c r="B3" s="1">
        <v>10</v>
      </c>
      <c r="C3" s="2">
        <v>9.1743119266055051E-2</v>
      </c>
      <c r="D3" s="1" t="str" cm="1">
        <f t="array" ref="D3:F6">+'Mittelverwendung - Mittelherkun'!D3:F6</f>
        <v>Eigenkapital</v>
      </c>
      <c r="E3" s="1">
        <v>20</v>
      </c>
      <c r="F3" s="2">
        <v>0.5714285714285714</v>
      </c>
    </row>
    <row r="4" spans="1:6" x14ac:dyDescent="0.3">
      <c r="A4" s="1" t="str">
        <v>Finanzierungskosten</v>
      </c>
      <c r="B4" s="16">
        <v>99</v>
      </c>
      <c r="C4" s="2">
        <v>0.90825688073394495</v>
      </c>
      <c r="D4" s="13" t="str">
        <v>Fremdkapital Tranche 1</v>
      </c>
      <c r="E4" s="1">
        <v>1</v>
      </c>
      <c r="F4" s="2">
        <v>2.8571428571428571E-2</v>
      </c>
    </row>
    <row r="5" spans="1:6" x14ac:dyDescent="0.3">
      <c r="A5" s="1"/>
      <c r="B5" s="1"/>
      <c r="C5" s="3"/>
      <c r="D5" s="13" t="str">
        <v>Fremdkapital Tranche 2</v>
      </c>
      <c r="E5" s="1">
        <v>2</v>
      </c>
      <c r="F5" s="2">
        <v>5.7142857142857141E-2</v>
      </c>
    </row>
    <row r="6" spans="1:6" x14ac:dyDescent="0.3">
      <c r="A6" s="1"/>
      <c r="B6" s="1"/>
      <c r="C6" s="3"/>
      <c r="D6" s="1" t="str">
        <v>BTVG Erlöse</v>
      </c>
      <c r="E6" s="1">
        <v>12</v>
      </c>
      <c r="F6" s="2">
        <v>0.34285714285714286</v>
      </c>
    </row>
    <row r="7" spans="1:6" x14ac:dyDescent="0.3">
      <c r="A7" s="1"/>
      <c r="B7" s="1"/>
      <c r="C7" s="3"/>
      <c r="D7" s="1"/>
      <c r="E7" s="1"/>
      <c r="F7" s="2"/>
    </row>
    <row r="8" spans="1:6" x14ac:dyDescent="0.3">
      <c r="A8" s="1" t="str" cm="1">
        <f t="array" ref="A8:C8">+'Mittelverwendung - Mittelherkun'!A8:C8</f>
        <v>Summe</v>
      </c>
      <c r="B8" s="3">
        <v>109</v>
      </c>
      <c r="C8" s="4">
        <v>1</v>
      </c>
      <c r="D8" s="3"/>
      <c r="E8" s="10" cm="1">
        <f t="array" ref="E8:F8">+'Mittelverwendung - Mittelherkun'!E8:F8</f>
        <v>35</v>
      </c>
      <c r="F8" s="4">
        <v>1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4E7A-DD07-46E4-800C-29AAAD817904}">
  <dimension ref="A1:F10"/>
  <sheetViews>
    <sheetView workbookViewId="0">
      <selection activeCell="A11" sqref="A11"/>
    </sheetView>
  </sheetViews>
  <sheetFormatPr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</cols>
  <sheetData>
    <row r="1" spans="1:6" x14ac:dyDescent="0.3">
      <c r="A1" s="37" t="s">
        <v>92</v>
      </c>
      <c r="B1" s="37"/>
      <c r="C1" s="37"/>
      <c r="D1" s="37"/>
      <c r="E1" s="37"/>
      <c r="F1" s="37"/>
    </row>
    <row r="2" spans="1:6" ht="18" x14ac:dyDescent="0.35">
      <c r="A2" s="39" t="s">
        <v>24</v>
      </c>
      <c r="B2" s="40"/>
      <c r="C2" s="41"/>
      <c r="D2" s="39" t="s">
        <v>25</v>
      </c>
      <c r="E2" s="40"/>
      <c r="F2" s="41"/>
    </row>
    <row r="3" spans="1:6" x14ac:dyDescent="0.3">
      <c r="A3" s="1" t="str" cm="1">
        <f t="array" ref="A3:C4">+'Mittelverwendung - Mittelherkun'!Q3:S4</f>
        <v>Investitionskosten</v>
      </c>
      <c r="B3" s="1">
        <v>2</v>
      </c>
      <c r="C3" s="2">
        <v>1.9801980198019802E-2</v>
      </c>
      <c r="D3" s="1" t="str" cm="1">
        <f t="array" ref="D3:F7">+'Mittelverwendung - Mittelherkun'!T3:V7</f>
        <v>Eigenkapital</v>
      </c>
      <c r="E3" s="1">
        <v>1</v>
      </c>
      <c r="F3" s="2">
        <v>1.2345679012345678E-2</v>
      </c>
    </row>
    <row r="4" spans="1:6" x14ac:dyDescent="0.3">
      <c r="A4" s="1" t="str">
        <v>Finanzierungskosten</v>
      </c>
      <c r="B4" s="16">
        <v>99</v>
      </c>
      <c r="C4" s="2">
        <v>0.98019801980198018</v>
      </c>
      <c r="D4" s="13" t="str">
        <v>Fremdkapital Tranche 1</v>
      </c>
      <c r="E4" s="1">
        <v>10</v>
      </c>
      <c r="F4" s="2">
        <v>0.12345679012345678</v>
      </c>
    </row>
    <row r="5" spans="1:6" x14ac:dyDescent="0.3">
      <c r="A5" s="1"/>
      <c r="B5" s="1"/>
      <c r="C5" s="3"/>
      <c r="D5" s="13" t="str">
        <v>Fremdkapital Tranche 2</v>
      </c>
      <c r="E5" s="1">
        <v>23</v>
      </c>
      <c r="F5" s="2">
        <v>0.2839506172839506</v>
      </c>
    </row>
    <row r="6" spans="1:6" x14ac:dyDescent="0.3">
      <c r="A6" s="1"/>
      <c r="B6" s="1"/>
      <c r="C6" s="3"/>
      <c r="D6" s="13" t="str">
        <v>Fremdkapital Tranche 3</v>
      </c>
      <c r="E6" s="1">
        <v>45</v>
      </c>
      <c r="F6" s="2">
        <v>0.55555555555555558</v>
      </c>
    </row>
    <row r="7" spans="1:6" x14ac:dyDescent="0.3">
      <c r="A7" s="1"/>
      <c r="B7" s="1"/>
      <c r="C7" s="3"/>
      <c r="D7" s="13" t="str">
        <v>BTVG Erlöse</v>
      </c>
      <c r="E7" s="1">
        <v>2</v>
      </c>
      <c r="F7" s="2">
        <v>2.4691358024691357E-2</v>
      </c>
    </row>
    <row r="8" spans="1:6" x14ac:dyDescent="0.3">
      <c r="A8" s="1"/>
      <c r="B8" s="1"/>
      <c r="C8" s="3"/>
      <c r="D8" s="1"/>
      <c r="E8" s="1"/>
      <c r="F8" s="2"/>
    </row>
    <row r="9" spans="1:6" x14ac:dyDescent="0.3">
      <c r="A9" s="1"/>
      <c r="B9" s="1"/>
      <c r="C9" s="3"/>
      <c r="D9" s="1"/>
      <c r="E9" s="1"/>
      <c r="F9" s="2"/>
    </row>
    <row r="10" spans="1:6" x14ac:dyDescent="0.3">
      <c r="A10" s="1" t="str" cm="1">
        <f t="array" ref="A10:C10">+'Mittelverwendung - Mittelherkun'!Q9:S9</f>
        <v>Summe</v>
      </c>
      <c r="B10" s="3">
        <v>101</v>
      </c>
      <c r="C10" s="4">
        <v>1</v>
      </c>
      <c r="D10" s="3"/>
      <c r="E10" s="10" cm="1">
        <f t="array" ref="E10:F10">+'Mittelverwendung - Mittelherkun'!U9:V9</f>
        <v>81</v>
      </c>
      <c r="F10" s="4">
        <v>1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C8A-0089-49D9-A899-5A80F96B0F9A}">
  <dimension ref="A1:F10"/>
  <sheetViews>
    <sheetView workbookViewId="0">
      <selection activeCell="A11" sqref="A11"/>
    </sheetView>
  </sheetViews>
  <sheetFormatPr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</cols>
  <sheetData>
    <row r="1" spans="1:6" x14ac:dyDescent="0.3">
      <c r="A1" s="37" t="s">
        <v>92</v>
      </c>
      <c r="B1" s="37"/>
      <c r="C1" s="37"/>
      <c r="D1" s="37"/>
      <c r="E1" s="37"/>
      <c r="F1" s="37"/>
    </row>
    <row r="2" spans="1:6" ht="18" x14ac:dyDescent="0.35">
      <c r="A2" s="38" t="s">
        <v>24</v>
      </c>
      <c r="B2" s="38"/>
      <c r="C2" s="38"/>
      <c r="D2" s="39" t="s">
        <v>25</v>
      </c>
      <c r="E2" s="40"/>
      <c r="F2" s="41"/>
    </row>
    <row r="3" spans="1:6" x14ac:dyDescent="0.3">
      <c r="A3" s="1" t="str" cm="1">
        <f t="array" ref="A3:C4">+'Mittelverwendung - Mittelherkun'!Y3:AA4</f>
        <v>Investitionskosten</v>
      </c>
      <c r="B3" s="1">
        <v>10</v>
      </c>
      <c r="C3" s="2">
        <v>9.1743119266055051E-2</v>
      </c>
      <c r="D3" s="1" t="str" cm="1">
        <f t="array" ref="D3:F8">+'Mittelverwendung - Mittelherkun'!AB3:AD8</f>
        <v>Eigenkapital</v>
      </c>
      <c r="E3" s="1">
        <v>20</v>
      </c>
      <c r="F3" s="2">
        <v>0.37735849056603776</v>
      </c>
    </row>
    <row r="4" spans="1:6" x14ac:dyDescent="0.3">
      <c r="A4" s="1" t="str">
        <v>Finanzierungskosten</v>
      </c>
      <c r="B4" s="16">
        <v>99</v>
      </c>
      <c r="C4" s="2">
        <v>0.90825688073394495</v>
      </c>
      <c r="D4" s="13" t="str">
        <v>Fremdkapital Tranche 1</v>
      </c>
      <c r="E4" s="1">
        <v>1</v>
      </c>
      <c r="F4" s="2">
        <v>1.8867924528301886E-2</v>
      </c>
    </row>
    <row r="5" spans="1:6" x14ac:dyDescent="0.3">
      <c r="A5" s="1"/>
      <c r="B5" s="1"/>
      <c r="C5" s="3"/>
      <c r="D5" s="13" t="str">
        <v>Fremdkapital Tranche 2</v>
      </c>
      <c r="E5" s="1">
        <v>2</v>
      </c>
      <c r="F5" s="2">
        <v>3.7735849056603772E-2</v>
      </c>
    </row>
    <row r="6" spans="1:6" x14ac:dyDescent="0.3">
      <c r="A6" s="1"/>
      <c r="B6" s="1"/>
      <c r="C6" s="3"/>
      <c r="D6" s="13" t="str">
        <v>Fremdkapital Tranche 3</v>
      </c>
      <c r="E6" s="1">
        <v>3</v>
      </c>
      <c r="F6" s="2">
        <v>5.6603773584905662E-2</v>
      </c>
    </row>
    <row r="7" spans="1:6" x14ac:dyDescent="0.3">
      <c r="A7" s="1"/>
      <c r="B7" s="1"/>
      <c r="C7" s="3"/>
      <c r="D7" s="13" t="str">
        <v>Fremdkapital Tranche 4</v>
      </c>
      <c r="E7" s="1">
        <v>4</v>
      </c>
      <c r="F7" s="2">
        <v>7.5471698113207544E-2</v>
      </c>
    </row>
    <row r="8" spans="1:6" x14ac:dyDescent="0.3">
      <c r="A8" s="1"/>
      <c r="B8" s="1"/>
      <c r="C8" s="3"/>
      <c r="D8" s="1" t="str">
        <v>BTVG Erlöse</v>
      </c>
      <c r="E8" s="1">
        <v>23</v>
      </c>
      <c r="F8" s="2">
        <v>0.43396226415094341</v>
      </c>
    </row>
    <row r="9" spans="1:6" x14ac:dyDescent="0.3">
      <c r="A9" s="1"/>
      <c r="B9" s="1"/>
      <c r="C9" s="3"/>
      <c r="D9" s="1"/>
      <c r="E9" s="1"/>
      <c r="F9" s="2"/>
    </row>
    <row r="10" spans="1:6" x14ac:dyDescent="0.3">
      <c r="A10" s="1" t="str" cm="1">
        <f t="array" ref="A10:C10">+'Mittelverwendung - Mittelherkun'!Y10:AA10</f>
        <v>Summe</v>
      </c>
      <c r="B10" s="3">
        <v>109</v>
      </c>
      <c r="C10" s="4">
        <v>1</v>
      </c>
      <c r="D10" s="3"/>
      <c r="E10" s="10" cm="1">
        <f t="array" ref="E10:F10">+'Mittelverwendung - Mittelherkun'!AC10:AD10</f>
        <v>53</v>
      </c>
      <c r="F10" s="4">
        <v>1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50460-7005-44F1-8B1C-A579BD0AD684}">
  <dimension ref="A1:F11"/>
  <sheetViews>
    <sheetView workbookViewId="0">
      <selection activeCell="A12" sqref="A12"/>
    </sheetView>
  </sheetViews>
  <sheetFormatPr defaultRowHeight="14.4" x14ac:dyDescent="0.3"/>
  <cols>
    <col min="1" max="1" width="20.6640625" customWidth="1" collapsed="1"/>
    <col min="2" max="3" width="10.6640625" customWidth="1" collapsed="1"/>
    <col min="4" max="4" width="20.6640625" customWidth="1" collapsed="1"/>
    <col min="5" max="6" width="10.6640625" customWidth="1" collapsed="1"/>
  </cols>
  <sheetData>
    <row r="1" spans="1:6" x14ac:dyDescent="0.3">
      <c r="A1" s="37" t="s">
        <v>92</v>
      </c>
      <c r="B1" s="37"/>
      <c r="C1" s="37"/>
      <c r="D1" s="37"/>
      <c r="E1" s="37"/>
      <c r="F1" s="37"/>
    </row>
    <row r="2" spans="1:6" ht="18" x14ac:dyDescent="0.35">
      <c r="A2" s="38" t="s">
        <v>24</v>
      </c>
      <c r="B2" s="38"/>
      <c r="C2" s="38"/>
      <c r="D2" s="39" t="s">
        <v>25</v>
      </c>
      <c r="E2" s="40"/>
      <c r="F2" s="41"/>
    </row>
    <row r="3" spans="1:6" x14ac:dyDescent="0.3">
      <c r="A3" s="1" t="str" cm="1">
        <f t="array" ref="A3:C4">+'Mittelverwendung - Mittelherkun'!AG3:AI4</f>
        <v>Investitionskosten</v>
      </c>
      <c r="B3" s="1">
        <v>1</v>
      </c>
      <c r="C3" s="2">
        <v>0.01</v>
      </c>
      <c r="D3" s="1" t="str" cm="1">
        <f t="array" ref="D3:F9">+'Mittelverwendung - Mittelherkun'!AJ3:AL9</f>
        <v>Eigenkapital</v>
      </c>
      <c r="E3" s="1">
        <v>2</v>
      </c>
      <c r="F3" s="2">
        <v>1.1428571428571429E-2</v>
      </c>
    </row>
    <row r="4" spans="1:6" x14ac:dyDescent="0.3">
      <c r="A4" s="1" t="str">
        <v>Finanzierungskosten</v>
      </c>
      <c r="B4" s="16">
        <v>99</v>
      </c>
      <c r="C4" s="2">
        <v>0.99</v>
      </c>
      <c r="D4" s="13" t="str">
        <v>Fremdkapital Tranche 1</v>
      </c>
      <c r="E4" s="1">
        <v>23</v>
      </c>
      <c r="F4" s="2">
        <v>0.13142857142857142</v>
      </c>
    </row>
    <row r="5" spans="1:6" x14ac:dyDescent="0.3">
      <c r="A5" s="1"/>
      <c r="B5" s="1"/>
      <c r="C5" s="3"/>
      <c r="D5" s="13" t="str">
        <v>Fremdkapital Tranche 2</v>
      </c>
      <c r="E5" s="1">
        <v>34</v>
      </c>
      <c r="F5" s="2">
        <v>0.19428571428571428</v>
      </c>
    </row>
    <row r="6" spans="1:6" x14ac:dyDescent="0.3">
      <c r="A6" s="1"/>
      <c r="B6" s="1"/>
      <c r="C6" s="3"/>
      <c r="D6" s="13" t="str">
        <v>Fremdkapital Tranche 3</v>
      </c>
      <c r="E6" s="1">
        <v>89</v>
      </c>
      <c r="F6" s="2">
        <v>0.50857142857142856</v>
      </c>
    </row>
    <row r="7" spans="1:6" x14ac:dyDescent="0.3">
      <c r="A7" s="1"/>
      <c r="B7" s="1"/>
      <c r="C7" s="3"/>
      <c r="D7" s="13" t="str">
        <v>Fremdkapital Tranche 4</v>
      </c>
      <c r="E7" s="1">
        <v>12</v>
      </c>
      <c r="F7" s="2">
        <v>6.8571428571428575E-2</v>
      </c>
    </row>
    <row r="8" spans="1:6" x14ac:dyDescent="0.3">
      <c r="A8" s="1"/>
      <c r="B8" s="1"/>
      <c r="C8" s="3"/>
      <c r="D8" s="13" t="str">
        <v>Fremdkapital Tranche 5</v>
      </c>
      <c r="E8" s="1">
        <v>12</v>
      </c>
      <c r="F8" s="2">
        <v>6.8571428571428575E-2</v>
      </c>
    </row>
    <row r="9" spans="1:6" x14ac:dyDescent="0.3">
      <c r="A9" s="1"/>
      <c r="B9" s="1"/>
      <c r="C9" s="3"/>
      <c r="D9" s="1" t="str">
        <v>BTVG Erlöse</v>
      </c>
      <c r="E9" s="1">
        <v>3</v>
      </c>
      <c r="F9" s="2">
        <v>1.7142857142857144E-2</v>
      </c>
    </row>
    <row r="10" spans="1:6" x14ac:dyDescent="0.3">
      <c r="A10" s="1"/>
      <c r="B10" s="1"/>
      <c r="C10" s="3"/>
      <c r="D10" s="1"/>
      <c r="E10" s="1"/>
      <c r="F10" s="2"/>
    </row>
    <row r="11" spans="1:6" x14ac:dyDescent="0.3">
      <c r="A11" s="1" t="str" cm="1">
        <f t="array" ref="A11:C11">+'Mittelverwendung - Mittelherkun'!AG11:AI11</f>
        <v>Summe</v>
      </c>
      <c r="B11" s="3">
        <v>100</v>
      </c>
      <c r="C11" s="4">
        <v>1</v>
      </c>
      <c r="D11" s="3"/>
      <c r="E11" s="10" cm="1">
        <f t="array" ref="E11:F11">+'Mittelverwendung - Mittelherkun'!AK11:AL11</f>
        <v>175</v>
      </c>
      <c r="F11" s="4">
        <v>1</v>
      </c>
    </row>
  </sheetData>
  <mergeCells count="3">
    <mergeCell ref="A1:F1"/>
    <mergeCell ref="A2:C2"/>
    <mergeCell ref="D2: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F1FA0-C1BF-4C59-8CFC-4ADA78F070EE}">
  <dimension ref="A3:A7"/>
  <sheetViews>
    <sheetView workbookViewId="0"/>
  </sheetViews>
  <sheetFormatPr defaultColWidth="9" defaultRowHeight="14.4" x14ac:dyDescent="0.3"/>
  <sheetData>
    <row r="3" spans="1:1" x14ac:dyDescent="0.3">
      <c r="A3" t="s">
        <v>48</v>
      </c>
    </row>
    <row r="5" spans="1:1" x14ac:dyDescent="0.3">
      <c r="A5" t="s">
        <v>49</v>
      </c>
    </row>
    <row r="6" spans="1:1" x14ac:dyDescent="0.3">
      <c r="A6" t="s">
        <v>50</v>
      </c>
    </row>
    <row r="7" spans="1:1" x14ac:dyDescent="0.3">
      <c r="A7" t="s">
        <v>51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8965bb-c16f-4a6f-82bb-93d665d6df3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729EB743038154A9A59E0B356D92C1D" ma:contentTypeVersion="7" ma:contentTypeDescription="Ein neues Dokument erstellen." ma:contentTypeScope="" ma:versionID="2a57c8d8c641ac19acee86c7c4b3ca99">
  <xsd:schema xmlns:xsd="http://www.w3.org/2001/XMLSchema" xmlns:xs="http://www.w3.org/2001/XMLSchema" xmlns:p="http://schemas.microsoft.com/office/2006/metadata/properties" xmlns:ns3="5a8965bb-c16f-4a6f-82bb-93d665d6df35" targetNamespace="http://schemas.microsoft.com/office/2006/metadata/properties" ma:root="true" ma:fieldsID="e7f73fa18acbcaf29007fba3bb0351da" ns3:_="">
    <xsd:import namespace="5a8965bb-c16f-4a6f-82bb-93d665d6df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8965bb-c16f-4a6f-82bb-93d665d6df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F7DD2DD-E6A0-4AD2-8B5B-E10BEBC466C7}">
  <ds:schemaRefs>
    <ds:schemaRef ds:uri="5a8965bb-c16f-4a6f-82bb-93d665d6df35"/>
    <ds:schemaRef ds:uri="http://schemas.microsoft.com/office/2006/documentManagement/types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5D91BE8-21EF-4DB4-BD5E-4B3C53A56A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8965bb-c16f-4a6f-82bb-93d665d6df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C913E0-75E0-4CB8-A616-4F388A0CD56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Executive Summary</vt:lpstr>
      <vt:lpstr>Basisinformation</vt:lpstr>
      <vt:lpstr>Standort</vt:lpstr>
      <vt:lpstr>Widmung</vt:lpstr>
      <vt:lpstr>Gesamtinvestitionskosten</vt:lpstr>
      <vt:lpstr>Mittelverwendung - Mittelherkun</vt:lpstr>
      <vt:lpstr>Wirtschaftlichkeitsrechnung</vt:lpstr>
      <vt:lpstr>MVMH1</vt:lpstr>
      <vt:lpstr>MVMH2</vt:lpstr>
      <vt:lpstr>MVMH3</vt:lpstr>
      <vt:lpstr>MVMH4</vt:lpstr>
      <vt:lpstr>MVMH5</vt:lpstr>
      <vt:lpstr>Restliche Fragen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2023-10-29T09:17:22Z</dcterms:created>
  <dc:creator>Maria Mirnic</dc:creator>
  <cp:lastModifiedBy>Hadi Heydari</cp:lastModifiedBy>
  <dcterms:modified xsi:type="dcterms:W3CDTF">2024-01-21T23:12:30Z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0x0101009729EB743038154A9A59E0B356D92C1D</vt:lpwstr>
  </property>
</Properties>
</file>