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89772149-EC7B-4276-ADC5-53EEA36EDF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17" i="1"/>
  <c r="K2" i="1" l="1"/>
  <c r="B27" i="1" s="1"/>
  <c r="B29" i="1" s="1"/>
  <c r="B56" i="1" l="1"/>
  <c r="B58" i="1" s="1"/>
  <c r="B12" i="1" s="1"/>
  <c r="B66" i="1"/>
  <c r="B68" i="1" s="1"/>
  <c r="B22" i="1" s="1"/>
  <c r="B14" i="1" l="1"/>
  <c r="B8" i="1" l="1"/>
  <c r="B19" i="1"/>
  <c r="B24" i="1" l="1"/>
  <c r="B31" i="1" s="1"/>
  <c r="B33" i="1" s="1"/>
  <c r="B35" i="1" s="1"/>
  <c r="B39" i="1" l="1"/>
  <c r="B40" i="1" s="1"/>
  <c r="B45" i="1" s="1"/>
  <c r="B46" i="1" s="1"/>
  <c r="B48" i="1" l="1"/>
  <c r="B72" i="1" s="1"/>
  <c r="B49" i="1" l="1"/>
  <c r="C72" i="1"/>
  <c r="E72" i="1"/>
  <c r="B50" i="1" l="1"/>
  <c r="D7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6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entre 6 et 16 inch</t>
        </r>
      </text>
    </comment>
  </commentList>
</comments>
</file>

<file path=xl/sharedStrings.xml><?xml version="1.0" encoding="utf-8"?>
<sst xmlns="http://schemas.openxmlformats.org/spreadsheetml/2006/main" count="86" uniqueCount="66">
  <si>
    <t>Kenadsa</t>
  </si>
  <si>
    <t>Naâma</t>
  </si>
  <si>
    <t>Puissance installée (MW)</t>
  </si>
  <si>
    <t>SM</t>
  </si>
  <si>
    <r>
      <t>DNI (kWh/m</t>
    </r>
    <r>
      <rPr>
        <vertAlign val="superscript"/>
        <sz val="11"/>
        <color theme="1"/>
        <rFont val="Cambria"/>
        <family val="1"/>
        <scheme val="major"/>
      </rPr>
      <t>2</t>
    </r>
    <r>
      <rPr>
        <sz val="11"/>
        <color theme="1"/>
        <rFont val="Cambria"/>
        <family val="1"/>
        <scheme val="major"/>
      </rPr>
      <t>/an)</t>
    </r>
  </si>
  <si>
    <t>FLH (heures)</t>
  </si>
  <si>
    <t>LCOE (DA/kWh)</t>
  </si>
  <si>
    <t>$/km/inch</t>
  </si>
  <si>
    <t>inch</t>
  </si>
  <si>
    <t>€/Km</t>
  </si>
  <si>
    <t>PGA</t>
  </si>
  <si>
    <t>Distance (Km)</t>
  </si>
  <si>
    <t>GR</t>
  </si>
  <si>
    <t>$/km</t>
  </si>
  <si>
    <t>€</t>
  </si>
  <si>
    <t>WA</t>
  </si>
  <si>
    <t>au 22/10/2022</t>
  </si>
  <si>
    <t>Ey (GWh/an)</t>
  </si>
  <si>
    <t>RA</t>
  </si>
  <si>
    <t>https://www.waterworld.com/home/article/14071043/the-perfect-pipe</t>
  </si>
  <si>
    <t>Année : 2009 --&gt; 2020</t>
  </si>
  <si>
    <t>% du coût de raccordement / I</t>
  </si>
  <si>
    <t>Abadla</t>
  </si>
  <si>
    <t>Hassi R'Mel</t>
  </si>
  <si>
    <t>https://www.utilitydive.com/news/cheapest-is-not-always-best-concentrated-solar-power-could-beat-lower-pric/574154/</t>
  </si>
  <si>
    <t xml:space="preserve">Early CSP projects had capital costs that reached billions of dollars and their average levelized cost of energy (LCOE) was $0.21/kWh. </t>
  </si>
  <si>
    <t>Although the upfront capital cost is still high, the U.S. Department of Energy estimated CSP’s 2018 LCOE, with 12 hours of storage, dropped to $0.098/kWh.</t>
  </si>
  <si>
    <t xml:space="preserve">A 2019 contract price for CSP with storage in Dubai was reported at $0.083/kWh, significantly less than the Lazard-reported LCOE of $0.15/kWh </t>
  </si>
  <si>
    <t>or more for a natural gas peaker plant that its flexibility would allow it to replace.</t>
  </si>
  <si>
    <t>IRENA 2017</t>
  </si>
  <si>
    <t>$0.22/kWh</t>
  </si>
  <si>
    <t>Euro</t>
  </si>
  <si>
    <t>USD</t>
  </si>
  <si>
    <t>Coût sans raccordement (USD/kW)</t>
  </si>
  <si>
    <t>Coût unitaire (USD/Km)</t>
  </si>
  <si>
    <t>USD/Km</t>
  </si>
  <si>
    <t>LCOE (USD/kWh)</t>
  </si>
  <si>
    <t>LCOE (cUSD/kWh)</t>
  </si>
  <si>
    <t>1 € = 140,45 DA au 27/10/2022</t>
  </si>
  <si>
    <t>DA</t>
  </si>
  <si>
    <t>LCOE (cUSD/kWh) sans les raccordements</t>
  </si>
  <si>
    <t>4 Millions Euro/Km</t>
  </si>
  <si>
    <t>Année : 2002 --&gt; 2020</t>
  </si>
  <si>
    <r>
      <rPr>
        <b/>
        <i/>
        <sz val="11"/>
        <color theme="1"/>
        <rFont val="Cambria"/>
        <family val="1"/>
        <scheme val="major"/>
      </rPr>
      <t>LCOE</t>
    </r>
    <r>
      <rPr>
        <b/>
        <sz val="11"/>
        <color theme="1"/>
        <rFont val="Cambria"/>
        <family val="1"/>
        <scheme val="major"/>
      </rPr>
      <t xml:space="preserve"> (USD/kWh)</t>
    </r>
  </si>
  <si>
    <t>Coût d'investissement de la centrale (CAPEX = Capital Expenditures)</t>
  </si>
  <si>
    <t>Taux de change</t>
  </si>
  <si>
    <t>Power Grid Access (lignes haute-tension HT)</t>
  </si>
  <si>
    <t>Gas Resource (pipeline)</t>
  </si>
  <si>
    <t>Water Availability (réseau de distribution ou barrage)</t>
  </si>
  <si>
    <t>Road Access (routes)</t>
  </si>
  <si>
    <t xml:space="preserve">i </t>
  </si>
  <si>
    <t>n</t>
  </si>
  <si>
    <t>Hypothèses</t>
  </si>
  <si>
    <t>Actualisation de l'année 2020 par rapport à 2009</t>
  </si>
  <si>
    <t>20000-22000 USD/Km/inch ; 6-16 inch</t>
  </si>
  <si>
    <t>Graphique</t>
  </si>
  <si>
    <t>Comparaisons avec les coûts à l'international</t>
  </si>
  <si>
    <t>IRENA = Agence Internationale des Energies Renouvelables</t>
  </si>
  <si>
    <t>I (Million USD) sans raccordement</t>
  </si>
  <si>
    <t>USD = Dollar américain</t>
  </si>
  <si>
    <t>Raccordements (Million USD)</t>
  </si>
  <si>
    <t xml:space="preserve">I sans raccordement (Million USD) </t>
  </si>
  <si>
    <t>Coût raccordement (Million USD)</t>
  </si>
  <si>
    <t>Coût des raccordements (Million USD)</t>
  </si>
  <si>
    <t>I (Million USD)</t>
  </si>
  <si>
    <t>O&amp;M (Million USD/an)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</si>
</sst>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vertAlign val="superscript"/>
      <sz val="11"/>
      <color theme="1"/>
      <name val="Cambria"/>
      <family val="1"/>
      <scheme val="major"/>
    </font>
    <font>
      <sz val="11"/>
      <color rgb="FFFF0000"/>
      <name val="Cambria"/>
      <family val="1"/>
      <scheme val="major"/>
    </font>
    <font>
      <i/>
      <sz val="11"/>
      <color rgb="FFFF0000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i/>
      <sz val="11"/>
      <color rgb="FF00B050"/>
      <name val="Cambria"/>
      <family val="1"/>
      <scheme val="major"/>
    </font>
    <font>
      <sz val="11"/>
      <name val="Cambria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Cambria"/>
      <family val="1"/>
      <scheme val="major"/>
    </font>
    <font>
      <sz val="11"/>
      <color rgb="FF0A0A0A"/>
      <name val="Georgia"/>
      <family val="1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mbria"/>
      <family val="1"/>
      <scheme val="major"/>
    </font>
    <font>
      <i/>
      <sz val="11"/>
      <color rgb="FF0070C0"/>
      <name val="Cambria"/>
      <family val="1"/>
      <scheme val="major"/>
    </font>
    <font>
      <i/>
      <u/>
      <sz val="11"/>
      <color theme="1"/>
      <name val="Cambria"/>
      <family val="1"/>
      <scheme val="major"/>
    </font>
    <font>
      <u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2" fillId="0" borderId="0" xfId="0" applyFont="1"/>
    <xf numFmtId="0" fontId="13" fillId="0" borderId="0" xfId="0" applyFont="1" applyAlignment="1">
      <alignment vertical="center" wrapText="1"/>
    </xf>
    <xf numFmtId="0" fontId="14" fillId="0" borderId="0" xfId="1" applyAlignment="1" applyProtection="1"/>
    <xf numFmtId="0" fontId="15" fillId="0" borderId="0" xfId="0" applyFont="1"/>
    <xf numFmtId="0" fontId="1" fillId="2" borderId="0" xfId="0" applyFont="1" applyFill="1"/>
    <xf numFmtId="0" fontId="1" fillId="4" borderId="0" xfId="0" applyFont="1" applyFill="1"/>
    <xf numFmtId="0" fontId="2" fillId="3" borderId="0" xfId="0" applyFont="1" applyFill="1" applyAlignment="1">
      <alignment horizontal="center"/>
    </xf>
    <xf numFmtId="0" fontId="7" fillId="0" borderId="0" xfId="0" applyFont="1"/>
    <xf numFmtId="0" fontId="3" fillId="4" borderId="0" xfId="0" applyFont="1" applyFill="1"/>
    <xf numFmtId="0" fontId="17" fillId="0" borderId="0" xfId="0" applyFont="1"/>
    <xf numFmtId="0" fontId="6" fillId="0" borderId="0" xfId="0" applyFont="1" applyAlignment="1">
      <alignment horizontal="left"/>
    </xf>
    <xf numFmtId="0" fontId="2" fillId="5" borderId="0" xfId="0" applyFont="1" applyFill="1"/>
    <xf numFmtId="164" fontId="3" fillId="4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5" borderId="0" xfId="0" applyNumberFormat="1" applyFont="1" applyFill="1" applyAlignment="1">
      <alignment horizontal="center"/>
    </xf>
    <xf numFmtId="0" fontId="1" fillId="5" borderId="0" xfId="0" applyFont="1" applyFill="1"/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2" borderId="0" xfId="0" applyFont="1" applyFill="1"/>
    <xf numFmtId="164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1" fillId="6" borderId="0" xfId="0" applyFont="1" applyFill="1"/>
    <xf numFmtId="164" fontId="1" fillId="6" borderId="0" xfId="0" applyNumberFormat="1" applyFont="1" applyFill="1" applyAlignment="1">
      <alignment horizontal="center"/>
    </xf>
    <xf numFmtId="0" fontId="18" fillId="0" borderId="0" xfId="0" applyFont="1"/>
    <xf numFmtId="0" fontId="1" fillId="4" borderId="0" xfId="0" applyFont="1" applyFill="1" applyAlignment="1">
      <alignment horizontal="right"/>
    </xf>
    <xf numFmtId="0" fontId="0" fillId="4" borderId="0" xfId="0" applyFill="1"/>
    <xf numFmtId="0" fontId="19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Feuil1!$A$72</c:f>
              <c:strCache>
                <c:ptCount val="1"/>
                <c:pt idx="0">
                  <c:v>LCOE (USD/kWh)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 baseline="0">
                    <a:latin typeface="Times New Roman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Feuil1!$B$71:$E$71</c:f>
              <c:strCache>
                <c:ptCount val="4"/>
                <c:pt idx="0">
                  <c:v>Kenadsa</c:v>
                </c:pt>
                <c:pt idx="1">
                  <c:v>Abadla</c:v>
                </c:pt>
                <c:pt idx="2">
                  <c:v>Naâma</c:v>
                </c:pt>
                <c:pt idx="3">
                  <c:v>Hassi R'Mel</c:v>
                </c:pt>
              </c:strCache>
            </c:strRef>
          </c:cat>
          <c:val>
            <c:numRef>
              <c:f>Feuil1!$B$72:$E$72</c:f>
              <c:numCache>
                <c:formatCode>0.000</c:formatCode>
                <c:ptCount val="4"/>
                <c:pt idx="0">
                  <c:v>0.14344017977225945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6-48E9-8B2C-466CF7514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895424"/>
        <c:axId val="105896960"/>
      </c:barChart>
      <c:catAx>
        <c:axId val="105895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aseline="0">
                <a:latin typeface="Times New Roman" pitchFamily="18" charset="0"/>
              </a:defRPr>
            </a:pPr>
            <a:endParaRPr lang="en-US"/>
          </a:p>
        </c:txPr>
        <c:crossAx val="105896960"/>
        <c:crosses val="autoZero"/>
        <c:auto val="1"/>
        <c:lblAlgn val="ctr"/>
        <c:lblOffset val="100"/>
        <c:noMultiLvlLbl val="0"/>
      </c:catAx>
      <c:valAx>
        <c:axId val="105896960"/>
        <c:scaling>
          <c:orientation val="minMax"/>
          <c:max val="0.25"/>
        </c:scaling>
        <c:delete val="0"/>
        <c:axPos val="l"/>
        <c:majorGridlines>
          <c:spPr>
            <a:ln w="0">
              <a:prstDash val="dashDot"/>
            </a:ln>
          </c:spPr>
        </c:majorGridlines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aseline="0">
                <a:latin typeface="Times New Roman" pitchFamily="18" charset="0"/>
              </a:defRPr>
            </a:pPr>
            <a:endParaRPr lang="en-US"/>
          </a:p>
        </c:txPr>
        <c:crossAx val="10589542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73</xdr:row>
      <xdr:rowOff>14286</xdr:rowOff>
    </xdr:from>
    <xdr:to>
      <xdr:col>10</xdr:col>
      <xdr:colOff>381000</xdr:colOff>
      <xdr:row>89</xdr:row>
      <xdr:rowOff>38099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terworld.com/home/article/14071043/the-perfect-pipe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utilitydive.com/news/cheapest-is-not-always-best-concentrated-solar-power-could-beat-lower-pric/574154/" TargetMode="External"/><Relationship Id="rId1" Type="http://schemas.openxmlformats.org/officeDocument/2006/relationships/hyperlink" Target="https://www.energy.gov/eere/solar/concentrating-solar-power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>
      <selection activeCell="B48" sqref="B48"/>
    </sheetView>
  </sheetViews>
  <sheetFormatPr defaultColWidth="9.140625" defaultRowHeight="15" x14ac:dyDescent="0.25"/>
  <cols>
    <col min="1" max="1" width="40.5703125" style="1" bestFit="1" customWidth="1"/>
    <col min="2" max="2" width="14.85546875" style="2" customWidth="1"/>
    <col min="3" max="4" width="11.28515625" style="2" bestFit="1" customWidth="1"/>
    <col min="5" max="5" width="12.85546875" style="2" bestFit="1" customWidth="1"/>
    <col min="6" max="6" width="10.7109375" style="1" customWidth="1"/>
    <col min="7" max="11" width="9.140625" style="1"/>
  </cols>
  <sheetData>
    <row r="1" spans="1:13" x14ac:dyDescent="0.25">
      <c r="A1" s="2"/>
    </row>
    <row r="2" spans="1:13" x14ac:dyDescent="0.25">
      <c r="A2" s="19"/>
      <c r="B2" s="28"/>
      <c r="C2" s="28"/>
      <c r="D2" s="28"/>
      <c r="E2" s="28"/>
      <c r="G2" s="30" t="s">
        <v>45</v>
      </c>
      <c r="H2" s="27"/>
      <c r="I2" s="27">
        <v>1</v>
      </c>
      <c r="J2" s="27" t="s">
        <v>31</v>
      </c>
      <c r="K2" s="27">
        <f>1/J64</f>
        <v>0.99009900990099009</v>
      </c>
      <c r="L2" s="27">
        <v>1</v>
      </c>
      <c r="M2" s="27" t="s">
        <v>32</v>
      </c>
    </row>
    <row r="3" spans="1:13" x14ac:dyDescent="0.25">
      <c r="G3" s="1" t="s">
        <v>59</v>
      </c>
      <c r="L3" s="1"/>
      <c r="M3" s="1"/>
    </row>
    <row r="4" spans="1:13" x14ac:dyDescent="0.25">
      <c r="B4" s="1"/>
      <c r="C4" s="1"/>
      <c r="D4" s="1"/>
      <c r="E4" s="1"/>
    </row>
    <row r="5" spans="1:13" x14ac:dyDescent="0.25">
      <c r="A5" s="29" t="s">
        <v>58</v>
      </c>
      <c r="B5" s="19" t="s">
        <v>44</v>
      </c>
    </row>
    <row r="6" spans="1:13" x14ac:dyDescent="0.25">
      <c r="A6" s="1" t="s">
        <v>33</v>
      </c>
      <c r="B6" s="6">
        <f>4499</f>
        <v>4499</v>
      </c>
      <c r="C6" s="6"/>
      <c r="D6" s="6"/>
      <c r="E6" s="6"/>
      <c r="F6" s="8"/>
    </row>
    <row r="7" spans="1:13" x14ac:dyDescent="0.25">
      <c r="A7" s="1" t="s">
        <v>2</v>
      </c>
      <c r="B7" s="2">
        <v>50</v>
      </c>
      <c r="F7" s="31"/>
    </row>
    <row r="8" spans="1:13" x14ac:dyDescent="0.25">
      <c r="A8" s="27" t="s">
        <v>61</v>
      </c>
      <c r="B8" s="34">
        <f>(B6/1000000)*(B7*1000)</f>
        <v>224.95000000000002</v>
      </c>
      <c r="C8" s="34"/>
      <c r="D8" s="34"/>
      <c r="E8" s="34"/>
    </row>
    <row r="10" spans="1:13" x14ac:dyDescent="0.25">
      <c r="A10" s="29" t="s">
        <v>60</v>
      </c>
    </row>
    <row r="11" spans="1:13" x14ac:dyDescent="0.25">
      <c r="A11" s="10" t="s">
        <v>10</v>
      </c>
      <c r="B11" s="19" t="s">
        <v>46</v>
      </c>
      <c r="F11" s="20"/>
    </row>
    <row r="12" spans="1:13" x14ac:dyDescent="0.25">
      <c r="A12" s="1" t="s">
        <v>34</v>
      </c>
      <c r="B12" s="17">
        <f>B58</f>
        <v>50034.653465346535</v>
      </c>
      <c r="C12" s="17"/>
      <c r="D12" s="17"/>
      <c r="E12" s="17"/>
      <c r="F12" s="8"/>
      <c r="G12" s="18"/>
    </row>
    <row r="13" spans="1:13" x14ac:dyDescent="0.25">
      <c r="A13" s="1" t="s">
        <v>11</v>
      </c>
      <c r="B13" s="2">
        <v>18</v>
      </c>
      <c r="F13" s="9"/>
    </row>
    <row r="14" spans="1:13" x14ac:dyDescent="0.25">
      <c r="A14" s="1" t="s">
        <v>62</v>
      </c>
      <c r="B14" s="35">
        <f>(B12/1000000)*B13</f>
        <v>0.90062376237623765</v>
      </c>
      <c r="C14" s="35"/>
      <c r="D14" s="35"/>
      <c r="E14" s="35"/>
    </row>
    <row r="16" spans="1:13" x14ac:dyDescent="0.25">
      <c r="A16" s="10" t="s">
        <v>12</v>
      </c>
      <c r="B16" s="19" t="s">
        <v>47</v>
      </c>
    </row>
    <row r="17" spans="1:17" x14ac:dyDescent="0.25">
      <c r="A17" s="1" t="s">
        <v>34</v>
      </c>
      <c r="B17" s="17">
        <f>B61</f>
        <v>2000000</v>
      </c>
      <c r="C17" s="17"/>
      <c r="D17" s="17"/>
      <c r="E17" s="17"/>
      <c r="F17" s="32"/>
    </row>
    <row r="18" spans="1:17" x14ac:dyDescent="0.25">
      <c r="A18" s="1" t="s">
        <v>11</v>
      </c>
      <c r="B18" s="2">
        <v>5</v>
      </c>
      <c r="F18" s="9"/>
    </row>
    <row r="19" spans="1:17" x14ac:dyDescent="0.25">
      <c r="A19" s="1" t="s">
        <v>62</v>
      </c>
      <c r="B19" s="35">
        <f>(B17/1000000)*B18</f>
        <v>10</v>
      </c>
      <c r="C19" s="35"/>
      <c r="D19" s="35"/>
      <c r="E19" s="35"/>
    </row>
    <row r="21" spans="1:17" x14ac:dyDescent="0.25">
      <c r="A21" s="10" t="s">
        <v>15</v>
      </c>
      <c r="B21" s="19" t="s">
        <v>48</v>
      </c>
    </row>
    <row r="22" spans="1:17" x14ac:dyDescent="0.25">
      <c r="A22" s="1" t="s">
        <v>34</v>
      </c>
      <c r="B22" s="17">
        <f>B68</f>
        <v>292215</v>
      </c>
      <c r="C22" s="17"/>
      <c r="D22" s="17"/>
      <c r="E22" s="17"/>
      <c r="F22" s="32"/>
    </row>
    <row r="23" spans="1:17" x14ac:dyDescent="0.25">
      <c r="A23" s="1" t="s">
        <v>11</v>
      </c>
      <c r="B23" s="2">
        <v>5</v>
      </c>
      <c r="F23" s="9"/>
    </row>
    <row r="24" spans="1:17" x14ac:dyDescent="0.25">
      <c r="A24" s="1" t="s">
        <v>62</v>
      </c>
      <c r="B24" s="35">
        <f>(B22/1000000)*B23</f>
        <v>1.4610750000000001</v>
      </c>
      <c r="C24" s="35"/>
      <c r="D24" s="35"/>
      <c r="E24" s="35"/>
    </row>
    <row r="26" spans="1:17" x14ac:dyDescent="0.25">
      <c r="A26" s="10" t="s">
        <v>18</v>
      </c>
      <c r="B26" s="19" t="s">
        <v>49</v>
      </c>
    </row>
    <row r="27" spans="1:17" x14ac:dyDescent="0.25">
      <c r="A27" s="1" t="s">
        <v>34</v>
      </c>
      <c r="B27" s="17">
        <f>4000000*K2</f>
        <v>3960396.0396039602</v>
      </c>
      <c r="C27" s="16"/>
      <c r="D27" s="16"/>
      <c r="E27" s="17"/>
      <c r="F27" s="32"/>
      <c r="Q27" s="25" t="s">
        <v>41</v>
      </c>
    </row>
    <row r="28" spans="1:17" x14ac:dyDescent="0.25">
      <c r="A28" s="1" t="s">
        <v>11</v>
      </c>
      <c r="B28" s="2">
        <v>2</v>
      </c>
      <c r="F28" s="9"/>
    </row>
    <row r="29" spans="1:17" x14ac:dyDescent="0.25">
      <c r="A29" s="1" t="s">
        <v>62</v>
      </c>
      <c r="B29" s="35">
        <f>(B27/1000000)*B28</f>
        <v>7.9207920792079207</v>
      </c>
      <c r="C29" s="35"/>
      <c r="D29" s="35"/>
      <c r="E29" s="35"/>
    </row>
    <row r="31" spans="1:17" x14ac:dyDescent="0.25">
      <c r="A31" s="30" t="s">
        <v>63</v>
      </c>
      <c r="B31" s="34">
        <f>B14+B19+B24+B29</f>
        <v>20.28249084158416</v>
      </c>
      <c r="C31" s="34"/>
      <c r="D31" s="34"/>
      <c r="E31" s="34"/>
    </row>
    <row r="33" spans="1:6" x14ac:dyDescent="0.25">
      <c r="A33" s="33" t="s">
        <v>64</v>
      </c>
      <c r="B33" s="36">
        <f>B8+B31</f>
        <v>245.23249084158417</v>
      </c>
      <c r="C33" s="36"/>
      <c r="D33" s="36"/>
      <c r="E33" s="36"/>
    </row>
    <row r="35" spans="1:6" x14ac:dyDescent="0.25">
      <c r="A35" s="33" t="s">
        <v>65</v>
      </c>
      <c r="B35" s="36">
        <f>0.025*B33</f>
        <v>6.1308122710396047</v>
      </c>
      <c r="C35" s="36"/>
      <c r="D35" s="36"/>
      <c r="E35" s="36"/>
      <c r="F35" s="8"/>
    </row>
    <row r="37" spans="1:6" ht="17.25" x14ac:dyDescent="0.25">
      <c r="A37" s="1" t="s">
        <v>4</v>
      </c>
      <c r="B37" s="2">
        <v>2311</v>
      </c>
    </row>
    <row r="38" spans="1:6" x14ac:dyDescent="0.25">
      <c r="A38" s="1" t="s">
        <v>3</v>
      </c>
      <c r="B38" s="2">
        <v>2</v>
      </c>
      <c r="F38" s="8"/>
    </row>
    <row r="39" spans="1:6" x14ac:dyDescent="0.25">
      <c r="A39" s="1" t="s">
        <v>5</v>
      </c>
      <c r="B39" s="6">
        <f>(2.5717*B37+694)*(-0.0371*B38^2+0.4171*B38-0.0744)</f>
        <v>4057.9832851800002</v>
      </c>
      <c r="C39" s="6"/>
      <c r="D39" s="6"/>
      <c r="E39" s="6"/>
      <c r="F39" s="5"/>
    </row>
    <row r="40" spans="1:6" x14ac:dyDescent="0.25">
      <c r="A40" s="37" t="s">
        <v>17</v>
      </c>
      <c r="B40" s="38">
        <f>(B7/1000)*B39</f>
        <v>202.89916425900003</v>
      </c>
      <c r="C40" s="38"/>
      <c r="D40" s="38"/>
      <c r="E40" s="38"/>
      <c r="F40" s="21"/>
    </row>
    <row r="41" spans="1:6" x14ac:dyDescent="0.25">
      <c r="F41" s="5"/>
    </row>
    <row r="42" spans="1:6" x14ac:dyDescent="0.25">
      <c r="A42" s="37" t="s">
        <v>50</v>
      </c>
      <c r="B42" s="39">
        <v>0.08</v>
      </c>
      <c r="C42" s="39"/>
      <c r="D42" s="39"/>
      <c r="E42" s="39"/>
      <c r="F42" s="8"/>
    </row>
    <row r="43" spans="1:6" x14ac:dyDescent="0.25">
      <c r="A43" s="37" t="s">
        <v>51</v>
      </c>
      <c r="B43" s="39">
        <v>25</v>
      </c>
      <c r="C43" s="39"/>
      <c r="D43" s="39"/>
      <c r="E43" s="39"/>
      <c r="F43" s="8"/>
    </row>
    <row r="44" spans="1:6" x14ac:dyDescent="0.25">
      <c r="F44" s="5"/>
    </row>
    <row r="45" spans="1:6" x14ac:dyDescent="0.25">
      <c r="A45" s="43" t="s">
        <v>40</v>
      </c>
      <c r="B45" s="44">
        <f>(B8*((1+B42)^B43*B42/((1+B42)^B43-1))+B35)/B40*100</f>
        <v>13.407573026793852</v>
      </c>
      <c r="C45" s="44"/>
      <c r="D45" s="44"/>
      <c r="E45" s="44"/>
      <c r="F45" s="5"/>
    </row>
    <row r="46" spans="1:6" x14ac:dyDescent="0.25">
      <c r="A46" s="45" t="s">
        <v>21</v>
      </c>
      <c r="B46" s="46">
        <f>B45/B33*100</f>
        <v>5.4672906435774475</v>
      </c>
      <c r="C46" s="46"/>
      <c r="D46" s="46"/>
      <c r="E46" s="46"/>
    </row>
    <row r="47" spans="1:6" x14ac:dyDescent="0.25">
      <c r="B47" s="3"/>
      <c r="C47" s="3"/>
      <c r="D47" s="3"/>
      <c r="E47" s="3"/>
    </row>
    <row r="48" spans="1:6" x14ac:dyDescent="0.25">
      <c r="A48" s="1" t="s">
        <v>36</v>
      </c>
      <c r="B48" s="7">
        <f>(B33*((1+B42)^B43*B42/((1+B42)^B43-1))+B35)/B40</f>
        <v>0.14344017977225945</v>
      </c>
      <c r="C48" s="7"/>
      <c r="D48" s="7"/>
      <c r="E48" s="7"/>
      <c r="F48" s="5"/>
    </row>
    <row r="49" spans="1:15" x14ac:dyDescent="0.25">
      <c r="A49" s="40" t="s">
        <v>37</v>
      </c>
      <c r="B49" s="41">
        <f>B48*100</f>
        <v>14.344017977225946</v>
      </c>
      <c r="C49" s="41"/>
      <c r="D49" s="41"/>
      <c r="E49" s="41"/>
      <c r="F49" s="5"/>
    </row>
    <row r="50" spans="1:15" x14ac:dyDescent="0.25">
      <c r="A50" s="26" t="s">
        <v>6</v>
      </c>
      <c r="B50" s="42">
        <f>B49*N50/100</f>
        <v>20.146173249013838</v>
      </c>
      <c r="C50" s="42"/>
      <c r="D50" s="42"/>
      <c r="E50" s="42"/>
      <c r="F50" s="30" t="s">
        <v>45</v>
      </c>
      <c r="G50" s="27"/>
      <c r="H50" s="27" t="s">
        <v>38</v>
      </c>
      <c r="I50" s="27"/>
      <c r="J50" s="27"/>
      <c r="K50" s="27"/>
      <c r="L50" s="27">
        <v>1</v>
      </c>
      <c r="M50" s="27" t="s">
        <v>32</v>
      </c>
      <c r="N50" s="49">
        <v>140.44999999999999</v>
      </c>
      <c r="O50" s="49" t="s">
        <v>39</v>
      </c>
    </row>
    <row r="51" spans="1:15" x14ac:dyDescent="0.25">
      <c r="B51" s="6"/>
      <c r="C51" s="6"/>
      <c r="D51" s="6"/>
      <c r="E51" s="6"/>
      <c r="F51" s="5"/>
    </row>
    <row r="52" spans="1:15" x14ac:dyDescent="0.25">
      <c r="B52" s="3"/>
      <c r="C52" s="3"/>
      <c r="D52" s="3"/>
      <c r="E52" s="3"/>
      <c r="F52" s="5"/>
    </row>
    <row r="53" spans="1:15" x14ac:dyDescent="0.25">
      <c r="B53" s="3"/>
      <c r="C53" s="3"/>
      <c r="D53" s="3"/>
      <c r="E53" s="3"/>
    </row>
    <row r="55" spans="1:15" x14ac:dyDescent="0.25">
      <c r="A55" s="47" t="s">
        <v>52</v>
      </c>
      <c r="B55" s="15" t="s">
        <v>10</v>
      </c>
    </row>
    <row r="56" spans="1:15" x14ac:dyDescent="0.25">
      <c r="B56" s="13">
        <f>E56*K2</f>
        <v>44554.455445544554</v>
      </c>
      <c r="C56" s="12" t="s">
        <v>35</v>
      </c>
      <c r="D56" s="19"/>
      <c r="E56" s="1">
        <v>45000</v>
      </c>
      <c r="F56" s="12" t="s">
        <v>9</v>
      </c>
    </row>
    <row r="57" spans="1:15" x14ac:dyDescent="0.25">
      <c r="B57" s="11">
        <v>1.123</v>
      </c>
      <c r="C57" s="12" t="s">
        <v>20</v>
      </c>
      <c r="D57" s="19"/>
      <c r="E57" s="19" t="s">
        <v>53</v>
      </c>
    </row>
    <row r="58" spans="1:15" x14ac:dyDescent="0.25">
      <c r="B58" s="13">
        <f>B56*B57</f>
        <v>50034.653465346535</v>
      </c>
      <c r="C58" s="12" t="s">
        <v>35</v>
      </c>
      <c r="D58" s="19"/>
    </row>
    <row r="60" spans="1:15" x14ac:dyDescent="0.25">
      <c r="B60" s="15" t="s">
        <v>12</v>
      </c>
    </row>
    <row r="61" spans="1:15" x14ac:dyDescent="0.25">
      <c r="B61" s="13">
        <v>2000000</v>
      </c>
      <c r="C61" s="12" t="s">
        <v>35</v>
      </c>
      <c r="E61" s="1"/>
    </row>
    <row r="63" spans="1:15" x14ac:dyDescent="0.25">
      <c r="B63" s="15" t="s">
        <v>15</v>
      </c>
      <c r="G63" s="18"/>
    </row>
    <row r="64" spans="1:15" x14ac:dyDescent="0.25">
      <c r="B64" s="1" t="s">
        <v>54</v>
      </c>
      <c r="F64" s="30" t="s">
        <v>45</v>
      </c>
      <c r="G64" s="27"/>
      <c r="H64" s="48">
        <v>1</v>
      </c>
      <c r="I64" s="27" t="s">
        <v>32</v>
      </c>
      <c r="J64" s="27">
        <v>1.01</v>
      </c>
      <c r="K64" s="27" t="s">
        <v>14</v>
      </c>
      <c r="L64" s="27" t="s">
        <v>16</v>
      </c>
      <c r="M64" s="27"/>
    </row>
    <row r="65" spans="1:9" x14ac:dyDescent="0.25">
      <c r="B65" s="11">
        <v>21000</v>
      </c>
      <c r="C65" s="2" t="s">
        <v>7</v>
      </c>
      <c r="D65" s="11">
        <v>1</v>
      </c>
      <c r="E65" s="12" t="s">
        <v>8</v>
      </c>
    </row>
    <row r="66" spans="1:9" x14ac:dyDescent="0.25">
      <c r="B66" s="11">
        <f>B65*D66</f>
        <v>231000</v>
      </c>
      <c r="C66" s="2" t="s">
        <v>13</v>
      </c>
      <c r="D66" s="11">
        <v>11</v>
      </c>
      <c r="E66" s="12" t="s">
        <v>8</v>
      </c>
      <c r="F66" s="50" t="s">
        <v>19</v>
      </c>
    </row>
    <row r="67" spans="1:9" x14ac:dyDescent="0.25">
      <c r="B67" s="11">
        <v>1.2649999999999999</v>
      </c>
      <c r="C67" s="12" t="s">
        <v>42</v>
      </c>
      <c r="D67" s="19"/>
      <c r="E67" s="19" t="s">
        <v>53</v>
      </c>
    </row>
    <row r="68" spans="1:9" x14ac:dyDescent="0.25">
      <c r="B68" s="11">
        <f>B66*B67</f>
        <v>292215</v>
      </c>
    </row>
    <row r="69" spans="1:9" x14ac:dyDescent="0.25">
      <c r="B69" s="14"/>
      <c r="D69" s="1"/>
      <c r="E69" s="1"/>
      <c r="I69"/>
    </row>
    <row r="70" spans="1:9" x14ac:dyDescent="0.25">
      <c r="B70" s="15"/>
    </row>
    <row r="71" spans="1:9" x14ac:dyDescent="0.25">
      <c r="A71" s="47" t="s">
        <v>55</v>
      </c>
      <c r="B71" s="4" t="s">
        <v>0</v>
      </c>
      <c r="C71" s="4" t="s">
        <v>22</v>
      </c>
      <c r="D71" s="4" t="s">
        <v>1</v>
      </c>
      <c r="E71" s="4" t="s">
        <v>23</v>
      </c>
      <c r="F71" s="11"/>
    </row>
    <row r="72" spans="1:9" x14ac:dyDescent="0.25">
      <c r="A72" s="22" t="s">
        <v>43</v>
      </c>
      <c r="B72" s="7">
        <f>B48</f>
        <v>0.14344017977225945</v>
      </c>
      <c r="C72" s="7">
        <f>C48</f>
        <v>0</v>
      </c>
      <c r="D72" s="7">
        <f>D48</f>
        <v>0</v>
      </c>
      <c r="E72" s="7">
        <f>E48</f>
        <v>0</v>
      </c>
    </row>
    <row r="73" spans="1:9" x14ac:dyDescent="0.25">
      <c r="B73" s="11"/>
      <c r="D73" s="11"/>
      <c r="E73" s="12"/>
    </row>
    <row r="74" spans="1:9" x14ac:dyDescent="0.25">
      <c r="B74" s="11"/>
    </row>
    <row r="92" spans="1:11" x14ac:dyDescent="0.25">
      <c r="A92" s="47" t="s">
        <v>56</v>
      </c>
    </row>
    <row r="93" spans="1:11" x14ac:dyDescent="0.25">
      <c r="A93" s="47"/>
    </row>
    <row r="94" spans="1:11" x14ac:dyDescent="0.25">
      <c r="A94" s="24" t="s">
        <v>24</v>
      </c>
    </row>
    <row r="95" spans="1:11" x14ac:dyDescent="0.25">
      <c r="A95" s="1" t="s">
        <v>25</v>
      </c>
      <c r="B95"/>
      <c r="J95"/>
      <c r="K95"/>
    </row>
    <row r="96" spans="1:11" x14ac:dyDescent="0.25">
      <c r="A96" s="1" t="s">
        <v>26</v>
      </c>
      <c r="B96" s="23"/>
      <c r="K96"/>
    </row>
    <row r="97" spans="1:11" x14ac:dyDescent="0.25">
      <c r="A97" s="1" t="s">
        <v>27</v>
      </c>
      <c r="K97"/>
    </row>
    <row r="98" spans="1:11" x14ac:dyDescent="0.25">
      <c r="A98" s="1" t="s">
        <v>28</v>
      </c>
      <c r="K98"/>
    </row>
    <row r="100" spans="1:11" x14ac:dyDescent="0.25">
      <c r="A100" s="1" t="s">
        <v>29</v>
      </c>
      <c r="B100" s="2" t="s">
        <v>30</v>
      </c>
      <c r="C100" s="19" t="s">
        <v>57</v>
      </c>
    </row>
  </sheetData>
  <hyperlinks>
    <hyperlink ref="A95" r:id="rId1" display="https://www.energy.gov/eere/solar/concentrating-solar-power" xr:uid="{00000000-0004-0000-0000-000000000000}"/>
    <hyperlink ref="A94" r:id="rId2" xr:uid="{00000000-0004-0000-0000-000001000000}"/>
    <hyperlink ref="F66" r:id="rId3" xr:uid="{00000000-0004-0000-0000-000002000000}"/>
  </hyperlinks>
  <pageMargins left="0.7" right="0.7" top="0.75" bottom="0.75" header="0.3" footer="0.3"/>
  <pageSetup paperSize="9" orientation="portrait" verticalDpi="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2023-03-10T14:14:40Z</dcterms:modified>
</cp:coreProperties>
</file>