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ichard Lambert\Documents\Exec Ed - Coursera - Decision Making and Scenarios\00-Thurs - April 7\Module 4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5" i="1" l="1"/>
  <c r="J155" i="1"/>
  <c r="I155" i="1"/>
  <c r="H155" i="1"/>
  <c r="G155" i="1"/>
  <c r="F155" i="1"/>
  <c r="E155" i="1"/>
  <c r="D151" i="1"/>
  <c r="L149" i="1"/>
  <c r="K147" i="1" l="1"/>
  <c r="J147" i="1"/>
  <c r="I147" i="1"/>
  <c r="H147" i="1"/>
  <c r="G147" i="1"/>
  <c r="F146" i="1"/>
  <c r="E146" i="1"/>
  <c r="L154" i="1"/>
  <c r="L155" i="1" s="1"/>
  <c r="L147" i="1"/>
  <c r="L101" i="1"/>
  <c r="L137" i="1"/>
  <c r="L136" i="1"/>
  <c r="L113" i="1"/>
  <c r="L93" i="1"/>
  <c r="L77" i="1"/>
  <c r="L138" i="1" s="1"/>
  <c r="B34" i="1" l="1"/>
  <c r="B31" i="1"/>
  <c r="B25" i="1"/>
  <c r="D90" i="1" l="1"/>
  <c r="E104" i="1"/>
  <c r="F98" i="1"/>
  <c r="E98" i="1"/>
  <c r="F89" i="1"/>
  <c r="E89" i="1"/>
  <c r="D122" i="1"/>
  <c r="E115" i="1"/>
  <c r="D91" i="1"/>
  <c r="G63" i="1"/>
  <c r="F60" i="1"/>
  <c r="E60" i="1"/>
  <c r="F57" i="1"/>
  <c r="E57" i="1"/>
  <c r="F55" i="1"/>
  <c r="G56" i="1" s="1"/>
  <c r="E55" i="1"/>
  <c r="F56" i="1" s="1"/>
  <c r="K49" i="1"/>
  <c r="K136" i="1" s="1"/>
  <c r="J49" i="1"/>
  <c r="J136" i="1" s="1"/>
  <c r="I49" i="1"/>
  <c r="I136" i="1" s="1"/>
  <c r="H49" i="1"/>
  <c r="H136" i="1" s="1"/>
  <c r="G49" i="1"/>
  <c r="G136" i="1" s="1"/>
  <c r="F49" i="1"/>
  <c r="F136" i="1" s="1"/>
  <c r="E49" i="1"/>
  <c r="E136" i="1" s="1"/>
  <c r="P44" i="1"/>
  <c r="K137" i="1"/>
  <c r="J137" i="1"/>
  <c r="I137" i="1"/>
  <c r="H137" i="1"/>
  <c r="G137" i="1"/>
  <c r="K78" i="1"/>
  <c r="K139" i="1" s="1"/>
  <c r="J78" i="1"/>
  <c r="J139" i="1" s="1"/>
  <c r="I78" i="1"/>
  <c r="I139" i="1" s="1"/>
  <c r="H78" i="1"/>
  <c r="H139" i="1" s="1"/>
  <c r="G78" i="1"/>
  <c r="G139" i="1" s="1"/>
  <c r="F78" i="1"/>
  <c r="F139" i="1" s="1"/>
  <c r="E78" i="1"/>
  <c r="E139" i="1" s="1"/>
  <c r="F77" i="1"/>
  <c r="E77" i="1"/>
  <c r="F76" i="1"/>
  <c r="E76" i="1"/>
  <c r="K48" i="1"/>
  <c r="K75" i="1" s="1"/>
  <c r="K113" i="1" s="1"/>
  <c r="J48" i="1"/>
  <c r="J75" i="1" s="1"/>
  <c r="J113" i="1" s="1"/>
  <c r="I48" i="1"/>
  <c r="I75" i="1" s="1"/>
  <c r="I113" i="1" s="1"/>
  <c r="H48" i="1"/>
  <c r="H75" i="1" s="1"/>
  <c r="H113" i="1" s="1"/>
  <c r="G48" i="1"/>
  <c r="G75" i="1" s="1"/>
  <c r="G113" i="1" s="1"/>
  <c r="F48" i="1"/>
  <c r="F75" i="1" s="1"/>
  <c r="F113" i="1" s="1"/>
  <c r="F53" i="1"/>
  <c r="F72" i="1" s="1"/>
  <c r="E53" i="1"/>
  <c r="E72" i="1" s="1"/>
  <c r="G52" i="1"/>
  <c r="G60" i="1" s="1"/>
  <c r="G51" i="1"/>
  <c r="H51" i="1" s="1"/>
  <c r="H57" i="1" s="1"/>
  <c r="E48" i="1"/>
  <c r="E75" i="1" s="1"/>
  <c r="E92" i="1" s="1"/>
  <c r="P20" i="1"/>
  <c r="P19" i="1"/>
  <c r="F115" i="1" l="1"/>
  <c r="F88" i="1"/>
  <c r="F145" i="1"/>
  <c r="E88" i="1"/>
  <c r="E114" i="1" s="1"/>
  <c r="E145" i="1"/>
  <c r="F138" i="1"/>
  <c r="F148" i="1"/>
  <c r="E137" i="1"/>
  <c r="E147" i="1"/>
  <c r="H52" i="1"/>
  <c r="H60" i="1" s="1"/>
  <c r="H65" i="1" s="1"/>
  <c r="H73" i="1" s="1"/>
  <c r="F137" i="1"/>
  <c r="F147" i="1"/>
  <c r="E138" i="1"/>
  <c r="E148" i="1"/>
  <c r="G77" i="1"/>
  <c r="G99" i="1" s="1"/>
  <c r="G53" i="1"/>
  <c r="G72" i="1" s="1"/>
  <c r="G88" i="1" s="1"/>
  <c r="D121" i="1"/>
  <c r="D93" i="1"/>
  <c r="D94" i="1" s="1"/>
  <c r="E91" i="1"/>
  <c r="E93" i="1" s="1"/>
  <c r="F116" i="1"/>
  <c r="D101" i="1"/>
  <c r="E99" i="1"/>
  <c r="E117" i="1" s="1"/>
  <c r="D106" i="1"/>
  <c r="E58" i="1"/>
  <c r="F104" i="1"/>
  <c r="F92" i="1"/>
  <c r="G92" i="1" s="1"/>
  <c r="H92" i="1" s="1"/>
  <c r="F58" i="1"/>
  <c r="F99" i="1"/>
  <c r="F117" i="1" s="1"/>
  <c r="E73" i="1"/>
  <c r="E134" i="1" s="1"/>
  <c r="E133" i="1"/>
  <c r="G55" i="1"/>
  <c r="H56" i="1" s="1"/>
  <c r="G57" i="1"/>
  <c r="G65" i="1" s="1"/>
  <c r="G73" i="1" s="1"/>
  <c r="E113" i="1"/>
  <c r="E116" i="1"/>
  <c r="F133" i="1"/>
  <c r="F91" i="1"/>
  <c r="F93" i="1" s="1"/>
  <c r="P42" i="1"/>
  <c r="F73" i="1"/>
  <c r="F134" i="1" s="1"/>
  <c r="H55" i="1"/>
  <c r="I56" i="1" s="1"/>
  <c r="E74" i="1"/>
  <c r="E135" i="1" s="1"/>
  <c r="H77" i="1"/>
  <c r="I51" i="1"/>
  <c r="I52" i="1" l="1"/>
  <c r="J52" i="1" s="1"/>
  <c r="H53" i="1"/>
  <c r="H72" i="1" s="1"/>
  <c r="H88" i="1" s="1"/>
  <c r="H114" i="1" s="1"/>
  <c r="D124" i="1"/>
  <c r="D153" i="1"/>
  <c r="D155" i="1" s="1"/>
  <c r="D157" i="1" s="1"/>
  <c r="G114" i="1"/>
  <c r="H148" i="1"/>
  <c r="F114" i="1"/>
  <c r="E140" i="1"/>
  <c r="G133" i="1"/>
  <c r="H145" i="1"/>
  <c r="G145" i="1"/>
  <c r="G138" i="1"/>
  <c r="G148" i="1"/>
  <c r="G117" i="1"/>
  <c r="F101" i="1"/>
  <c r="D108" i="1"/>
  <c r="E101" i="1"/>
  <c r="F74" i="1"/>
  <c r="F135" i="1" s="1"/>
  <c r="F140" i="1" s="1"/>
  <c r="F141" i="1" s="1"/>
  <c r="G58" i="1"/>
  <c r="G64" i="1" s="1"/>
  <c r="H58" i="1"/>
  <c r="H64" i="1" s="1"/>
  <c r="G104" i="1"/>
  <c r="G91" i="1"/>
  <c r="G93" i="1" s="1"/>
  <c r="H138" i="1"/>
  <c r="H99" i="1"/>
  <c r="H117" i="1" s="1"/>
  <c r="E79" i="1"/>
  <c r="I92" i="1"/>
  <c r="I57" i="1"/>
  <c r="I55" i="1"/>
  <c r="J56" i="1" s="1"/>
  <c r="H134" i="1"/>
  <c r="H133" i="1"/>
  <c r="J51" i="1"/>
  <c r="I53" i="1"/>
  <c r="I72" i="1" s="1"/>
  <c r="I145" i="1" s="1"/>
  <c r="I77" i="1"/>
  <c r="I148" i="1" s="1"/>
  <c r="I60" i="1" l="1"/>
  <c r="G66" i="1"/>
  <c r="H63" i="1" s="1"/>
  <c r="H66" i="1" s="1"/>
  <c r="E141" i="1"/>
  <c r="E150" i="1" s="1"/>
  <c r="E151" i="1" s="1"/>
  <c r="E157" i="1" s="1"/>
  <c r="F80" i="1"/>
  <c r="F150" i="1"/>
  <c r="F151" i="1" s="1"/>
  <c r="F157" i="1" s="1"/>
  <c r="H146" i="1"/>
  <c r="G98" i="1"/>
  <c r="G146" i="1"/>
  <c r="G134" i="1"/>
  <c r="G74" i="1"/>
  <c r="I88" i="1"/>
  <c r="I114" i="1" s="1"/>
  <c r="H98" i="1"/>
  <c r="F79" i="1"/>
  <c r="G89" i="1"/>
  <c r="I138" i="1"/>
  <c r="I99" i="1"/>
  <c r="I117" i="1" s="1"/>
  <c r="H91" i="1"/>
  <c r="H93" i="1" s="1"/>
  <c r="H104" i="1"/>
  <c r="H74" i="1"/>
  <c r="H135" i="1" s="1"/>
  <c r="H140" i="1" s="1"/>
  <c r="J92" i="1"/>
  <c r="K52" i="1"/>
  <c r="K60" i="1" s="1"/>
  <c r="J60" i="1"/>
  <c r="J57" i="1"/>
  <c r="J55" i="1"/>
  <c r="K56" i="1" s="1"/>
  <c r="I65" i="1"/>
  <c r="I73" i="1" s="1"/>
  <c r="I134" i="1" s="1"/>
  <c r="I58" i="1"/>
  <c r="I64" i="1" s="1"/>
  <c r="I146" i="1" s="1"/>
  <c r="I133" i="1"/>
  <c r="K51" i="1"/>
  <c r="J53" i="1"/>
  <c r="J72" i="1" s="1"/>
  <c r="J145" i="1" s="1"/>
  <c r="J77" i="1"/>
  <c r="J148" i="1" s="1"/>
  <c r="E80" i="1" l="1"/>
  <c r="E81" i="1" s="1"/>
  <c r="E105" i="1" s="1"/>
  <c r="F105" i="1" s="1"/>
  <c r="F81" i="1"/>
  <c r="F112" i="1" s="1"/>
  <c r="F119" i="1" s="1"/>
  <c r="F124" i="1" s="1"/>
  <c r="H116" i="1"/>
  <c r="G135" i="1"/>
  <c r="G140" i="1" s="1"/>
  <c r="G79" i="1"/>
  <c r="G116" i="1"/>
  <c r="G101" i="1"/>
  <c r="I74" i="1"/>
  <c r="I135" i="1" s="1"/>
  <c r="I140" i="1" s="1"/>
  <c r="H101" i="1"/>
  <c r="J88" i="1"/>
  <c r="J114" i="1" s="1"/>
  <c r="H79" i="1"/>
  <c r="J138" i="1"/>
  <c r="J99" i="1"/>
  <c r="J117" i="1" s="1"/>
  <c r="I104" i="1"/>
  <c r="I91" i="1"/>
  <c r="I93" i="1" s="1"/>
  <c r="I63" i="1"/>
  <c r="I66" i="1" s="1"/>
  <c r="H89" i="1"/>
  <c r="I98" i="1"/>
  <c r="G115" i="1"/>
  <c r="K92" i="1"/>
  <c r="K57" i="1"/>
  <c r="K55" i="1"/>
  <c r="J58" i="1"/>
  <c r="J64" i="1" s="1"/>
  <c r="J146" i="1" s="1"/>
  <c r="J65" i="1"/>
  <c r="J73" i="1" s="1"/>
  <c r="J134" i="1" s="1"/>
  <c r="J133" i="1"/>
  <c r="H141" i="1"/>
  <c r="H150" i="1" s="1"/>
  <c r="H151" i="1" s="1"/>
  <c r="H157" i="1" s="1"/>
  <c r="K53" i="1"/>
  <c r="K72" i="1" s="1"/>
  <c r="K145" i="1" s="1"/>
  <c r="K77" i="1"/>
  <c r="K148" i="1" s="1"/>
  <c r="E106" i="1" l="1"/>
  <c r="E108" i="1" s="1"/>
  <c r="E112" i="1"/>
  <c r="E119" i="1" s="1"/>
  <c r="E124" i="1" s="1"/>
  <c r="E87" i="1" s="1"/>
  <c r="F87" i="1" s="1"/>
  <c r="F90" i="1" s="1"/>
  <c r="F94" i="1" s="1"/>
  <c r="I79" i="1"/>
  <c r="G141" i="1"/>
  <c r="G80" i="1" s="1"/>
  <c r="G81" i="1" s="1"/>
  <c r="G112" i="1" s="1"/>
  <c r="G119" i="1" s="1"/>
  <c r="G124" i="1" s="1"/>
  <c r="L51" i="1"/>
  <c r="L57" i="1" s="1"/>
  <c r="L56" i="1"/>
  <c r="H80" i="1"/>
  <c r="H81" i="1" s="1"/>
  <c r="H112" i="1" s="1"/>
  <c r="J98" i="1"/>
  <c r="J116" i="1" s="1"/>
  <c r="K88" i="1"/>
  <c r="J74" i="1"/>
  <c r="J79" i="1" s="1"/>
  <c r="H115" i="1"/>
  <c r="J104" i="1"/>
  <c r="K138" i="1"/>
  <c r="K99" i="1"/>
  <c r="L148" i="1" s="1"/>
  <c r="F106" i="1"/>
  <c r="F108" i="1" s="1"/>
  <c r="I116" i="1"/>
  <c r="I101" i="1"/>
  <c r="J63" i="1"/>
  <c r="J66" i="1" s="1"/>
  <c r="I89" i="1"/>
  <c r="J91" i="1"/>
  <c r="J93" i="1" s="1"/>
  <c r="K58" i="1"/>
  <c r="K64" i="1" s="1"/>
  <c r="K146" i="1" s="1"/>
  <c r="K65" i="1"/>
  <c r="K73" i="1" s="1"/>
  <c r="K134" i="1" s="1"/>
  <c r="K133" i="1"/>
  <c r="I141" i="1"/>
  <c r="I150" i="1" s="1"/>
  <c r="I151" i="1" s="1"/>
  <c r="I157" i="1" s="1"/>
  <c r="E90" i="1" l="1"/>
  <c r="E94" i="1" s="1"/>
  <c r="G87" i="1"/>
  <c r="G90" i="1" s="1"/>
  <c r="G94" i="1" s="1"/>
  <c r="G150" i="1"/>
  <c r="G151" i="1" s="1"/>
  <c r="G157" i="1" s="1"/>
  <c r="J101" i="1"/>
  <c r="H119" i="1"/>
  <c r="H124" i="1" s="1"/>
  <c r="G105" i="1"/>
  <c r="H105" i="1" s="1"/>
  <c r="J135" i="1"/>
  <c r="J140" i="1" s="1"/>
  <c r="J141" i="1" s="1"/>
  <c r="J150" i="1" s="1"/>
  <c r="J151" i="1" s="1"/>
  <c r="J157" i="1" s="1"/>
  <c r="K117" i="1"/>
  <c r="L117" i="1"/>
  <c r="K114" i="1"/>
  <c r="L114" i="1"/>
  <c r="L58" i="1"/>
  <c r="I80" i="1"/>
  <c r="I81" i="1" s="1"/>
  <c r="I112" i="1" s="1"/>
  <c r="K98" i="1"/>
  <c r="L146" i="1" s="1"/>
  <c r="K74" i="1"/>
  <c r="K79" i="1" s="1"/>
  <c r="K63" i="1"/>
  <c r="K66" i="1" s="1"/>
  <c r="J89" i="1"/>
  <c r="K104" i="1"/>
  <c r="L104" i="1" s="1"/>
  <c r="I115" i="1"/>
  <c r="K91" i="1"/>
  <c r="K93" i="1" s="1"/>
  <c r="L118" i="1" l="1"/>
  <c r="L122" i="1" s="1"/>
  <c r="L78" i="1"/>
  <c r="L139" i="1" s="1"/>
  <c r="H87" i="1"/>
  <c r="G106" i="1"/>
  <c r="G108" i="1" s="1"/>
  <c r="K135" i="1"/>
  <c r="K140" i="1" s="1"/>
  <c r="K101" i="1"/>
  <c r="L116" i="1"/>
  <c r="K89" i="1"/>
  <c r="L115" i="1" s="1"/>
  <c r="L63" i="1"/>
  <c r="L53" i="1"/>
  <c r="L72" i="1" s="1"/>
  <c r="L145" i="1" s="1"/>
  <c r="L65" i="1"/>
  <c r="L73" i="1" s="1"/>
  <c r="L134" i="1" s="1"/>
  <c r="I119" i="1"/>
  <c r="I124" i="1" s="1"/>
  <c r="I87" i="1" s="1"/>
  <c r="J80" i="1"/>
  <c r="J81" i="1" s="1"/>
  <c r="J112" i="1" s="1"/>
  <c r="K116" i="1"/>
  <c r="H90" i="1"/>
  <c r="H94" i="1" s="1"/>
  <c r="J115" i="1"/>
  <c r="K141" i="1"/>
  <c r="K150" i="1" s="1"/>
  <c r="K151" i="1" s="1"/>
  <c r="K157" i="1" s="1"/>
  <c r="I105" i="1"/>
  <c r="H106" i="1"/>
  <c r="H108" i="1" s="1"/>
  <c r="K115" i="1" l="1"/>
  <c r="L66" i="1"/>
  <c r="J119" i="1"/>
  <c r="J124" i="1" s="1"/>
  <c r="J87" i="1" s="1"/>
  <c r="L74" i="1"/>
  <c r="L133" i="1"/>
  <c r="K80" i="1"/>
  <c r="K81" i="1" s="1"/>
  <c r="K112" i="1" s="1"/>
  <c r="I90" i="1"/>
  <c r="I94" i="1" s="1"/>
  <c r="J105" i="1"/>
  <c r="I106" i="1"/>
  <c r="I108" i="1" s="1"/>
  <c r="K119" i="1" l="1"/>
  <c r="K124" i="1" s="1"/>
  <c r="L135" i="1"/>
  <c r="L140" i="1" s="1"/>
  <c r="L141" i="1" s="1"/>
  <c r="L79" i="1"/>
  <c r="J90" i="1"/>
  <c r="J94" i="1" s="1"/>
  <c r="K105" i="1"/>
  <c r="K106" i="1" s="1"/>
  <c r="K108" i="1" s="1"/>
  <c r="J106" i="1"/>
  <c r="J108" i="1" s="1"/>
  <c r="K87" i="1" l="1"/>
  <c r="K90" i="1" s="1"/>
  <c r="K94" i="1" s="1"/>
  <c r="L80" i="1"/>
  <c r="L81" i="1" s="1"/>
  <c r="L150" i="1"/>
  <c r="L151" i="1" s="1"/>
  <c r="L157" i="1" s="1"/>
  <c r="L105" i="1" l="1"/>
  <c r="L106" i="1" s="1"/>
  <c r="L108" i="1" s="1"/>
  <c r="L112" i="1"/>
  <c r="L119" i="1" s="1"/>
  <c r="L124" i="1" s="1"/>
  <c r="D129" i="1" s="1"/>
  <c r="D126" i="1" l="1"/>
  <c r="D127" i="1" s="1"/>
  <c r="L87" i="1"/>
  <c r="L90" i="1" s="1"/>
  <c r="L94" i="1" s="1"/>
</calcChain>
</file>

<file path=xl/sharedStrings.xml><?xml version="1.0" encoding="utf-8"?>
<sst xmlns="http://schemas.openxmlformats.org/spreadsheetml/2006/main" count="119" uniqueCount="109">
  <si>
    <t>Sales Growth Rate per year</t>
  </si>
  <si>
    <t>Product Gross Margin Pct</t>
  </si>
  <si>
    <t>Sales Price Per Unit</t>
  </si>
  <si>
    <t>Useful Life in Years</t>
  </si>
  <si>
    <t>Total Current Assets</t>
  </si>
  <si>
    <t>Long Term Assets</t>
  </si>
  <si>
    <t>Total Assets</t>
  </si>
  <si>
    <t>Liabilities</t>
  </si>
  <si>
    <t>Total Liabilites</t>
  </si>
  <si>
    <t>Owners Equity</t>
  </si>
  <si>
    <t>Assets</t>
  </si>
  <si>
    <t>Current Assets</t>
  </si>
  <si>
    <t xml:space="preserve">     Cash</t>
  </si>
  <si>
    <t xml:space="preserve">     Accounts Receivable</t>
  </si>
  <si>
    <t xml:space="preserve">     Inventory</t>
  </si>
  <si>
    <t xml:space="preserve">     Property Plant and Equipment</t>
  </si>
  <si>
    <t xml:space="preserve">     Less Accumulated Depreciation</t>
  </si>
  <si>
    <t xml:space="preserve">     Accounts Payable</t>
  </si>
  <si>
    <t xml:space="preserve">     Wages and Benefits Payable</t>
  </si>
  <si>
    <t xml:space="preserve">     Other Liabilties</t>
  </si>
  <si>
    <t xml:space="preserve">     Contributed Capital</t>
  </si>
  <si>
    <t xml:space="preserve">     Retained Earnings</t>
  </si>
  <si>
    <t>Total Liabilties and Owners Equity</t>
  </si>
  <si>
    <t>Total Owners Equity</t>
  </si>
  <si>
    <t>INCOME STATEMENT</t>
  </si>
  <si>
    <t>Sales Revenue</t>
  </si>
  <si>
    <t>Cost of Goods Sold</t>
  </si>
  <si>
    <t>Gross Margin</t>
  </si>
  <si>
    <t xml:space="preserve">   Depreciation Expense</t>
  </si>
  <si>
    <t xml:space="preserve">   Research &amp; Development</t>
  </si>
  <si>
    <t xml:space="preserve">   SG&amp;A</t>
  </si>
  <si>
    <t xml:space="preserve">   Pre-tax Income</t>
  </si>
  <si>
    <t xml:space="preserve">      Tax Expense</t>
  </si>
  <si>
    <t>Tax rate</t>
  </si>
  <si>
    <t>Discount Rate</t>
  </si>
  <si>
    <t>cm</t>
  </si>
  <si>
    <t>Intermediate Calculations</t>
  </si>
  <si>
    <t>Book Depreciation Per Year</t>
  </si>
  <si>
    <t>Tax Depreciation Per Year</t>
  </si>
  <si>
    <t>Income For Tax Purposes</t>
  </si>
  <si>
    <t>Tax Depreciation Percentage</t>
  </si>
  <si>
    <t xml:space="preserve">     In year of sale</t>
  </si>
  <si>
    <t>Desired Units of Inventory as a Percent of that year's sales</t>
  </si>
  <si>
    <t>Inventory in Units @ Beg of Year</t>
  </si>
  <si>
    <t>Production in Units</t>
  </si>
  <si>
    <t>Inventory in Dollars @ End of Year (LIFO)</t>
  </si>
  <si>
    <t>Inventory in Dollars @ Beg of Year</t>
  </si>
  <si>
    <t>Cost of Goods Sold (LIFO)</t>
  </si>
  <si>
    <t>Production Costs This year</t>
  </si>
  <si>
    <t>Production Costs Per Unit (inflation built in)</t>
  </si>
  <si>
    <t>Sales Price (inflation built in)</t>
  </si>
  <si>
    <t xml:space="preserve"> Current Liabilities</t>
  </si>
  <si>
    <t>CASH FLOW STATEMENT</t>
  </si>
  <si>
    <t>Net Income</t>
  </si>
  <si>
    <t>Add Depreciation</t>
  </si>
  <si>
    <t>Minus Change in Accts Rec</t>
  </si>
  <si>
    <t>Minus Change in Inventory</t>
  </si>
  <si>
    <t>Other</t>
  </si>
  <si>
    <t>Cash From Operations</t>
  </si>
  <si>
    <t>Investment in PPE</t>
  </si>
  <si>
    <t>Disposal of PPE</t>
  </si>
  <si>
    <t>Net Cash Inflow (Outflow)</t>
  </si>
  <si>
    <t xml:space="preserve">   Following year</t>
  </si>
  <si>
    <t xml:space="preserve">     Percent Paid this year</t>
  </si>
  <si>
    <t xml:space="preserve">     Percent Paid next year</t>
  </si>
  <si>
    <t>Payments to Employees for Compensaton and Benefits Earned this year</t>
  </si>
  <si>
    <t xml:space="preserve">     Percent Paid Next year</t>
  </si>
  <si>
    <t>NPV of future cash flows</t>
  </si>
  <si>
    <t>Internal Rate of Return</t>
  </si>
  <si>
    <t>Cash Flow Statement Direct</t>
  </si>
  <si>
    <t>Cash Collections from Customers</t>
  </si>
  <si>
    <t>Payments to Suppliers</t>
  </si>
  <si>
    <t>Payments to Employees</t>
  </si>
  <si>
    <t>Payments for Taxes</t>
  </si>
  <si>
    <t>Payments for R&amp;D</t>
  </si>
  <si>
    <t>ASSUMPTIONS</t>
  </si>
  <si>
    <t>BALANCE SHEET</t>
  </si>
  <si>
    <t>Residual Value for Depreciation Purposes</t>
  </si>
  <si>
    <t xml:space="preserve">   Other Losses (Gains)</t>
  </si>
  <si>
    <t>NPV including Initial Investment</t>
  </si>
  <si>
    <t>R&amp;D per year During Startup Phase (in cash and expensed)</t>
  </si>
  <si>
    <t>Iniital Investment in PPE (paid in cash)</t>
  </si>
  <si>
    <t>Startup Phase</t>
  </si>
  <si>
    <t>Termination / Shut Down Phase</t>
  </si>
  <si>
    <t>Working Capital Timing Issues</t>
  </si>
  <si>
    <t>Operating Phase - Sales</t>
  </si>
  <si>
    <t>Inflation Rate for Sales and COGS</t>
  </si>
  <si>
    <t>Iniitial Sales Volume (in units) - Starts in Year 3</t>
  </si>
  <si>
    <t>SG&amp;A - Fixed Costs per year (not subject to inflation) - Starts in Year 1</t>
  </si>
  <si>
    <t>SG&amp;A - Variable Cost Per Unit (not subject to inflation) Starts in Year 3 because there are no sales until then</t>
  </si>
  <si>
    <t>Sales Volume (Growth built in)</t>
  </si>
  <si>
    <t>Desired Inventory in Units @ End of Year</t>
  </si>
  <si>
    <t>Forecasted Sales in Units</t>
  </si>
  <si>
    <t xml:space="preserve">      Tax Expense (Benefit)</t>
  </si>
  <si>
    <t xml:space="preserve">   Pre-tax Income (Loss(</t>
  </si>
  <si>
    <t xml:space="preserve">      Net Income (Loss)</t>
  </si>
  <si>
    <t>Plus Change in Accts Payable</t>
  </si>
  <si>
    <t>Plus Change in Wages Payable</t>
  </si>
  <si>
    <t>Markup Over Cost for Sale of Ending Inventory</t>
  </si>
  <si>
    <t>Fixed SG&amp;A Costs During This Phase</t>
  </si>
  <si>
    <t>Variable SG&amp;A During This Phase</t>
  </si>
  <si>
    <t>Other Disposal or Cleanup Costs</t>
  </si>
  <si>
    <t>Proceeds from Disposal of PPE</t>
  </si>
  <si>
    <t>Other Costs</t>
  </si>
  <si>
    <t>Acquisition of PPE</t>
  </si>
  <si>
    <t>Cash From Operationa</t>
  </si>
  <si>
    <t>Cash From Investment</t>
  </si>
  <si>
    <t>Collections From Customers</t>
  </si>
  <si>
    <t>Payments To Suppliers on Purchases Made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</si>
</sst>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&quot;$&quot;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u val="singleAccounting"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1" fillId="0" borderId="0" xfId="0" applyFont="1"/>
    <xf numFmtId="10" fontId="0" fillId="0" borderId="0" xfId="3" applyNumberFormat="1" applyFont="1"/>
    <xf numFmtId="43" fontId="0" fillId="0" borderId="0" xfId="1" applyFont="1"/>
    <xf numFmtId="44" fontId="0" fillId="0" borderId="0" xfId="0" applyNumberFormat="1"/>
    <xf numFmtId="0" fontId="4" fillId="0" borderId="0" xfId="0" applyFont="1"/>
    <xf numFmtId="0" fontId="1" fillId="0" borderId="0" xfId="0" applyFont="1" applyAlignment="1">
      <alignment horizontal="right"/>
    </xf>
    <xf numFmtId="44" fontId="3" fillId="0" borderId="0" xfId="0" applyNumberFormat="1" applyFont="1"/>
    <xf numFmtId="44" fontId="0" fillId="0" borderId="0" xfId="0" applyNumberFormat="1" applyAlignment="1">
      <alignment horizontal="left"/>
    </xf>
    <xf numFmtId="2" fontId="0" fillId="0" borderId="0" xfId="0" applyNumberFormat="1"/>
    <xf numFmtId="0" fontId="5" fillId="0" borderId="0" xfId="0" applyFont="1"/>
    <xf numFmtId="2" fontId="4" fillId="0" borderId="0" xfId="0" applyNumberFormat="1" applyFont="1"/>
    <xf numFmtId="0" fontId="5" fillId="0" borderId="0" xfId="0" applyFont="1" applyAlignment="1">
      <alignment horizontal="right"/>
    </xf>
    <xf numFmtId="7" fontId="0" fillId="0" borderId="0" xfId="2" applyNumberFormat="1" applyFont="1"/>
    <xf numFmtId="7" fontId="0" fillId="0" borderId="0" xfId="0" applyNumberFormat="1"/>
    <xf numFmtId="0" fontId="8" fillId="2" borderId="0" xfId="0" applyFont="1" applyFill="1"/>
    <xf numFmtId="0" fontId="0" fillId="2" borderId="0" xfId="0" applyFill="1"/>
    <xf numFmtId="10" fontId="0" fillId="2" borderId="0" xfId="3" applyNumberFormat="1" applyFont="1" applyFill="1"/>
    <xf numFmtId="164" fontId="0" fillId="2" borderId="0" xfId="2" applyNumberFormat="1" applyFont="1" applyFill="1"/>
    <xf numFmtId="0" fontId="0" fillId="2" borderId="0" xfId="0" applyFont="1" applyFill="1"/>
    <xf numFmtId="44" fontId="0" fillId="2" borderId="0" xfId="2" applyNumberFormat="1" applyFont="1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8" fillId="4" borderId="0" xfId="0" applyFont="1" applyFill="1"/>
    <xf numFmtId="0" fontId="6" fillId="4" borderId="0" xfId="0" applyFont="1" applyFill="1"/>
    <xf numFmtId="0" fontId="7" fillId="3" borderId="0" xfId="0" applyFont="1" applyFill="1"/>
    <xf numFmtId="0" fontId="9" fillId="5" borderId="0" xfId="0" applyFont="1" applyFill="1"/>
    <xf numFmtId="0" fontId="0" fillId="5" borderId="0" xfId="0" applyFill="1"/>
    <xf numFmtId="166" fontId="0" fillId="0" borderId="0" xfId="2" applyNumberFormat="1" applyFont="1"/>
    <xf numFmtId="166" fontId="0" fillId="0" borderId="0" xfId="0" applyNumberFormat="1"/>
    <xf numFmtId="7" fontId="0" fillId="2" borderId="0" xfId="3" applyNumberFormat="1" applyFont="1" applyFill="1"/>
    <xf numFmtId="7" fontId="0" fillId="2" borderId="0" xfId="2" applyNumberFormat="1" applyFont="1" applyFill="1"/>
    <xf numFmtId="39" fontId="0" fillId="0" borderId="0" xfId="0" applyNumberFormat="1"/>
    <xf numFmtId="39" fontId="4" fillId="0" borderId="0" xfId="0" applyNumberFormat="1" applyFont="1"/>
    <xf numFmtId="0" fontId="0" fillId="0" borderId="0" xfId="0" applyFill="1"/>
    <xf numFmtId="0" fontId="0" fillId="0" borderId="0" xfId="0" applyFont="1" applyFill="1"/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6" fillId="6" borderId="0" xfId="0" applyFont="1" applyFill="1" applyBorder="1"/>
    <xf numFmtId="0" fontId="7" fillId="0" borderId="0" xfId="0" applyFont="1"/>
    <xf numFmtId="0" fontId="10" fillId="0" borderId="0" xfId="0" applyFont="1"/>
    <xf numFmtId="0" fontId="8" fillId="0" borderId="0" xfId="0" applyFont="1"/>
    <xf numFmtId="5" fontId="10" fillId="0" borderId="0" xfId="2" applyNumberFormat="1" applyFont="1"/>
    <xf numFmtId="5" fontId="10" fillId="0" borderId="0" xfId="0" applyNumberFormat="1" applyFont="1"/>
    <xf numFmtId="0" fontId="11" fillId="0" borderId="0" xfId="0" applyFont="1"/>
    <xf numFmtId="5" fontId="12" fillId="0" borderId="0" xfId="2" applyNumberFormat="1" applyFont="1"/>
    <xf numFmtId="5" fontId="11" fillId="0" borderId="0" xfId="0" applyNumberFormat="1" applyFont="1"/>
    <xf numFmtId="5" fontId="11" fillId="0" borderId="0" xfId="2" applyNumberFormat="1" applyFont="1"/>
    <xf numFmtId="5" fontId="12" fillId="0" borderId="0" xfId="0" applyNumberFormat="1" applyFont="1"/>
    <xf numFmtId="5" fontId="7" fillId="0" borderId="0" xfId="0" applyNumberFormat="1" applyFont="1"/>
    <xf numFmtId="166" fontId="4" fillId="0" borderId="0" xfId="0" applyNumberFormat="1" applyFont="1"/>
    <xf numFmtId="0" fontId="7" fillId="6" borderId="0" xfId="0" applyFont="1" applyFill="1" applyBorder="1"/>
    <xf numFmtId="5" fontId="7" fillId="6" borderId="0" xfId="0" applyNumberFormat="1" applyFont="1" applyFill="1" applyBorder="1"/>
    <xf numFmtId="8" fontId="8" fillId="6" borderId="0" xfId="0" applyNumberFormat="1" applyFont="1" applyFill="1" applyBorder="1"/>
    <xf numFmtId="7" fontId="7" fillId="6" borderId="0" xfId="0" applyNumberFormat="1" applyFont="1" applyFill="1" applyBorder="1"/>
    <xf numFmtId="165" fontId="7" fillId="6" borderId="0" xfId="0" applyNumberFormat="1" applyFont="1" applyFill="1" applyBorder="1"/>
    <xf numFmtId="0" fontId="8" fillId="0" borderId="0" xfId="0" applyFont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425450</xdr:colOff>
      <xdr:row>116</xdr:row>
      <xdr:rowOff>260350</xdr:rowOff>
    </xdr:from>
    <xdr:to>
      <xdr:col>14</xdr:col>
      <xdr:colOff>190500</xdr:colOff>
      <xdr:row>121</xdr:row>
      <xdr:rowOff>114300</xdr:rowOff>
    </xdr:to>
    <xdr:sp macro="" textlink="">
      <xdr:nvSpPr>
        <xdr:cNvPr id="2" name="TextBox 1"/>
        <xdr:cNvSpPr txBox="1"/>
      </xdr:nvSpPr>
      <xdr:spPr>
        <a:xfrm>
          <a:off x="13874750" y="25171400"/>
          <a:ext cx="984250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Moving the</a:t>
          </a:r>
          <a:r>
            <a:rPr lang="en-US" sz="1100" baseline="0"/>
            <a:t> $5000 Gain on Sale of PPE down to the Operating Section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7"/>
  <sheetViews>
    <sheetView tabSelected="1" workbookViewId="0">
      <selection activeCell="D7" sqref="D7"/>
    </sheetView>
  </sheetViews>
  <sheetFormatPr defaultRowHeight="14.5" x14ac:dyDescent="0.35"/>
  <cols>
    <col min="1" max="1" width="34.7265625" customWidth="1"/>
    <col min="2" max="2" width="12.81640625" customWidth="1"/>
    <col min="3" max="3" width="5.1796875" customWidth="1"/>
    <col min="4" max="4" width="15.08984375" customWidth="1"/>
    <col min="5" max="5" width="16" bestFit="1" customWidth="1"/>
    <col min="6" max="6" width="13.54296875" customWidth="1"/>
    <col min="7" max="7" width="15.36328125" customWidth="1"/>
    <col min="8" max="11" width="16.6328125" bestFit="1" customWidth="1"/>
    <col min="12" max="12" width="15.1796875" customWidth="1"/>
  </cols>
  <sheetData>
    <row r="1" spans="1:11" ht="21" x14ac:dyDescent="0.5">
      <c r="A1" s="16" t="s">
        <v>75</v>
      </c>
      <c r="B1" s="17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35">
      <c r="A2" s="17" t="s">
        <v>34</v>
      </c>
      <c r="B2" s="18">
        <v>0.06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17" t="s">
        <v>33</v>
      </c>
      <c r="B3" s="18">
        <v>0.4</v>
      </c>
      <c r="C3" s="35"/>
      <c r="D3" s="35"/>
      <c r="E3" s="35"/>
      <c r="F3" s="35"/>
      <c r="G3" s="35"/>
      <c r="H3" s="35"/>
      <c r="I3" s="35"/>
      <c r="J3" s="35"/>
      <c r="K3" s="35"/>
    </row>
    <row r="4" spans="1:11" x14ac:dyDescent="0.35">
      <c r="A4" s="37" t="s">
        <v>82</v>
      </c>
      <c r="B4" s="17"/>
      <c r="C4" s="35"/>
      <c r="D4" s="35"/>
      <c r="E4" s="35"/>
      <c r="F4" s="35"/>
      <c r="G4" s="35"/>
      <c r="H4" s="35"/>
      <c r="I4" s="35"/>
      <c r="J4" s="35"/>
      <c r="K4" s="35"/>
    </row>
    <row r="5" spans="1:11" x14ac:dyDescent="0.35">
      <c r="A5" s="17" t="s">
        <v>81</v>
      </c>
      <c r="B5" s="32">
        <v>70000</v>
      </c>
      <c r="C5" s="35"/>
      <c r="D5" s="35"/>
      <c r="E5" s="35"/>
      <c r="F5" s="35"/>
      <c r="G5" s="35"/>
      <c r="H5" s="35"/>
      <c r="I5" s="35"/>
      <c r="J5" s="35"/>
      <c r="K5" s="35"/>
    </row>
    <row r="6" spans="1:11" x14ac:dyDescent="0.35">
      <c r="A6" s="17" t="s">
        <v>77</v>
      </c>
      <c r="B6" s="32">
        <v>0</v>
      </c>
      <c r="C6" s="35"/>
      <c r="D6" s="35"/>
      <c r="E6" s="35"/>
      <c r="F6" s="35"/>
      <c r="G6" s="35"/>
      <c r="H6" s="35"/>
      <c r="I6" s="35"/>
      <c r="J6" s="35"/>
      <c r="K6" s="35"/>
    </row>
    <row r="7" spans="1:11" x14ac:dyDescent="0.35">
      <c r="A7" s="17" t="s">
        <v>3</v>
      </c>
      <c r="B7" s="17">
        <v>7</v>
      </c>
      <c r="C7" s="35"/>
      <c r="D7" s="35"/>
      <c r="E7" s="35"/>
      <c r="F7" s="35"/>
      <c r="G7" s="35"/>
      <c r="H7" s="35"/>
      <c r="I7" s="35"/>
      <c r="J7" s="35"/>
      <c r="K7" s="35"/>
    </row>
    <row r="8" spans="1:11" x14ac:dyDescent="0.35">
      <c r="A8" s="17"/>
      <c r="B8" s="17"/>
      <c r="C8" s="35"/>
      <c r="D8" s="35"/>
      <c r="E8" s="35"/>
      <c r="F8" s="35"/>
      <c r="G8" s="35"/>
      <c r="H8" s="35"/>
      <c r="I8" s="35"/>
      <c r="J8" s="35"/>
      <c r="K8" s="35"/>
    </row>
    <row r="9" spans="1:11" ht="29" x14ac:dyDescent="0.35">
      <c r="A9" s="22" t="s">
        <v>80</v>
      </c>
      <c r="B9" s="32">
        <v>20000</v>
      </c>
      <c r="C9" s="35"/>
      <c r="D9" s="35"/>
      <c r="E9" s="35"/>
      <c r="F9" s="35"/>
      <c r="G9" s="35"/>
      <c r="H9" s="35"/>
      <c r="I9" s="35"/>
      <c r="J9" s="35"/>
      <c r="K9" s="35"/>
    </row>
    <row r="10" spans="1:11" x14ac:dyDescent="0.35">
      <c r="A10" s="17"/>
      <c r="B10" s="17"/>
      <c r="C10" s="35"/>
      <c r="D10" s="35"/>
      <c r="E10" s="35"/>
      <c r="F10" s="35"/>
      <c r="G10" s="35"/>
      <c r="H10" s="35"/>
      <c r="I10" s="35"/>
      <c r="J10" s="35"/>
      <c r="K10" s="35"/>
    </row>
    <row r="11" spans="1:11" x14ac:dyDescent="0.35">
      <c r="A11" s="37" t="s">
        <v>85</v>
      </c>
      <c r="B11" s="17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29" x14ac:dyDescent="0.35">
      <c r="A12" s="22" t="s">
        <v>87</v>
      </c>
      <c r="B12" s="17">
        <v>2000</v>
      </c>
      <c r="C12" s="35"/>
      <c r="D12" s="35"/>
      <c r="E12" s="35"/>
      <c r="F12" s="35"/>
      <c r="G12" s="35"/>
      <c r="H12" s="35"/>
      <c r="I12" s="35"/>
      <c r="J12" s="35"/>
      <c r="K12" s="35"/>
    </row>
    <row r="13" spans="1:11" x14ac:dyDescent="0.35">
      <c r="A13" s="17" t="s">
        <v>0</v>
      </c>
      <c r="B13" s="18">
        <v>0</v>
      </c>
      <c r="C13" s="35"/>
      <c r="D13" s="35"/>
      <c r="E13" s="35"/>
      <c r="F13" s="35"/>
      <c r="G13" s="35"/>
      <c r="H13" s="35"/>
      <c r="I13" s="35"/>
      <c r="J13" s="35"/>
      <c r="K13" s="35"/>
    </row>
    <row r="14" spans="1:11" x14ac:dyDescent="0.35">
      <c r="A14" s="17"/>
      <c r="B14" s="17"/>
      <c r="C14" s="35"/>
      <c r="D14" s="35"/>
      <c r="E14" s="35"/>
      <c r="F14" s="35"/>
      <c r="G14" s="35"/>
      <c r="H14" s="35"/>
      <c r="I14" s="35"/>
      <c r="J14" s="35"/>
      <c r="K14" s="35"/>
    </row>
    <row r="15" spans="1:11" x14ac:dyDescent="0.35">
      <c r="A15" s="17" t="s">
        <v>2</v>
      </c>
      <c r="B15" s="32">
        <v>100</v>
      </c>
      <c r="C15" s="35"/>
      <c r="D15" s="35"/>
      <c r="E15" s="35"/>
      <c r="F15" s="35"/>
      <c r="G15" s="35"/>
      <c r="H15" s="35"/>
      <c r="I15" s="35"/>
      <c r="J15" s="35"/>
      <c r="K15" s="35"/>
    </row>
    <row r="16" spans="1:11" s="1" customFormat="1" x14ac:dyDescent="0.35">
      <c r="A16" s="20" t="s">
        <v>1</v>
      </c>
      <c r="B16" s="18">
        <v>0.55000000000000004</v>
      </c>
      <c r="C16" s="36"/>
      <c r="D16" s="36"/>
      <c r="E16" s="36"/>
      <c r="F16" s="36"/>
      <c r="G16" s="36"/>
      <c r="H16" s="36"/>
      <c r="I16" s="36"/>
      <c r="J16" s="36"/>
      <c r="K16" s="36"/>
    </row>
    <row r="17" spans="1:16" x14ac:dyDescent="0.35">
      <c r="A17" s="17" t="s">
        <v>86</v>
      </c>
      <c r="B17" s="18">
        <v>0</v>
      </c>
      <c r="C17" s="35"/>
      <c r="D17" s="35"/>
      <c r="E17" s="35"/>
      <c r="F17" s="35"/>
      <c r="G17" s="35"/>
      <c r="H17" s="35"/>
      <c r="I17" s="35"/>
      <c r="J17" s="35"/>
      <c r="K17" s="35"/>
    </row>
    <row r="18" spans="1:16" x14ac:dyDescent="0.35">
      <c r="A18" s="17"/>
      <c r="B18" s="18"/>
      <c r="C18" s="35"/>
      <c r="D18" s="35"/>
      <c r="E18" s="35"/>
      <c r="F18" s="35"/>
      <c r="G18" s="35"/>
      <c r="H18" s="35"/>
      <c r="I18" s="35"/>
      <c r="J18" s="35"/>
      <c r="K18" s="35"/>
    </row>
    <row r="19" spans="1:16" ht="29" x14ac:dyDescent="0.35">
      <c r="A19" s="22" t="s">
        <v>88</v>
      </c>
      <c r="B19" s="21">
        <v>25000</v>
      </c>
      <c r="C19" s="35"/>
      <c r="D19" s="35"/>
      <c r="E19" s="35"/>
      <c r="F19" s="35"/>
      <c r="G19" s="35"/>
      <c r="H19" s="35"/>
      <c r="I19" s="35"/>
      <c r="J19" s="35"/>
      <c r="K19" s="35"/>
      <c r="O19" t="s">
        <v>35</v>
      </c>
      <c r="P19">
        <f>B15-(1-B16)*B15-B20</f>
        <v>40.000000000000007</v>
      </c>
    </row>
    <row r="20" spans="1:16" ht="43.5" x14ac:dyDescent="0.35">
      <c r="A20" s="22" t="s">
        <v>89</v>
      </c>
      <c r="B20" s="21">
        <v>15</v>
      </c>
      <c r="C20" s="35"/>
      <c r="D20" s="35"/>
      <c r="E20" s="35"/>
      <c r="F20" s="35"/>
      <c r="G20" s="35"/>
      <c r="H20" s="35"/>
      <c r="I20" s="35"/>
      <c r="J20" s="35"/>
      <c r="K20" s="35"/>
      <c r="P20">
        <f>B19+((B5-B6)/B7)+(B9*2)/5</f>
        <v>43000</v>
      </c>
    </row>
    <row r="21" spans="1:16" x14ac:dyDescent="0.35">
      <c r="A21" s="22"/>
      <c r="B21" s="21"/>
      <c r="C21" s="35"/>
      <c r="D21" s="35"/>
      <c r="E21" s="35"/>
      <c r="F21" s="35"/>
      <c r="G21" s="35"/>
      <c r="H21" s="35"/>
      <c r="I21" s="35"/>
      <c r="J21" s="35"/>
      <c r="K21" s="35"/>
    </row>
    <row r="22" spans="1:16" x14ac:dyDescent="0.35">
      <c r="A22" s="23" t="s">
        <v>84</v>
      </c>
      <c r="B22" s="19"/>
      <c r="C22" s="35"/>
      <c r="D22" s="35"/>
      <c r="E22" s="35"/>
      <c r="F22" s="35"/>
      <c r="G22" s="35"/>
      <c r="H22" s="35"/>
      <c r="I22" s="35"/>
      <c r="J22" s="35"/>
      <c r="K22" s="35"/>
    </row>
    <row r="23" spans="1:16" x14ac:dyDescent="0.35">
      <c r="A23" s="17" t="s">
        <v>107</v>
      </c>
      <c r="B23" s="19"/>
      <c r="C23" s="35"/>
      <c r="D23" s="35"/>
      <c r="E23" s="35"/>
      <c r="F23" s="35"/>
      <c r="G23" s="35"/>
      <c r="H23" s="35"/>
      <c r="I23" s="35"/>
      <c r="J23" s="35"/>
      <c r="K23" s="35"/>
    </row>
    <row r="24" spans="1:16" x14ac:dyDescent="0.35">
      <c r="A24" s="17" t="s">
        <v>41</v>
      </c>
      <c r="B24" s="18">
        <v>0.9</v>
      </c>
      <c r="C24" s="35"/>
      <c r="D24" s="35"/>
      <c r="E24" s="35"/>
      <c r="F24" s="35"/>
      <c r="G24" s="35"/>
      <c r="H24" s="35"/>
      <c r="I24" s="35"/>
      <c r="J24" s="35"/>
      <c r="K24" s="35"/>
    </row>
    <row r="25" spans="1:16" x14ac:dyDescent="0.35">
      <c r="A25" s="17" t="s">
        <v>62</v>
      </c>
      <c r="B25" s="18">
        <f>1-B24</f>
        <v>9.9999999999999978E-2</v>
      </c>
      <c r="C25" s="35"/>
      <c r="D25" s="35"/>
      <c r="E25" s="35"/>
      <c r="F25" s="35"/>
      <c r="G25" s="35"/>
      <c r="H25" s="35"/>
      <c r="I25" s="35"/>
      <c r="J25" s="35"/>
      <c r="K25" s="35"/>
    </row>
    <row r="26" spans="1:16" x14ac:dyDescent="0.35">
      <c r="A26" s="17"/>
      <c r="B26" s="19"/>
      <c r="C26" s="35"/>
      <c r="D26" s="35"/>
      <c r="E26" s="35"/>
      <c r="F26" s="35"/>
      <c r="G26" s="35"/>
      <c r="H26" s="35"/>
      <c r="I26" s="35"/>
      <c r="J26" s="35"/>
      <c r="K26" s="35"/>
    </row>
    <row r="27" spans="1:16" ht="29" x14ac:dyDescent="0.35">
      <c r="A27" s="22" t="s">
        <v>42</v>
      </c>
      <c r="B27" s="18">
        <v>0.1</v>
      </c>
      <c r="C27" s="35"/>
      <c r="D27" s="35"/>
      <c r="E27" s="35"/>
      <c r="F27" s="35"/>
      <c r="G27" s="35"/>
      <c r="H27" s="35"/>
      <c r="I27" s="35"/>
      <c r="J27" s="35"/>
      <c r="K27" s="35"/>
    </row>
    <row r="28" spans="1:16" x14ac:dyDescent="0.35">
      <c r="A28" s="22"/>
      <c r="B28" s="18"/>
      <c r="C28" s="35"/>
      <c r="D28" s="35"/>
      <c r="E28" s="35"/>
      <c r="F28" s="35"/>
      <c r="G28" s="35"/>
      <c r="H28" s="35"/>
      <c r="I28" s="35"/>
      <c r="J28" s="35"/>
      <c r="K28" s="35"/>
    </row>
    <row r="29" spans="1:16" ht="29" x14ac:dyDescent="0.35">
      <c r="A29" s="22" t="s">
        <v>108</v>
      </c>
      <c r="B29" s="18"/>
      <c r="C29" s="35"/>
      <c r="D29" s="35"/>
      <c r="E29" s="35"/>
      <c r="F29" s="35"/>
      <c r="G29" s="35"/>
      <c r="H29" s="35"/>
      <c r="I29" s="35"/>
      <c r="J29" s="35"/>
      <c r="K29" s="35"/>
    </row>
    <row r="30" spans="1:16" x14ac:dyDescent="0.35">
      <c r="A30" s="22" t="s">
        <v>63</v>
      </c>
      <c r="B30" s="18">
        <v>0.95</v>
      </c>
      <c r="C30" s="35"/>
      <c r="D30" s="35"/>
      <c r="E30" s="35"/>
      <c r="F30" s="35"/>
      <c r="G30" s="35"/>
      <c r="H30" s="35"/>
      <c r="I30" s="35"/>
      <c r="J30" s="35"/>
      <c r="K30" s="35"/>
    </row>
    <row r="31" spans="1:16" x14ac:dyDescent="0.35">
      <c r="A31" s="22" t="s">
        <v>64</v>
      </c>
      <c r="B31" s="18">
        <f>1-B30</f>
        <v>5.0000000000000044E-2</v>
      </c>
      <c r="C31" s="35"/>
      <c r="D31" s="35"/>
      <c r="E31" s="35"/>
      <c r="F31" s="35"/>
      <c r="G31" s="35"/>
      <c r="H31" s="35"/>
      <c r="I31" s="35"/>
      <c r="J31" s="35"/>
      <c r="K31" s="35"/>
    </row>
    <row r="32" spans="1:16" ht="43.5" x14ac:dyDescent="0.35">
      <c r="A32" s="22" t="s">
        <v>65</v>
      </c>
      <c r="B32" s="19"/>
      <c r="C32" s="35"/>
      <c r="D32" s="35"/>
      <c r="E32" s="35"/>
      <c r="F32" s="35"/>
      <c r="G32" s="35"/>
      <c r="H32" s="35"/>
      <c r="I32" s="35"/>
      <c r="J32" s="35"/>
      <c r="K32" s="35"/>
    </row>
    <row r="33" spans="1:16" x14ac:dyDescent="0.35">
      <c r="A33" s="22" t="s">
        <v>63</v>
      </c>
      <c r="B33" s="18">
        <v>0.7</v>
      </c>
      <c r="C33" s="35"/>
      <c r="D33" s="35"/>
      <c r="E33" s="35"/>
      <c r="F33" s="35"/>
      <c r="G33" s="35"/>
      <c r="H33" s="35"/>
      <c r="I33" s="35"/>
      <c r="J33" s="35"/>
      <c r="K33" s="35"/>
    </row>
    <row r="34" spans="1:16" x14ac:dyDescent="0.35">
      <c r="A34" s="22" t="s">
        <v>66</v>
      </c>
      <c r="B34" s="18">
        <f>1-B33</f>
        <v>0.30000000000000004</v>
      </c>
      <c r="C34" s="35"/>
      <c r="D34" s="35"/>
      <c r="E34" s="35"/>
      <c r="F34" s="35"/>
      <c r="G34" s="35"/>
      <c r="H34" s="35"/>
      <c r="I34" s="35"/>
      <c r="J34" s="35"/>
      <c r="K34" s="35"/>
    </row>
    <row r="35" spans="1:16" x14ac:dyDescent="0.35">
      <c r="A35" s="22"/>
      <c r="B35" s="18"/>
      <c r="C35" s="35"/>
      <c r="D35" s="35"/>
      <c r="E35" s="35"/>
      <c r="F35" s="35"/>
      <c r="G35" s="35"/>
      <c r="H35" s="35"/>
      <c r="I35" s="35"/>
      <c r="J35" s="35"/>
      <c r="K35" s="35"/>
    </row>
    <row r="36" spans="1:16" x14ac:dyDescent="0.35">
      <c r="A36" s="38" t="s">
        <v>83</v>
      </c>
      <c r="B36" s="18"/>
      <c r="C36" s="35"/>
      <c r="D36" s="35"/>
      <c r="E36" s="35"/>
      <c r="F36" s="35"/>
      <c r="G36" s="35"/>
      <c r="H36" s="35"/>
      <c r="I36" s="35"/>
      <c r="J36" s="35"/>
      <c r="K36" s="35"/>
    </row>
    <row r="37" spans="1:16" x14ac:dyDescent="0.35">
      <c r="A37" s="22" t="s">
        <v>102</v>
      </c>
      <c r="B37" s="31">
        <v>5000</v>
      </c>
      <c r="C37" s="35"/>
      <c r="D37" s="35"/>
      <c r="E37" s="35"/>
      <c r="F37" s="35"/>
      <c r="G37" s="35"/>
      <c r="H37" s="35"/>
      <c r="I37" s="35"/>
      <c r="J37" s="35"/>
      <c r="K37" s="35"/>
    </row>
    <row r="38" spans="1:16" x14ac:dyDescent="0.35">
      <c r="A38" s="22" t="s">
        <v>101</v>
      </c>
      <c r="B38" s="31">
        <v>2000</v>
      </c>
      <c r="C38" s="35"/>
      <c r="D38" s="35"/>
      <c r="E38" s="35"/>
      <c r="F38" s="35"/>
      <c r="G38" s="35"/>
      <c r="H38" s="35"/>
      <c r="I38" s="35"/>
      <c r="J38" s="35"/>
      <c r="K38" s="35"/>
    </row>
    <row r="39" spans="1:16" ht="29" x14ac:dyDescent="0.35">
      <c r="A39" s="22" t="s">
        <v>98</v>
      </c>
      <c r="B39" s="18">
        <v>0</v>
      </c>
      <c r="C39" s="35"/>
      <c r="D39" s="35"/>
      <c r="E39" s="35"/>
      <c r="F39" s="35"/>
      <c r="G39" s="35"/>
      <c r="H39" s="35"/>
      <c r="I39" s="35"/>
      <c r="J39" s="35"/>
      <c r="K39" s="35"/>
    </row>
    <row r="40" spans="1:16" x14ac:dyDescent="0.35">
      <c r="A40" s="22" t="s">
        <v>99</v>
      </c>
      <c r="B40" s="32">
        <v>0</v>
      </c>
      <c r="C40" s="35"/>
      <c r="D40" s="35"/>
      <c r="E40" s="35"/>
      <c r="F40" s="35"/>
      <c r="G40" s="35"/>
      <c r="H40" s="35"/>
      <c r="I40" s="35"/>
      <c r="J40" s="35"/>
      <c r="K40" s="35"/>
    </row>
    <row r="41" spans="1:16" x14ac:dyDescent="0.35">
      <c r="A41" s="22" t="s">
        <v>100</v>
      </c>
      <c r="B41" s="32">
        <v>0</v>
      </c>
      <c r="C41" s="35"/>
      <c r="D41" s="35"/>
      <c r="E41" s="35"/>
      <c r="F41" s="35"/>
      <c r="G41" s="35"/>
      <c r="H41" s="35"/>
      <c r="I41" s="35"/>
      <c r="J41" s="35"/>
      <c r="K41" s="35"/>
    </row>
    <row r="42" spans="1:16" x14ac:dyDescent="0.35">
      <c r="A42" s="17"/>
      <c r="B42" s="17"/>
      <c r="C42" s="35"/>
      <c r="D42" s="35"/>
      <c r="E42" s="35"/>
      <c r="F42" s="35"/>
      <c r="G42" s="35"/>
      <c r="H42" s="35"/>
      <c r="I42" s="35"/>
      <c r="J42" s="35"/>
      <c r="K42" s="35"/>
      <c r="P42">
        <f>P20/P19</f>
        <v>1074.9999999999998</v>
      </c>
    </row>
    <row r="43" spans="1:16" x14ac:dyDescent="0.35">
      <c r="A43" s="17"/>
      <c r="B43" s="18"/>
      <c r="C43" s="17"/>
      <c r="D43" s="17"/>
      <c r="E43" s="23">
        <v>1</v>
      </c>
      <c r="F43" s="23">
        <v>2</v>
      </c>
      <c r="G43" s="23">
        <v>3</v>
      </c>
      <c r="H43" s="23">
        <v>4</v>
      </c>
      <c r="I43" s="23">
        <v>5</v>
      </c>
      <c r="J43" s="23">
        <v>6</v>
      </c>
      <c r="K43" s="23">
        <v>7</v>
      </c>
    </row>
    <row r="44" spans="1:16" x14ac:dyDescent="0.35">
      <c r="A44" s="17" t="s">
        <v>40</v>
      </c>
      <c r="B44" s="18"/>
      <c r="C44" s="17"/>
      <c r="D44" s="17"/>
      <c r="E44" s="17">
        <v>0.28999999999999998</v>
      </c>
      <c r="F44" s="17">
        <v>0.2</v>
      </c>
      <c r="G44" s="17">
        <v>0.15</v>
      </c>
      <c r="H44" s="17">
        <v>0.1</v>
      </c>
      <c r="I44" s="17">
        <v>0.08</v>
      </c>
      <c r="J44" s="17">
        <v>0.06</v>
      </c>
      <c r="K44" s="17">
        <v>0.05</v>
      </c>
      <c r="P44">
        <f>SUM(E44:K44)</f>
        <v>0.92999999999999994</v>
      </c>
    </row>
    <row r="45" spans="1:16" x14ac:dyDescent="0.35">
      <c r="B45" s="3"/>
    </row>
    <row r="46" spans="1:16" ht="26" x14ac:dyDescent="0.6">
      <c r="A46" s="27" t="s">
        <v>36</v>
      </c>
      <c r="B46" s="28"/>
    </row>
    <row r="47" spans="1:16" x14ac:dyDescent="0.35">
      <c r="E47" s="11">
        <v>1</v>
      </c>
      <c r="F47" s="11">
        <v>2</v>
      </c>
      <c r="G47" s="11">
        <v>3</v>
      </c>
      <c r="H47" s="11">
        <v>4</v>
      </c>
      <c r="I47" s="11">
        <v>5</v>
      </c>
      <c r="J47" s="11">
        <v>6</v>
      </c>
      <c r="K47" s="11">
        <v>7</v>
      </c>
      <c r="L47" s="11">
        <v>8</v>
      </c>
    </row>
    <row r="48" spans="1:16" x14ac:dyDescent="0.35">
      <c r="A48" t="s">
        <v>37</v>
      </c>
      <c r="E48" s="29">
        <f t="shared" ref="E48:K48" si="0">($B$5-$B$6)/$B$7</f>
        <v>10000</v>
      </c>
      <c r="F48" s="29">
        <f t="shared" si="0"/>
        <v>10000</v>
      </c>
      <c r="G48" s="29">
        <f t="shared" si="0"/>
        <v>10000</v>
      </c>
      <c r="H48" s="29">
        <f t="shared" si="0"/>
        <v>10000</v>
      </c>
      <c r="I48" s="29">
        <f t="shared" si="0"/>
        <v>10000</v>
      </c>
      <c r="J48" s="29">
        <f t="shared" si="0"/>
        <v>10000</v>
      </c>
      <c r="K48" s="29">
        <f t="shared" si="0"/>
        <v>10000</v>
      </c>
      <c r="L48">
        <v>0</v>
      </c>
    </row>
    <row r="49" spans="1:12" x14ac:dyDescent="0.35">
      <c r="A49" t="s">
        <v>38</v>
      </c>
      <c r="E49" s="30">
        <f>E44*$B$5</f>
        <v>20300</v>
      </c>
      <c r="F49" s="30">
        <f t="shared" ref="F49:K49" si="1">F44*$B$5</f>
        <v>14000</v>
      </c>
      <c r="G49" s="30">
        <f t="shared" si="1"/>
        <v>10500</v>
      </c>
      <c r="H49" s="30">
        <f t="shared" si="1"/>
        <v>7000</v>
      </c>
      <c r="I49" s="30">
        <f t="shared" si="1"/>
        <v>5600</v>
      </c>
      <c r="J49" s="30">
        <f t="shared" si="1"/>
        <v>4200</v>
      </c>
      <c r="K49" s="30">
        <f t="shared" si="1"/>
        <v>3500</v>
      </c>
      <c r="L49">
        <v>0</v>
      </c>
    </row>
    <row r="51" spans="1:12" x14ac:dyDescent="0.35">
      <c r="A51" t="s">
        <v>90</v>
      </c>
      <c r="E51">
        <v>0</v>
      </c>
      <c r="F51">
        <v>0</v>
      </c>
      <c r="G51" s="4">
        <f>B12</f>
        <v>2000</v>
      </c>
      <c r="H51" s="4">
        <f>G51*(1+$B$13)</f>
        <v>2000</v>
      </c>
      <c r="I51" s="4">
        <f t="shared" ref="I51:K51" si="2">H51*(1+$B$13)</f>
        <v>2000</v>
      </c>
      <c r="J51" s="4">
        <f t="shared" si="2"/>
        <v>2000</v>
      </c>
      <c r="K51" s="4">
        <f t="shared" si="2"/>
        <v>2000</v>
      </c>
      <c r="L51" s="4">
        <f>K55</f>
        <v>200</v>
      </c>
    </row>
    <row r="52" spans="1:12" x14ac:dyDescent="0.35">
      <c r="A52" t="s">
        <v>50</v>
      </c>
      <c r="E52" s="15"/>
      <c r="F52" s="15"/>
      <c r="G52" s="14">
        <f>$B$15</f>
        <v>100</v>
      </c>
      <c r="H52" s="14">
        <f>G52*(1+$B$17)</f>
        <v>100</v>
      </c>
      <c r="I52" s="14">
        <f>H52*(1+$B$17)</f>
        <v>100</v>
      </c>
      <c r="J52" s="14">
        <f>I52*(1+$B$17)</f>
        <v>100</v>
      </c>
      <c r="K52" s="14">
        <f>J52*(1+$B$17)</f>
        <v>100</v>
      </c>
    </row>
    <row r="53" spans="1:12" x14ac:dyDescent="0.35">
      <c r="A53" t="s">
        <v>25</v>
      </c>
      <c r="E53" s="14">
        <f t="shared" ref="E53:F53" si="3">E51*E52</f>
        <v>0</v>
      </c>
      <c r="F53" s="14">
        <f t="shared" si="3"/>
        <v>0</v>
      </c>
      <c r="G53" s="14">
        <f>G51*G52</f>
        <v>200000</v>
      </c>
      <c r="H53" s="14">
        <f t="shared" ref="H53:K53" si="4">H51*H52</f>
        <v>200000</v>
      </c>
      <c r="I53" s="14">
        <f t="shared" si="4"/>
        <v>200000</v>
      </c>
      <c r="J53" s="14">
        <f t="shared" si="4"/>
        <v>200000</v>
      </c>
      <c r="K53" s="14">
        <f t="shared" si="4"/>
        <v>200000</v>
      </c>
      <c r="L53" s="14">
        <f>K66*(1+$B$39)</f>
        <v>9000</v>
      </c>
    </row>
    <row r="55" spans="1:12" x14ac:dyDescent="0.35">
      <c r="A55" t="s">
        <v>91</v>
      </c>
      <c r="E55" s="10">
        <f>E51*$B$27</f>
        <v>0</v>
      </c>
      <c r="F55" s="10">
        <f t="shared" ref="F55:K55" si="5">F51*$B$27</f>
        <v>0</v>
      </c>
      <c r="G55" s="10">
        <f t="shared" si="5"/>
        <v>200</v>
      </c>
      <c r="H55" s="10">
        <f t="shared" si="5"/>
        <v>200</v>
      </c>
      <c r="I55" s="10">
        <f t="shared" si="5"/>
        <v>200</v>
      </c>
      <c r="J55" s="10">
        <f t="shared" si="5"/>
        <v>200</v>
      </c>
      <c r="K55" s="10">
        <f t="shared" si="5"/>
        <v>200</v>
      </c>
      <c r="L55" s="33">
        <v>0</v>
      </c>
    </row>
    <row r="56" spans="1:12" x14ac:dyDescent="0.35">
      <c r="A56" t="s">
        <v>43</v>
      </c>
      <c r="E56" s="10">
        <v>0</v>
      </c>
      <c r="F56" s="10">
        <f>E55</f>
        <v>0</v>
      </c>
      <c r="G56" s="10">
        <f t="shared" ref="G56:K56" si="6">F55</f>
        <v>0</v>
      </c>
      <c r="H56" s="10">
        <f t="shared" si="6"/>
        <v>200</v>
      </c>
      <c r="I56" s="10">
        <f t="shared" si="6"/>
        <v>200</v>
      </c>
      <c r="J56" s="10">
        <f t="shared" si="6"/>
        <v>200</v>
      </c>
      <c r="K56" s="10">
        <f t="shared" si="6"/>
        <v>200</v>
      </c>
      <c r="L56" s="33">
        <f>K55</f>
        <v>200</v>
      </c>
    </row>
    <row r="57" spans="1:12" x14ac:dyDescent="0.35">
      <c r="A57" t="s">
        <v>92</v>
      </c>
      <c r="E57" s="12">
        <f>E51</f>
        <v>0</v>
      </c>
      <c r="F57" s="12">
        <f t="shared" ref="F57:K57" si="7">F51</f>
        <v>0</v>
      </c>
      <c r="G57" s="12">
        <f t="shared" si="7"/>
        <v>2000</v>
      </c>
      <c r="H57" s="12">
        <f t="shared" si="7"/>
        <v>2000</v>
      </c>
      <c r="I57" s="12">
        <f t="shared" si="7"/>
        <v>2000</v>
      </c>
      <c r="J57" s="12">
        <f t="shared" si="7"/>
        <v>2000</v>
      </c>
      <c r="K57" s="12">
        <f t="shared" si="7"/>
        <v>2000</v>
      </c>
      <c r="L57" s="34">
        <f>L51</f>
        <v>200</v>
      </c>
    </row>
    <row r="58" spans="1:12" x14ac:dyDescent="0.35">
      <c r="A58" t="s">
        <v>44</v>
      </c>
      <c r="E58" s="10">
        <f>E57+E55-E56</f>
        <v>0</v>
      </c>
      <c r="F58" s="10">
        <f t="shared" ref="F58:L58" si="8">F57+F55-F56</f>
        <v>0</v>
      </c>
      <c r="G58" s="10">
        <f t="shared" si="8"/>
        <v>2200</v>
      </c>
      <c r="H58" s="10">
        <f t="shared" si="8"/>
        <v>2000</v>
      </c>
      <c r="I58" s="10">
        <f t="shared" si="8"/>
        <v>2000</v>
      </c>
      <c r="J58" s="10">
        <f t="shared" si="8"/>
        <v>2000</v>
      </c>
      <c r="K58" s="10">
        <f t="shared" si="8"/>
        <v>2000</v>
      </c>
      <c r="L58" s="33">
        <f t="shared" si="8"/>
        <v>0</v>
      </c>
    </row>
    <row r="59" spans="1:12" x14ac:dyDescent="0.35">
      <c r="E59" s="10"/>
      <c r="F59" s="10"/>
      <c r="G59" s="10"/>
      <c r="H59" s="10"/>
      <c r="I59" s="10"/>
      <c r="J59" s="10"/>
      <c r="K59" s="10"/>
    </row>
    <row r="60" spans="1:12" x14ac:dyDescent="0.35">
      <c r="A60" t="s">
        <v>49</v>
      </c>
      <c r="E60" s="15">
        <f>E52*(1-$B$16)</f>
        <v>0</v>
      </c>
      <c r="F60" s="15">
        <f t="shared" ref="F60:K60" si="9">F52*(1-$B$16)</f>
        <v>0</v>
      </c>
      <c r="G60" s="15">
        <f t="shared" si="9"/>
        <v>44.999999999999993</v>
      </c>
      <c r="H60" s="15">
        <f t="shared" si="9"/>
        <v>44.999999999999993</v>
      </c>
      <c r="I60" s="15">
        <f t="shared" si="9"/>
        <v>44.999999999999993</v>
      </c>
      <c r="J60" s="15">
        <f t="shared" si="9"/>
        <v>44.999999999999993</v>
      </c>
      <c r="K60" s="15">
        <f t="shared" si="9"/>
        <v>44.999999999999993</v>
      </c>
      <c r="L60" s="30">
        <v>0</v>
      </c>
    </row>
    <row r="63" spans="1:12" x14ac:dyDescent="0.35">
      <c r="A63" t="s">
        <v>46</v>
      </c>
      <c r="F63" s="15">
        <v>0</v>
      </c>
      <c r="G63" s="14">
        <f>F66</f>
        <v>0</v>
      </c>
      <c r="H63" s="14">
        <f t="shared" ref="H63:K63" si="10">G66</f>
        <v>9000</v>
      </c>
      <c r="I63" s="14">
        <f t="shared" si="10"/>
        <v>9000</v>
      </c>
      <c r="J63" s="14">
        <f t="shared" si="10"/>
        <v>9000</v>
      </c>
      <c r="K63" s="14">
        <f t="shared" si="10"/>
        <v>9000</v>
      </c>
      <c r="L63" s="15">
        <f>K66</f>
        <v>9000</v>
      </c>
    </row>
    <row r="64" spans="1:12" x14ac:dyDescent="0.35">
      <c r="A64" t="s">
        <v>48</v>
      </c>
      <c r="F64" s="15">
        <v>0</v>
      </c>
      <c r="G64" s="14">
        <f>G58*G60</f>
        <v>98999.999999999985</v>
      </c>
      <c r="H64" s="14">
        <f t="shared" ref="H64:K64" si="11">H58*H60</f>
        <v>89999.999999999985</v>
      </c>
      <c r="I64" s="14">
        <f t="shared" si="11"/>
        <v>89999.999999999985</v>
      </c>
      <c r="J64" s="14">
        <f t="shared" si="11"/>
        <v>89999.999999999985</v>
      </c>
      <c r="K64" s="14">
        <f t="shared" si="11"/>
        <v>89999.999999999985</v>
      </c>
      <c r="L64">
        <v>0</v>
      </c>
    </row>
    <row r="65" spans="1:12" x14ac:dyDescent="0.35">
      <c r="A65" t="s">
        <v>47</v>
      </c>
      <c r="F65" s="15">
        <v>0</v>
      </c>
      <c r="G65" s="14">
        <f>G60*G57</f>
        <v>89999.999999999985</v>
      </c>
      <c r="H65" s="14">
        <f t="shared" ref="H65:K65" si="12">H60*H57</f>
        <v>89999.999999999985</v>
      </c>
      <c r="I65" s="14">
        <f t="shared" si="12"/>
        <v>89999.999999999985</v>
      </c>
      <c r="J65" s="14">
        <f t="shared" si="12"/>
        <v>89999.999999999985</v>
      </c>
      <c r="K65" s="14">
        <f t="shared" si="12"/>
        <v>89999.999999999985</v>
      </c>
      <c r="L65" s="15">
        <f>K66</f>
        <v>9000</v>
      </c>
    </row>
    <row r="66" spans="1:12" x14ac:dyDescent="0.35">
      <c r="A66" t="s">
        <v>45</v>
      </c>
      <c r="F66" s="15">
        <v>0</v>
      </c>
      <c r="G66" s="14">
        <f>G63+G64-G65</f>
        <v>9000</v>
      </c>
      <c r="H66" s="14">
        <f t="shared" ref="H66:L66" si="13">H63+H64-H65</f>
        <v>9000</v>
      </c>
      <c r="I66" s="14">
        <f t="shared" si="13"/>
        <v>9000</v>
      </c>
      <c r="J66" s="14">
        <f t="shared" si="13"/>
        <v>9000</v>
      </c>
      <c r="K66" s="14">
        <f t="shared" si="13"/>
        <v>9000</v>
      </c>
      <c r="L66" s="14">
        <f t="shared" si="13"/>
        <v>0</v>
      </c>
    </row>
    <row r="69" spans="1:12" x14ac:dyDescent="0.35">
      <c r="I69" s="5"/>
    </row>
    <row r="70" spans="1:12" ht="21" x14ac:dyDescent="0.5">
      <c r="A70" s="24" t="s">
        <v>24</v>
      </c>
    </row>
    <row r="71" spans="1:12" ht="21" x14ac:dyDescent="0.5">
      <c r="A71" s="40"/>
      <c r="B71" s="41"/>
      <c r="C71" s="41"/>
      <c r="D71" s="41"/>
      <c r="E71" s="42">
        <v>1</v>
      </c>
      <c r="F71" s="42">
        <v>2</v>
      </c>
      <c r="G71" s="42">
        <v>3</v>
      </c>
      <c r="H71" s="42">
        <v>4</v>
      </c>
      <c r="I71" s="42">
        <v>5</v>
      </c>
      <c r="J71" s="42">
        <v>6</v>
      </c>
      <c r="K71" s="42">
        <v>7</v>
      </c>
      <c r="L71" s="42">
        <v>8</v>
      </c>
    </row>
    <row r="72" spans="1:12" ht="21" x14ac:dyDescent="0.5">
      <c r="A72" s="41" t="s">
        <v>25</v>
      </c>
      <c r="B72" s="41"/>
      <c r="C72" s="41"/>
      <c r="D72" s="41"/>
      <c r="E72" s="43">
        <f>E53</f>
        <v>0</v>
      </c>
      <c r="F72" s="43">
        <f t="shared" ref="F72:K72" si="14">F53</f>
        <v>0</v>
      </c>
      <c r="G72" s="43">
        <f t="shared" si="14"/>
        <v>200000</v>
      </c>
      <c r="H72" s="43">
        <f t="shared" si="14"/>
        <v>200000</v>
      </c>
      <c r="I72" s="43">
        <f t="shared" si="14"/>
        <v>200000</v>
      </c>
      <c r="J72" s="43">
        <f t="shared" si="14"/>
        <v>200000</v>
      </c>
      <c r="K72" s="43">
        <f t="shared" si="14"/>
        <v>200000</v>
      </c>
      <c r="L72" s="44">
        <f>L53</f>
        <v>9000</v>
      </c>
    </row>
    <row r="73" spans="1:12" ht="24" x14ac:dyDescent="0.8">
      <c r="A73" s="45" t="s">
        <v>26</v>
      </c>
      <c r="B73" s="41"/>
      <c r="C73" s="41"/>
      <c r="D73" s="41"/>
      <c r="E73" s="46">
        <f>E72*(1-$B$16)</f>
        <v>0</v>
      </c>
      <c r="F73" s="46">
        <f t="shared" ref="F73" si="15">F72*(1-$B$16)</f>
        <v>0</v>
      </c>
      <c r="G73" s="46">
        <f>G65</f>
        <v>89999.999999999985</v>
      </c>
      <c r="H73" s="46">
        <f t="shared" ref="H73:K73" si="16">H65</f>
        <v>89999.999999999985</v>
      </c>
      <c r="I73" s="46">
        <f t="shared" si="16"/>
        <v>89999.999999999985</v>
      </c>
      <c r="J73" s="46">
        <f t="shared" si="16"/>
        <v>89999.999999999985</v>
      </c>
      <c r="K73" s="46">
        <f t="shared" si="16"/>
        <v>89999.999999999985</v>
      </c>
      <c r="L73" s="47">
        <f>L65</f>
        <v>9000</v>
      </c>
    </row>
    <row r="74" spans="1:12" ht="21" x14ac:dyDescent="0.5">
      <c r="A74" s="40" t="s">
        <v>27</v>
      </c>
      <c r="B74" s="41"/>
      <c r="C74" s="41"/>
      <c r="D74" s="41"/>
      <c r="E74" s="43">
        <f>E72-E73</f>
        <v>0</v>
      </c>
      <c r="F74" s="43">
        <f t="shared" ref="F74:L74" si="17">F72-F73</f>
        <v>0</v>
      </c>
      <c r="G74" s="43">
        <f t="shared" si="17"/>
        <v>110000.00000000001</v>
      </c>
      <c r="H74" s="43">
        <f t="shared" si="17"/>
        <v>110000.00000000001</v>
      </c>
      <c r="I74" s="43">
        <f t="shared" si="17"/>
        <v>110000.00000000001</v>
      </c>
      <c r="J74" s="43">
        <f t="shared" si="17"/>
        <v>110000.00000000001</v>
      </c>
      <c r="K74" s="43">
        <f t="shared" si="17"/>
        <v>110000.00000000001</v>
      </c>
      <c r="L74" s="43">
        <f t="shared" si="17"/>
        <v>0</v>
      </c>
    </row>
    <row r="75" spans="1:12" ht="21" x14ac:dyDescent="0.5">
      <c r="A75" s="41" t="s">
        <v>28</v>
      </c>
      <c r="B75" s="41"/>
      <c r="C75" s="41"/>
      <c r="D75" s="41"/>
      <c r="E75" s="43">
        <f>E48</f>
        <v>10000</v>
      </c>
      <c r="F75" s="43">
        <f t="shared" ref="F75:K75" si="18">F48</f>
        <v>10000</v>
      </c>
      <c r="G75" s="43">
        <f t="shared" si="18"/>
        <v>10000</v>
      </c>
      <c r="H75" s="43">
        <f t="shared" si="18"/>
        <v>10000</v>
      </c>
      <c r="I75" s="43">
        <f t="shared" si="18"/>
        <v>10000</v>
      </c>
      <c r="J75" s="43">
        <f t="shared" si="18"/>
        <v>10000</v>
      </c>
      <c r="K75" s="43">
        <f t="shared" si="18"/>
        <v>10000</v>
      </c>
      <c r="L75" s="44">
        <v>0</v>
      </c>
    </row>
    <row r="76" spans="1:12" ht="21" x14ac:dyDescent="0.5">
      <c r="A76" s="41" t="s">
        <v>29</v>
      </c>
      <c r="B76" s="41"/>
      <c r="C76" s="41"/>
      <c r="D76" s="41"/>
      <c r="E76" s="43">
        <f>$B$9</f>
        <v>20000</v>
      </c>
      <c r="F76" s="43">
        <f>$B$9</f>
        <v>20000</v>
      </c>
      <c r="G76" s="43"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</row>
    <row r="77" spans="1:12" ht="21" x14ac:dyDescent="0.5">
      <c r="A77" s="41" t="s">
        <v>30</v>
      </c>
      <c r="B77" s="41"/>
      <c r="C77" s="41"/>
      <c r="D77" s="41"/>
      <c r="E77" s="43">
        <f>$B$19+$B$20*E51</f>
        <v>25000</v>
      </c>
      <c r="F77" s="43">
        <f t="shared" ref="F77:K77" si="19">$B$19+$B$20*F51</f>
        <v>25000</v>
      </c>
      <c r="G77" s="43">
        <f t="shared" si="19"/>
        <v>55000</v>
      </c>
      <c r="H77" s="43">
        <f t="shared" si="19"/>
        <v>55000</v>
      </c>
      <c r="I77" s="43">
        <f t="shared" si="19"/>
        <v>55000</v>
      </c>
      <c r="J77" s="43">
        <f t="shared" si="19"/>
        <v>55000</v>
      </c>
      <c r="K77" s="43">
        <f t="shared" si="19"/>
        <v>55000</v>
      </c>
      <c r="L77" s="44">
        <f>$B$40+$B$41*B51</f>
        <v>0</v>
      </c>
    </row>
    <row r="78" spans="1:12" ht="21" x14ac:dyDescent="0.5">
      <c r="A78" s="45" t="s">
        <v>78</v>
      </c>
      <c r="B78" s="41"/>
      <c r="C78" s="41"/>
      <c r="D78" s="41"/>
      <c r="E78" s="48">
        <f>0</f>
        <v>0</v>
      </c>
      <c r="F78" s="48">
        <f>0</f>
        <v>0</v>
      </c>
      <c r="G78" s="48">
        <f>0</f>
        <v>0</v>
      </c>
      <c r="H78" s="48">
        <f>0</f>
        <v>0</v>
      </c>
      <c r="I78" s="48">
        <f>0</f>
        <v>0</v>
      </c>
      <c r="J78" s="48">
        <f>0</f>
        <v>0</v>
      </c>
      <c r="K78" s="48">
        <f>0</f>
        <v>0</v>
      </c>
      <c r="L78" s="47">
        <f>-(($B$37-K93)-$B$38)</f>
        <v>-3000</v>
      </c>
    </row>
    <row r="79" spans="1:12" ht="21" x14ac:dyDescent="0.5">
      <c r="A79" s="40" t="s">
        <v>94</v>
      </c>
      <c r="B79" s="41"/>
      <c r="C79" s="41"/>
      <c r="D79" s="41"/>
      <c r="E79" s="44">
        <f>E74-SUM(E75:E78)</f>
        <v>-55000</v>
      </c>
      <c r="F79" s="44">
        <f t="shared" ref="F79:L79" si="20">F74-SUM(F75:F78)</f>
        <v>-55000</v>
      </c>
      <c r="G79" s="44">
        <f t="shared" si="20"/>
        <v>45000.000000000015</v>
      </c>
      <c r="H79" s="44">
        <f t="shared" si="20"/>
        <v>45000.000000000015</v>
      </c>
      <c r="I79" s="44">
        <f t="shared" si="20"/>
        <v>45000.000000000015</v>
      </c>
      <c r="J79" s="44">
        <f t="shared" si="20"/>
        <v>45000.000000000015</v>
      </c>
      <c r="K79" s="44">
        <f t="shared" si="20"/>
        <v>45000.000000000015</v>
      </c>
      <c r="L79" s="44">
        <f t="shared" si="20"/>
        <v>3000</v>
      </c>
    </row>
    <row r="80" spans="1:12" ht="24" x14ac:dyDescent="0.8">
      <c r="A80" s="45" t="s">
        <v>93</v>
      </c>
      <c r="B80" s="41"/>
      <c r="C80" s="41"/>
      <c r="D80" s="41"/>
      <c r="E80" s="49">
        <f>E141</f>
        <v>-26120</v>
      </c>
      <c r="F80" s="49">
        <f t="shared" ref="F80:L80" si="21">F141</f>
        <v>-23600</v>
      </c>
      <c r="G80" s="49">
        <f t="shared" si="21"/>
        <v>17800.000000000007</v>
      </c>
      <c r="H80" s="49">
        <f t="shared" si="21"/>
        <v>19200.000000000007</v>
      </c>
      <c r="I80" s="49">
        <f t="shared" si="21"/>
        <v>19760.000000000007</v>
      </c>
      <c r="J80" s="49">
        <f t="shared" si="21"/>
        <v>20320.000000000007</v>
      </c>
      <c r="K80" s="49">
        <f t="shared" si="21"/>
        <v>20600.000000000007</v>
      </c>
      <c r="L80" s="49">
        <f t="shared" si="21"/>
        <v>1200</v>
      </c>
    </row>
    <row r="81" spans="1:12" ht="21" x14ac:dyDescent="0.5">
      <c r="A81" s="40" t="s">
        <v>95</v>
      </c>
      <c r="B81" s="41"/>
      <c r="C81" s="41"/>
      <c r="D81" s="41"/>
      <c r="E81" s="44">
        <f>E79-E80</f>
        <v>-28880</v>
      </c>
      <c r="F81" s="44">
        <f t="shared" ref="F81:L81" si="22">F79-F80</f>
        <v>-31400</v>
      </c>
      <c r="G81" s="44">
        <f t="shared" si="22"/>
        <v>27200.000000000007</v>
      </c>
      <c r="H81" s="44">
        <f t="shared" si="22"/>
        <v>25800.000000000007</v>
      </c>
      <c r="I81" s="44">
        <f t="shared" si="22"/>
        <v>25240.000000000007</v>
      </c>
      <c r="J81" s="44">
        <f t="shared" si="22"/>
        <v>24680.000000000007</v>
      </c>
      <c r="K81" s="44">
        <f t="shared" si="22"/>
        <v>24400.000000000007</v>
      </c>
      <c r="L81" s="44">
        <f t="shared" si="22"/>
        <v>1800</v>
      </c>
    </row>
    <row r="83" spans="1:12" ht="21" x14ac:dyDescent="0.5">
      <c r="A83" s="24" t="s">
        <v>76</v>
      </c>
    </row>
    <row r="84" spans="1:12" ht="21" x14ac:dyDescent="0.5">
      <c r="A84" s="40"/>
      <c r="B84" s="41"/>
      <c r="C84" s="41"/>
      <c r="D84" s="42">
        <v>0</v>
      </c>
      <c r="E84" s="57">
        <v>1</v>
      </c>
      <c r="F84" s="57">
        <v>2</v>
      </c>
      <c r="G84" s="57">
        <v>3</v>
      </c>
      <c r="H84" s="57">
        <v>4</v>
      </c>
      <c r="I84" s="57">
        <v>5</v>
      </c>
      <c r="J84" s="57">
        <v>6</v>
      </c>
      <c r="K84" s="57">
        <v>7</v>
      </c>
      <c r="L84" s="57">
        <v>8</v>
      </c>
    </row>
    <row r="85" spans="1:12" ht="21" x14ac:dyDescent="0.5">
      <c r="A85" s="40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</row>
    <row r="86" spans="1:12" ht="21" x14ac:dyDescent="0.5">
      <c r="A86" s="41" t="s">
        <v>11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</row>
    <row r="87" spans="1:12" ht="21" x14ac:dyDescent="0.5">
      <c r="A87" s="41" t="s">
        <v>12</v>
      </c>
      <c r="B87" s="41"/>
      <c r="C87" s="41"/>
      <c r="D87" s="44">
        <v>-70000</v>
      </c>
      <c r="E87" s="44">
        <f>D87+E124</f>
        <v>-81380</v>
      </c>
      <c r="F87" s="44">
        <f t="shared" ref="F87:L87" si="23">E87+F124</f>
        <v>-102780</v>
      </c>
      <c r="G87" s="44">
        <f t="shared" si="23"/>
        <v>-80629.999999999985</v>
      </c>
      <c r="H87" s="44">
        <f t="shared" si="23"/>
        <v>-45279.999999999978</v>
      </c>
      <c r="I87" s="44">
        <f t="shared" si="23"/>
        <v>-10039.999999999971</v>
      </c>
      <c r="J87" s="44">
        <f t="shared" si="23"/>
        <v>24640.000000000036</v>
      </c>
      <c r="K87" s="44">
        <f t="shared" si="23"/>
        <v>59040.000000000044</v>
      </c>
      <c r="L87" s="44">
        <f t="shared" si="23"/>
        <v>68840.000000000029</v>
      </c>
    </row>
    <row r="88" spans="1:12" ht="21" x14ac:dyDescent="0.5">
      <c r="A88" s="41" t="s">
        <v>13</v>
      </c>
      <c r="B88" s="41"/>
      <c r="C88" s="41"/>
      <c r="D88" s="44">
        <v>0</v>
      </c>
      <c r="E88" s="44">
        <f>$B$25*E72</f>
        <v>0</v>
      </c>
      <c r="F88" s="44">
        <f t="shared" ref="F88:K88" si="24">$B$25*F72</f>
        <v>0</v>
      </c>
      <c r="G88" s="44">
        <f t="shared" si="24"/>
        <v>19999.999999999996</v>
      </c>
      <c r="H88" s="44">
        <f t="shared" si="24"/>
        <v>19999.999999999996</v>
      </c>
      <c r="I88" s="44">
        <f t="shared" si="24"/>
        <v>19999.999999999996</v>
      </c>
      <c r="J88" s="44">
        <f t="shared" si="24"/>
        <v>19999.999999999996</v>
      </c>
      <c r="K88" s="44">
        <f t="shared" si="24"/>
        <v>19999.999999999996</v>
      </c>
      <c r="L88" s="44">
        <v>0</v>
      </c>
    </row>
    <row r="89" spans="1:12" ht="21" x14ac:dyDescent="0.5">
      <c r="A89" s="41" t="s">
        <v>14</v>
      </c>
      <c r="B89" s="41"/>
      <c r="C89" s="41"/>
      <c r="D89" s="47">
        <v>0</v>
      </c>
      <c r="E89" s="47">
        <f>E66</f>
        <v>0</v>
      </c>
      <c r="F89" s="48">
        <f t="shared" ref="F89:K89" si="25">F66</f>
        <v>0</v>
      </c>
      <c r="G89" s="48">
        <f t="shared" si="25"/>
        <v>9000</v>
      </c>
      <c r="H89" s="48">
        <f t="shared" si="25"/>
        <v>9000</v>
      </c>
      <c r="I89" s="48">
        <f t="shared" si="25"/>
        <v>9000</v>
      </c>
      <c r="J89" s="48">
        <f t="shared" si="25"/>
        <v>9000</v>
      </c>
      <c r="K89" s="48">
        <f t="shared" si="25"/>
        <v>9000</v>
      </c>
      <c r="L89" s="47">
        <v>0</v>
      </c>
    </row>
    <row r="90" spans="1:12" ht="21" x14ac:dyDescent="0.5">
      <c r="A90" s="40" t="s">
        <v>4</v>
      </c>
      <c r="B90" s="41"/>
      <c r="C90" s="41"/>
      <c r="D90" s="44">
        <f>SUM(D87:D89)</f>
        <v>-70000</v>
      </c>
      <c r="E90" s="44">
        <f t="shared" ref="E90:L90" si="26">SUM(E87:E89)</f>
        <v>-81380</v>
      </c>
      <c r="F90" s="44">
        <f t="shared" si="26"/>
        <v>-102780</v>
      </c>
      <c r="G90" s="44">
        <f t="shared" si="26"/>
        <v>-51629.999999999985</v>
      </c>
      <c r="H90" s="44">
        <f t="shared" si="26"/>
        <v>-16279.999999999982</v>
      </c>
      <c r="I90" s="44">
        <f t="shared" si="26"/>
        <v>18960.000000000025</v>
      </c>
      <c r="J90" s="44">
        <f t="shared" si="26"/>
        <v>53640.000000000029</v>
      </c>
      <c r="K90" s="44">
        <f t="shared" si="26"/>
        <v>88040.000000000044</v>
      </c>
      <c r="L90" s="44">
        <f t="shared" si="26"/>
        <v>68840.000000000029</v>
      </c>
    </row>
    <row r="91" spans="1:12" ht="21" x14ac:dyDescent="0.5">
      <c r="A91" s="41" t="s">
        <v>15</v>
      </c>
      <c r="B91" s="41"/>
      <c r="C91" s="41"/>
      <c r="D91" s="44">
        <f>B5</f>
        <v>70000</v>
      </c>
      <c r="E91" s="44">
        <f>D91</f>
        <v>70000</v>
      </c>
      <c r="F91" s="44">
        <f t="shared" ref="F91:K91" si="27">E91</f>
        <v>70000</v>
      </c>
      <c r="G91" s="44">
        <f t="shared" si="27"/>
        <v>70000</v>
      </c>
      <c r="H91" s="44">
        <f t="shared" si="27"/>
        <v>70000</v>
      </c>
      <c r="I91" s="44">
        <f t="shared" si="27"/>
        <v>70000</v>
      </c>
      <c r="J91" s="44">
        <f t="shared" si="27"/>
        <v>70000</v>
      </c>
      <c r="K91" s="44">
        <f t="shared" si="27"/>
        <v>70000</v>
      </c>
      <c r="L91" s="44">
        <v>0</v>
      </c>
    </row>
    <row r="92" spans="1:12" ht="21" x14ac:dyDescent="0.5">
      <c r="A92" s="41" t="s">
        <v>16</v>
      </c>
      <c r="B92" s="41"/>
      <c r="C92" s="41"/>
      <c r="D92" s="47">
        <v>0</v>
      </c>
      <c r="E92" s="47">
        <f>D92+E75</f>
        <v>10000</v>
      </c>
      <c r="F92" s="47">
        <f t="shared" ref="F92:K92" si="28">E92+F75</f>
        <v>20000</v>
      </c>
      <c r="G92" s="47">
        <f t="shared" si="28"/>
        <v>30000</v>
      </c>
      <c r="H92" s="47">
        <f t="shared" si="28"/>
        <v>40000</v>
      </c>
      <c r="I92" s="47">
        <f t="shared" si="28"/>
        <v>50000</v>
      </c>
      <c r="J92" s="47">
        <f t="shared" si="28"/>
        <v>60000</v>
      </c>
      <c r="K92" s="47">
        <f t="shared" si="28"/>
        <v>70000</v>
      </c>
      <c r="L92" s="44">
        <v>0</v>
      </c>
    </row>
    <row r="93" spans="1:12" ht="21" x14ac:dyDescent="0.5">
      <c r="A93" s="40" t="s">
        <v>5</v>
      </c>
      <c r="B93" s="41"/>
      <c r="C93" s="41"/>
      <c r="D93" s="47">
        <f>D91-D92</f>
        <v>70000</v>
      </c>
      <c r="E93" s="47">
        <f t="shared" ref="E93:K93" si="29">E91-E92</f>
        <v>60000</v>
      </c>
      <c r="F93" s="47">
        <f t="shared" si="29"/>
        <v>50000</v>
      </c>
      <c r="G93" s="47">
        <f t="shared" si="29"/>
        <v>40000</v>
      </c>
      <c r="H93" s="47">
        <f t="shared" si="29"/>
        <v>30000</v>
      </c>
      <c r="I93" s="47">
        <f t="shared" si="29"/>
        <v>20000</v>
      </c>
      <c r="J93" s="47">
        <f t="shared" si="29"/>
        <v>10000</v>
      </c>
      <c r="K93" s="47">
        <f t="shared" si="29"/>
        <v>0</v>
      </c>
      <c r="L93" s="47">
        <f t="shared" ref="L93" si="30">L91-L92</f>
        <v>0</v>
      </c>
    </row>
    <row r="94" spans="1:12" ht="21" x14ac:dyDescent="0.5">
      <c r="A94" s="40" t="s">
        <v>6</v>
      </c>
      <c r="B94" s="41"/>
      <c r="C94" s="41"/>
      <c r="D94" s="44">
        <f>D90+D93</f>
        <v>0</v>
      </c>
      <c r="E94" s="44">
        <f t="shared" ref="E94:K94" si="31">E90+E93</f>
        <v>-21380</v>
      </c>
      <c r="F94" s="44">
        <f t="shared" si="31"/>
        <v>-52780</v>
      </c>
      <c r="G94" s="44">
        <f t="shared" si="31"/>
        <v>-11629.999999999985</v>
      </c>
      <c r="H94" s="44">
        <f t="shared" si="31"/>
        <v>13720.000000000018</v>
      </c>
      <c r="I94" s="44">
        <f t="shared" si="31"/>
        <v>38960.000000000029</v>
      </c>
      <c r="J94" s="44">
        <f t="shared" si="31"/>
        <v>63640.000000000029</v>
      </c>
      <c r="K94" s="44">
        <f t="shared" si="31"/>
        <v>88040.000000000044</v>
      </c>
      <c r="L94" s="44">
        <f t="shared" ref="L94" si="32">L90+L93</f>
        <v>68840.000000000029</v>
      </c>
    </row>
    <row r="95" spans="1:12" ht="21" x14ac:dyDescent="0.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</row>
    <row r="96" spans="1:12" ht="21" x14ac:dyDescent="0.5">
      <c r="A96" s="40" t="s">
        <v>7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</row>
    <row r="97" spans="1:12" ht="21" x14ac:dyDescent="0.5">
      <c r="A97" s="41" t="s">
        <v>51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</row>
    <row r="98" spans="1:12" ht="21" x14ac:dyDescent="0.5">
      <c r="A98" s="41" t="s">
        <v>17</v>
      </c>
      <c r="B98" s="41"/>
      <c r="C98" s="41"/>
      <c r="D98" s="44">
        <v>0</v>
      </c>
      <c r="E98" s="44">
        <f>$B$31*E64</f>
        <v>0</v>
      </c>
      <c r="F98" s="44">
        <f t="shared" ref="F98:K98" si="33">$B$31*F64</f>
        <v>0</v>
      </c>
      <c r="G98" s="44">
        <f t="shared" si="33"/>
        <v>4950.0000000000036</v>
      </c>
      <c r="H98" s="44">
        <f t="shared" si="33"/>
        <v>4500.0000000000036</v>
      </c>
      <c r="I98" s="44">
        <f t="shared" si="33"/>
        <v>4500.0000000000036</v>
      </c>
      <c r="J98" s="44">
        <f t="shared" si="33"/>
        <v>4500.0000000000036</v>
      </c>
      <c r="K98" s="44">
        <f t="shared" si="33"/>
        <v>4500.0000000000036</v>
      </c>
      <c r="L98" s="44">
        <v>0</v>
      </c>
    </row>
    <row r="99" spans="1:12" ht="21" x14ac:dyDescent="0.5">
      <c r="A99" s="41" t="s">
        <v>18</v>
      </c>
      <c r="B99" s="41"/>
      <c r="C99" s="41"/>
      <c r="D99" s="44">
        <v>0</v>
      </c>
      <c r="E99" s="44">
        <f>$B$34*E77</f>
        <v>7500.0000000000009</v>
      </c>
      <c r="F99" s="44">
        <f t="shared" ref="F99:K99" si="34">$B$34*F77</f>
        <v>7500.0000000000009</v>
      </c>
      <c r="G99" s="44">
        <f t="shared" si="34"/>
        <v>16500.000000000004</v>
      </c>
      <c r="H99" s="44">
        <f t="shared" si="34"/>
        <v>16500.000000000004</v>
      </c>
      <c r="I99" s="44">
        <f t="shared" si="34"/>
        <v>16500.000000000004</v>
      </c>
      <c r="J99" s="44">
        <f t="shared" si="34"/>
        <v>16500.000000000004</v>
      </c>
      <c r="K99" s="44">
        <f t="shared" si="34"/>
        <v>16500.000000000004</v>
      </c>
      <c r="L99" s="44">
        <v>0</v>
      </c>
    </row>
    <row r="100" spans="1:12" ht="21" x14ac:dyDescent="0.5">
      <c r="A100" s="41" t="s">
        <v>19</v>
      </c>
      <c r="B100" s="41"/>
      <c r="C100" s="41"/>
      <c r="D100" s="47">
        <v>0</v>
      </c>
      <c r="E100" s="47">
        <v>0</v>
      </c>
      <c r="F100" s="47">
        <v>0</v>
      </c>
      <c r="G100" s="47">
        <v>0</v>
      </c>
      <c r="H100" s="47">
        <v>0</v>
      </c>
      <c r="I100" s="47">
        <v>0</v>
      </c>
      <c r="J100" s="47">
        <v>0</v>
      </c>
      <c r="K100" s="47">
        <v>0</v>
      </c>
      <c r="L100" s="47">
        <v>0</v>
      </c>
    </row>
    <row r="101" spans="1:12" ht="21" x14ac:dyDescent="0.5">
      <c r="A101" s="40" t="s">
        <v>8</v>
      </c>
      <c r="B101" s="41"/>
      <c r="C101" s="41"/>
      <c r="D101" s="44">
        <f>SUM(D98:E98)</f>
        <v>0</v>
      </c>
      <c r="E101" s="44">
        <f>SUM(E98:E100)</f>
        <v>7500.0000000000009</v>
      </c>
      <c r="F101" s="44">
        <f t="shared" ref="F101:L101" si="35">SUM(F98:F100)</f>
        <v>7500.0000000000009</v>
      </c>
      <c r="G101" s="44">
        <f t="shared" si="35"/>
        <v>21450.000000000007</v>
      </c>
      <c r="H101" s="44">
        <f t="shared" si="35"/>
        <v>21000.000000000007</v>
      </c>
      <c r="I101" s="44">
        <f t="shared" si="35"/>
        <v>21000.000000000007</v>
      </c>
      <c r="J101" s="44">
        <f t="shared" si="35"/>
        <v>21000.000000000007</v>
      </c>
      <c r="K101" s="44">
        <f t="shared" si="35"/>
        <v>21000.000000000007</v>
      </c>
      <c r="L101" s="44">
        <f t="shared" si="35"/>
        <v>0</v>
      </c>
    </row>
    <row r="102" spans="1:12" ht="21" x14ac:dyDescent="0.5">
      <c r="A102" s="41"/>
      <c r="B102" s="41"/>
      <c r="C102" s="41"/>
      <c r="D102" s="44"/>
      <c r="E102" s="44"/>
      <c r="F102" s="44"/>
      <c r="G102" s="44"/>
      <c r="H102" s="44"/>
      <c r="I102" s="44"/>
      <c r="J102" s="44"/>
      <c r="K102" s="44"/>
      <c r="L102" s="44"/>
    </row>
    <row r="103" spans="1:12" ht="21" x14ac:dyDescent="0.5">
      <c r="A103" s="40" t="s">
        <v>9</v>
      </c>
      <c r="B103" s="41"/>
      <c r="C103" s="41"/>
      <c r="D103" s="44"/>
      <c r="E103" s="44"/>
      <c r="F103" s="44"/>
      <c r="G103" s="44"/>
      <c r="H103" s="44"/>
      <c r="I103" s="44"/>
      <c r="J103" s="44"/>
      <c r="K103" s="44"/>
      <c r="L103" s="44"/>
    </row>
    <row r="104" spans="1:12" ht="21" x14ac:dyDescent="0.5">
      <c r="A104" s="41" t="s">
        <v>20</v>
      </c>
      <c r="B104" s="41"/>
      <c r="C104" s="41"/>
      <c r="D104" s="44">
        <v>0</v>
      </c>
      <c r="E104" s="44">
        <f>D104</f>
        <v>0</v>
      </c>
      <c r="F104" s="44">
        <f t="shared" ref="F104:K104" si="36">E104</f>
        <v>0</v>
      </c>
      <c r="G104" s="44">
        <f t="shared" si="36"/>
        <v>0</v>
      </c>
      <c r="H104" s="44">
        <f t="shared" si="36"/>
        <v>0</v>
      </c>
      <c r="I104" s="44">
        <f t="shared" si="36"/>
        <v>0</v>
      </c>
      <c r="J104" s="44">
        <f t="shared" si="36"/>
        <v>0</v>
      </c>
      <c r="K104" s="44">
        <f t="shared" si="36"/>
        <v>0</v>
      </c>
      <c r="L104" s="44">
        <f>K104</f>
        <v>0</v>
      </c>
    </row>
    <row r="105" spans="1:12" ht="21" x14ac:dyDescent="0.5">
      <c r="A105" s="41" t="s">
        <v>21</v>
      </c>
      <c r="B105" s="41"/>
      <c r="C105" s="41"/>
      <c r="D105" s="47">
        <v>0</v>
      </c>
      <c r="E105" s="47">
        <f>D105+E81</f>
        <v>-28880</v>
      </c>
      <c r="F105" s="47">
        <f t="shared" ref="F105:L105" si="37">E105+F81</f>
        <v>-60280</v>
      </c>
      <c r="G105" s="47">
        <f t="shared" si="37"/>
        <v>-33079.999999999993</v>
      </c>
      <c r="H105" s="47">
        <f t="shared" si="37"/>
        <v>-7279.9999999999854</v>
      </c>
      <c r="I105" s="47">
        <f t="shared" si="37"/>
        <v>17960.000000000022</v>
      </c>
      <c r="J105" s="47">
        <f t="shared" si="37"/>
        <v>42640.000000000029</v>
      </c>
      <c r="K105" s="47">
        <f t="shared" si="37"/>
        <v>67040.000000000029</v>
      </c>
      <c r="L105" s="47">
        <f t="shared" si="37"/>
        <v>68840.000000000029</v>
      </c>
    </row>
    <row r="106" spans="1:12" ht="21" x14ac:dyDescent="0.5">
      <c r="A106" s="40" t="s">
        <v>23</v>
      </c>
      <c r="B106" s="41"/>
      <c r="C106" s="41"/>
      <c r="D106" s="44">
        <f>D104+D105</f>
        <v>0</v>
      </c>
      <c r="E106" s="44">
        <f t="shared" ref="E106:K106" si="38">E104+E105</f>
        <v>-28880</v>
      </c>
      <c r="F106" s="44">
        <f t="shared" si="38"/>
        <v>-60280</v>
      </c>
      <c r="G106" s="44">
        <f t="shared" si="38"/>
        <v>-33079.999999999993</v>
      </c>
      <c r="H106" s="44">
        <f t="shared" si="38"/>
        <v>-7279.9999999999854</v>
      </c>
      <c r="I106" s="44">
        <f t="shared" si="38"/>
        <v>17960.000000000022</v>
      </c>
      <c r="J106" s="44">
        <f t="shared" si="38"/>
        <v>42640.000000000029</v>
      </c>
      <c r="K106" s="44">
        <f t="shared" si="38"/>
        <v>67040.000000000029</v>
      </c>
      <c r="L106" s="44">
        <f t="shared" ref="L106" si="39">L104+L105</f>
        <v>68840.000000000029</v>
      </c>
    </row>
    <row r="107" spans="1:12" ht="21" x14ac:dyDescent="0.5">
      <c r="A107" s="40"/>
      <c r="B107" s="41"/>
      <c r="C107" s="41"/>
      <c r="D107" s="44"/>
      <c r="E107" s="44"/>
      <c r="F107" s="44"/>
      <c r="G107" s="44"/>
      <c r="H107" s="44"/>
      <c r="I107" s="44"/>
      <c r="J107" s="44"/>
      <c r="K107" s="44"/>
      <c r="L107" s="44"/>
    </row>
    <row r="108" spans="1:12" ht="21" x14ac:dyDescent="0.5">
      <c r="A108" s="40" t="s">
        <v>22</v>
      </c>
      <c r="B108" s="41"/>
      <c r="C108" s="41"/>
      <c r="D108" s="44">
        <f>D101+D106</f>
        <v>0</v>
      </c>
      <c r="E108" s="44">
        <f t="shared" ref="E108:L108" si="40">E101+E106</f>
        <v>-21380</v>
      </c>
      <c r="F108" s="44">
        <f t="shared" si="40"/>
        <v>-52780</v>
      </c>
      <c r="G108" s="44">
        <f t="shared" si="40"/>
        <v>-11629.999999999985</v>
      </c>
      <c r="H108" s="44">
        <f t="shared" si="40"/>
        <v>13720.000000000022</v>
      </c>
      <c r="I108" s="44">
        <f t="shared" si="40"/>
        <v>38960.000000000029</v>
      </c>
      <c r="J108" s="44">
        <f t="shared" si="40"/>
        <v>63640.000000000036</v>
      </c>
      <c r="K108" s="44">
        <f t="shared" si="40"/>
        <v>88040.000000000029</v>
      </c>
      <c r="L108" s="44">
        <f t="shared" si="40"/>
        <v>68840.000000000029</v>
      </c>
    </row>
    <row r="109" spans="1:12" ht="21" x14ac:dyDescent="0.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</row>
    <row r="111" spans="1:12" ht="18.5" x14ac:dyDescent="0.45">
      <c r="A111" s="25" t="s">
        <v>52</v>
      </c>
      <c r="D111">
        <v>0</v>
      </c>
      <c r="E111" s="13">
        <v>1</v>
      </c>
      <c r="F111" s="13">
        <v>2</v>
      </c>
      <c r="G111" s="13">
        <v>3</v>
      </c>
      <c r="H111" s="13">
        <v>4</v>
      </c>
      <c r="I111" s="13">
        <v>5</v>
      </c>
      <c r="J111" s="13">
        <v>6</v>
      </c>
      <c r="K111" s="13">
        <v>7</v>
      </c>
      <c r="L111" s="13">
        <v>8</v>
      </c>
    </row>
    <row r="112" spans="1:12" ht="21" x14ac:dyDescent="0.5">
      <c r="A112" s="41" t="s">
        <v>53</v>
      </c>
      <c r="B112" s="41"/>
      <c r="C112" s="41"/>
      <c r="D112" s="44"/>
      <c r="E112" s="44">
        <f>E81</f>
        <v>-28880</v>
      </c>
      <c r="F112" s="44">
        <f t="shared" ref="F112:K112" si="41">F81</f>
        <v>-31400</v>
      </c>
      <c r="G112" s="44">
        <f t="shared" si="41"/>
        <v>27200.000000000007</v>
      </c>
      <c r="H112" s="44">
        <f t="shared" si="41"/>
        <v>25800.000000000007</v>
      </c>
      <c r="I112" s="44">
        <f t="shared" si="41"/>
        <v>25240.000000000007</v>
      </c>
      <c r="J112" s="44">
        <f t="shared" si="41"/>
        <v>24680.000000000007</v>
      </c>
      <c r="K112" s="44">
        <f t="shared" si="41"/>
        <v>24400.000000000007</v>
      </c>
      <c r="L112" s="44">
        <f t="shared" ref="L112" si="42">L81</f>
        <v>1800</v>
      </c>
    </row>
    <row r="113" spans="1:12" ht="21" x14ac:dyDescent="0.5">
      <c r="A113" s="41" t="s">
        <v>54</v>
      </c>
      <c r="B113" s="41"/>
      <c r="C113" s="41"/>
      <c r="D113" s="44"/>
      <c r="E113" s="44">
        <f>E75</f>
        <v>10000</v>
      </c>
      <c r="F113" s="44">
        <f t="shared" ref="F113:K113" si="43">F75</f>
        <v>10000</v>
      </c>
      <c r="G113" s="44">
        <f t="shared" si="43"/>
        <v>10000</v>
      </c>
      <c r="H113" s="44">
        <f t="shared" si="43"/>
        <v>10000</v>
      </c>
      <c r="I113" s="44">
        <f t="shared" si="43"/>
        <v>10000</v>
      </c>
      <c r="J113" s="44">
        <f t="shared" si="43"/>
        <v>10000</v>
      </c>
      <c r="K113" s="44">
        <f t="shared" si="43"/>
        <v>10000</v>
      </c>
      <c r="L113" s="44">
        <f t="shared" ref="L113" si="44">L75</f>
        <v>0</v>
      </c>
    </row>
    <row r="114" spans="1:12" ht="21" x14ac:dyDescent="0.5">
      <c r="A114" s="41" t="s">
        <v>55</v>
      </c>
      <c r="B114" s="41"/>
      <c r="C114" s="41"/>
      <c r="D114" s="44"/>
      <c r="E114" s="44">
        <f>-(E88-D88)</f>
        <v>0</v>
      </c>
      <c r="F114" s="44">
        <f t="shared" ref="F114:L114" si="45">-(F88-E88)</f>
        <v>0</v>
      </c>
      <c r="G114" s="44">
        <f t="shared" si="45"/>
        <v>-19999.999999999996</v>
      </c>
      <c r="H114" s="44">
        <f t="shared" si="45"/>
        <v>0</v>
      </c>
      <c r="I114" s="44">
        <f t="shared" si="45"/>
        <v>0</v>
      </c>
      <c r="J114" s="44">
        <f t="shared" si="45"/>
        <v>0</v>
      </c>
      <c r="K114" s="44">
        <f t="shared" si="45"/>
        <v>0</v>
      </c>
      <c r="L114" s="44">
        <f t="shared" si="45"/>
        <v>19999.999999999996</v>
      </c>
    </row>
    <row r="115" spans="1:12" ht="21" x14ac:dyDescent="0.5">
      <c r="A115" s="41" t="s">
        <v>56</v>
      </c>
      <c r="B115" s="41"/>
      <c r="C115" s="41"/>
      <c r="D115" s="44"/>
      <c r="E115" s="44">
        <f>-(E89-D89)</f>
        <v>0</v>
      </c>
      <c r="F115" s="44">
        <f t="shared" ref="F115:L115" si="46">-(F89-E89)</f>
        <v>0</v>
      </c>
      <c r="G115" s="44">
        <f t="shared" si="46"/>
        <v>-9000</v>
      </c>
      <c r="H115" s="44">
        <f t="shared" si="46"/>
        <v>0</v>
      </c>
      <c r="I115" s="44">
        <f t="shared" si="46"/>
        <v>0</v>
      </c>
      <c r="J115" s="44">
        <f t="shared" si="46"/>
        <v>0</v>
      </c>
      <c r="K115" s="44">
        <f t="shared" si="46"/>
        <v>0</v>
      </c>
      <c r="L115" s="44">
        <f t="shared" si="46"/>
        <v>9000</v>
      </c>
    </row>
    <row r="116" spans="1:12" ht="21" x14ac:dyDescent="0.5">
      <c r="A116" s="41" t="s">
        <v>96</v>
      </c>
      <c r="B116" s="41"/>
      <c r="C116" s="41"/>
      <c r="D116" s="44"/>
      <c r="E116" s="44">
        <f>E98-D98</f>
        <v>0</v>
      </c>
      <c r="F116" s="44">
        <f t="shared" ref="F116:L116" si="47">F98-E98</f>
        <v>0</v>
      </c>
      <c r="G116" s="44">
        <f t="shared" si="47"/>
        <v>4950.0000000000036</v>
      </c>
      <c r="H116" s="44">
        <f t="shared" si="47"/>
        <v>-450</v>
      </c>
      <c r="I116" s="44">
        <f t="shared" si="47"/>
        <v>0</v>
      </c>
      <c r="J116" s="44">
        <f t="shared" si="47"/>
        <v>0</v>
      </c>
      <c r="K116" s="44">
        <f t="shared" si="47"/>
        <v>0</v>
      </c>
      <c r="L116" s="44">
        <f t="shared" si="47"/>
        <v>-4500.0000000000036</v>
      </c>
    </row>
    <row r="117" spans="1:12" ht="21" x14ac:dyDescent="0.5">
      <c r="A117" s="41" t="s">
        <v>97</v>
      </c>
      <c r="B117" s="41"/>
      <c r="C117" s="41"/>
      <c r="D117" s="44"/>
      <c r="E117" s="44">
        <f>E99-D99</f>
        <v>7500.0000000000009</v>
      </c>
      <c r="F117" s="44">
        <f t="shared" ref="F117:L117" si="48">F99-E99</f>
        <v>0</v>
      </c>
      <c r="G117" s="44">
        <f t="shared" si="48"/>
        <v>9000.0000000000036</v>
      </c>
      <c r="H117" s="44">
        <f t="shared" si="48"/>
        <v>0</v>
      </c>
      <c r="I117" s="44">
        <f t="shared" si="48"/>
        <v>0</v>
      </c>
      <c r="J117" s="44">
        <f t="shared" si="48"/>
        <v>0</v>
      </c>
      <c r="K117" s="44">
        <f t="shared" si="48"/>
        <v>0</v>
      </c>
      <c r="L117" s="44">
        <f t="shared" si="48"/>
        <v>-16500.000000000004</v>
      </c>
    </row>
    <row r="118" spans="1:12" ht="21" x14ac:dyDescent="0.5">
      <c r="A118" s="41" t="s">
        <v>57</v>
      </c>
      <c r="B118" s="41"/>
      <c r="C118" s="41"/>
      <c r="D118" s="44"/>
      <c r="E118" s="47">
        <v>0</v>
      </c>
      <c r="F118" s="47">
        <v>0</v>
      </c>
      <c r="G118" s="47">
        <v>0</v>
      </c>
      <c r="H118" s="47">
        <v>0</v>
      </c>
      <c r="I118" s="47">
        <v>0</v>
      </c>
      <c r="J118" s="47">
        <v>0</v>
      </c>
      <c r="K118" s="47">
        <v>0</v>
      </c>
      <c r="L118" s="47">
        <f>-(B37-K93)</f>
        <v>-5000</v>
      </c>
    </row>
    <row r="119" spans="1:12" ht="21" x14ac:dyDescent="0.5">
      <c r="A119" s="41" t="s">
        <v>58</v>
      </c>
      <c r="B119" s="41"/>
      <c r="C119" s="41"/>
      <c r="D119" s="44"/>
      <c r="E119" s="44">
        <f>SUM(E112:E118)</f>
        <v>-11380</v>
      </c>
      <c r="F119" s="44">
        <f t="shared" ref="F119:K119" si="49">SUM(F112:F118)</f>
        <v>-21400</v>
      </c>
      <c r="G119" s="44">
        <f t="shared" si="49"/>
        <v>22150.000000000018</v>
      </c>
      <c r="H119" s="44">
        <f t="shared" si="49"/>
        <v>35350.000000000007</v>
      </c>
      <c r="I119" s="44">
        <f t="shared" si="49"/>
        <v>35240.000000000007</v>
      </c>
      <c r="J119" s="44">
        <f t="shared" si="49"/>
        <v>34680.000000000007</v>
      </c>
      <c r="K119" s="44">
        <f t="shared" si="49"/>
        <v>34400.000000000007</v>
      </c>
      <c r="L119" s="44">
        <f t="shared" ref="L119" si="50">SUM(L112:L118)</f>
        <v>4799.9999999999891</v>
      </c>
    </row>
    <row r="120" spans="1:12" ht="21" x14ac:dyDescent="0.5">
      <c r="A120" s="41"/>
      <c r="B120" s="41"/>
      <c r="C120" s="41"/>
      <c r="D120" s="44"/>
      <c r="E120" s="44"/>
      <c r="F120" s="44"/>
      <c r="G120" s="44"/>
      <c r="H120" s="44"/>
      <c r="I120" s="44"/>
      <c r="J120" s="44"/>
      <c r="K120" s="44"/>
      <c r="L120" s="44"/>
    </row>
    <row r="121" spans="1:12" ht="21" x14ac:dyDescent="0.5">
      <c r="A121" s="41" t="s">
        <v>59</v>
      </c>
      <c r="B121" s="41"/>
      <c r="C121" s="41"/>
      <c r="D121" s="44">
        <f>-D91</f>
        <v>-70000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</row>
    <row r="122" spans="1:12" ht="21" x14ac:dyDescent="0.5">
      <c r="A122" s="41" t="s">
        <v>60</v>
      </c>
      <c r="B122" s="41"/>
      <c r="C122" s="41"/>
      <c r="D122" s="44">
        <f>0</f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f>-L118</f>
        <v>5000</v>
      </c>
    </row>
    <row r="123" spans="1:12" ht="21" x14ac:dyDescent="0.5">
      <c r="A123" s="41"/>
      <c r="B123" s="41"/>
      <c r="C123" s="41"/>
      <c r="D123" s="44"/>
      <c r="E123" s="44"/>
      <c r="F123" s="44"/>
      <c r="G123" s="44"/>
      <c r="H123" s="44"/>
      <c r="I123" s="44"/>
      <c r="J123" s="44"/>
      <c r="K123" s="44"/>
      <c r="L123" s="44"/>
    </row>
    <row r="124" spans="1:12" ht="21" x14ac:dyDescent="0.5">
      <c r="A124" s="52" t="s">
        <v>61</v>
      </c>
      <c r="B124" s="52"/>
      <c r="C124" s="52"/>
      <c r="D124" s="53">
        <f>D119+D121+D122</f>
        <v>-70000</v>
      </c>
      <c r="E124" s="50">
        <f>E119+E121+E122</f>
        <v>-11380</v>
      </c>
      <c r="F124" s="50">
        <f t="shared" ref="F124:K124" si="51">F119+F121+F122</f>
        <v>-21400</v>
      </c>
      <c r="G124" s="50">
        <f t="shared" si="51"/>
        <v>22150.000000000018</v>
      </c>
      <c r="H124" s="50">
        <f t="shared" si="51"/>
        <v>35350.000000000007</v>
      </c>
      <c r="I124" s="50">
        <f t="shared" si="51"/>
        <v>35240.000000000007</v>
      </c>
      <c r="J124" s="50">
        <f t="shared" si="51"/>
        <v>34680.000000000007</v>
      </c>
      <c r="K124" s="50">
        <f t="shared" si="51"/>
        <v>34400.000000000007</v>
      </c>
      <c r="L124" s="50">
        <f t="shared" ref="L124" si="52">L119+L121+L122</f>
        <v>9799.9999999999891</v>
      </c>
    </row>
    <row r="125" spans="1:12" ht="18.5" x14ac:dyDescent="0.45">
      <c r="A125" s="39"/>
      <c r="B125" s="39"/>
      <c r="C125" s="39"/>
      <c r="D125" s="39"/>
    </row>
    <row r="126" spans="1:12" ht="21" x14ac:dyDescent="0.5">
      <c r="A126" s="52" t="s">
        <v>67</v>
      </c>
      <c r="B126" s="52"/>
      <c r="C126" s="52"/>
      <c r="D126" s="54">
        <f>NPV($B$2,E124:L124)</f>
        <v>96624.320743727105</v>
      </c>
    </row>
    <row r="127" spans="1:12" ht="21" x14ac:dyDescent="0.5">
      <c r="A127" s="52" t="s">
        <v>79</v>
      </c>
      <c r="B127" s="52"/>
      <c r="C127" s="52"/>
      <c r="D127" s="55">
        <f>D124+D126</f>
        <v>26624.320743727105</v>
      </c>
    </row>
    <row r="128" spans="1:12" ht="21" x14ac:dyDescent="0.5">
      <c r="A128" s="52"/>
      <c r="B128" s="52"/>
      <c r="C128" s="52"/>
      <c r="D128" s="55"/>
    </row>
    <row r="129" spans="1:12" ht="21" x14ac:dyDescent="0.5">
      <c r="A129" s="52" t="s">
        <v>68</v>
      </c>
      <c r="B129" s="52"/>
      <c r="C129" s="52"/>
      <c r="D129" s="56">
        <f>IRR(D124:L124)</f>
        <v>0.11521145746599792</v>
      </c>
    </row>
    <row r="131" spans="1:12" ht="21" x14ac:dyDescent="0.5">
      <c r="A131" s="26" t="s">
        <v>39</v>
      </c>
    </row>
    <row r="132" spans="1:12" x14ac:dyDescent="0.35">
      <c r="A132" s="2"/>
      <c r="E132" s="7">
        <v>1</v>
      </c>
      <c r="F132" s="7">
        <v>2</v>
      </c>
      <c r="G132" s="7">
        <v>3</v>
      </c>
      <c r="H132" s="7">
        <v>4</v>
      </c>
      <c r="I132" s="7">
        <v>5</v>
      </c>
      <c r="J132" s="7">
        <v>6</v>
      </c>
      <c r="K132" s="7">
        <v>7</v>
      </c>
      <c r="L132" s="7">
        <v>8</v>
      </c>
    </row>
    <row r="133" spans="1:12" x14ac:dyDescent="0.35">
      <c r="A133" t="s">
        <v>25</v>
      </c>
      <c r="E133" s="5">
        <f t="shared" ref="E133:K133" si="53">E72</f>
        <v>0</v>
      </c>
      <c r="F133" s="5">
        <f t="shared" si="53"/>
        <v>0</v>
      </c>
      <c r="G133" s="5">
        <f t="shared" si="53"/>
        <v>200000</v>
      </c>
      <c r="H133" s="5">
        <f t="shared" si="53"/>
        <v>200000</v>
      </c>
      <c r="I133" s="5">
        <f t="shared" si="53"/>
        <v>200000</v>
      </c>
      <c r="J133" s="5">
        <f t="shared" si="53"/>
        <v>200000</v>
      </c>
      <c r="K133" s="5">
        <f t="shared" si="53"/>
        <v>200000</v>
      </c>
      <c r="L133" s="5">
        <f t="shared" ref="L133" si="54">L72</f>
        <v>9000</v>
      </c>
    </row>
    <row r="134" spans="1:12" ht="16" x14ac:dyDescent="0.5">
      <c r="A134" s="6" t="s">
        <v>26</v>
      </c>
      <c r="E134" s="8">
        <f t="shared" ref="E134:K135" si="55">E73</f>
        <v>0</v>
      </c>
      <c r="F134" s="8">
        <f t="shared" si="55"/>
        <v>0</v>
      </c>
      <c r="G134" s="8">
        <f t="shared" si="55"/>
        <v>89999.999999999985</v>
      </c>
      <c r="H134" s="8">
        <f t="shared" si="55"/>
        <v>89999.999999999985</v>
      </c>
      <c r="I134" s="8">
        <f t="shared" si="55"/>
        <v>89999.999999999985</v>
      </c>
      <c r="J134" s="8">
        <f t="shared" si="55"/>
        <v>89999.999999999985</v>
      </c>
      <c r="K134" s="8">
        <f t="shared" si="55"/>
        <v>89999.999999999985</v>
      </c>
      <c r="L134" s="8">
        <f t="shared" ref="L134" si="56">L73</f>
        <v>9000</v>
      </c>
    </row>
    <row r="135" spans="1:12" x14ac:dyDescent="0.35">
      <c r="A135" s="2" t="s">
        <v>27</v>
      </c>
      <c r="E135" s="5">
        <f t="shared" si="55"/>
        <v>0</v>
      </c>
      <c r="F135" s="5">
        <f t="shared" si="55"/>
        <v>0</v>
      </c>
      <c r="G135" s="5">
        <f t="shared" si="55"/>
        <v>110000.00000000001</v>
      </c>
      <c r="H135" s="5">
        <f t="shared" si="55"/>
        <v>110000.00000000001</v>
      </c>
      <c r="I135" s="5">
        <f t="shared" si="55"/>
        <v>110000.00000000001</v>
      </c>
      <c r="J135" s="5">
        <f t="shared" si="55"/>
        <v>110000.00000000001</v>
      </c>
      <c r="K135" s="5">
        <f t="shared" si="55"/>
        <v>110000.00000000001</v>
      </c>
      <c r="L135" s="5">
        <f t="shared" ref="L135" si="57">L74</f>
        <v>0</v>
      </c>
    </row>
    <row r="136" spans="1:12" x14ac:dyDescent="0.35">
      <c r="A136" s="1" t="s">
        <v>28</v>
      </c>
      <c r="E136" s="5">
        <f t="shared" ref="E136:K136" si="58">E49</f>
        <v>20300</v>
      </c>
      <c r="F136" s="5">
        <f t="shared" si="58"/>
        <v>14000</v>
      </c>
      <c r="G136" s="5">
        <f t="shared" si="58"/>
        <v>10500</v>
      </c>
      <c r="H136" s="5">
        <f t="shared" si="58"/>
        <v>7000</v>
      </c>
      <c r="I136" s="5">
        <f t="shared" si="58"/>
        <v>5600</v>
      </c>
      <c r="J136" s="5">
        <f t="shared" si="58"/>
        <v>4200</v>
      </c>
      <c r="K136" s="5">
        <f t="shared" si="58"/>
        <v>3500</v>
      </c>
      <c r="L136" s="5">
        <f t="shared" ref="L136" si="59">L49</f>
        <v>0</v>
      </c>
    </row>
    <row r="137" spans="1:12" x14ac:dyDescent="0.35">
      <c r="A137" t="s">
        <v>29</v>
      </c>
      <c r="E137" s="5">
        <f t="shared" ref="E137:K139" si="60">E76</f>
        <v>20000</v>
      </c>
      <c r="F137" s="5">
        <f t="shared" si="60"/>
        <v>20000</v>
      </c>
      <c r="G137" s="5">
        <f t="shared" si="60"/>
        <v>0</v>
      </c>
      <c r="H137" s="5">
        <f t="shared" si="60"/>
        <v>0</v>
      </c>
      <c r="I137" s="5">
        <f t="shared" si="60"/>
        <v>0</v>
      </c>
      <c r="J137" s="5">
        <f t="shared" si="60"/>
        <v>0</v>
      </c>
      <c r="K137" s="5">
        <f t="shared" si="60"/>
        <v>0</v>
      </c>
      <c r="L137" s="5">
        <f t="shared" ref="L137" si="61">L76</f>
        <v>0</v>
      </c>
    </row>
    <row r="138" spans="1:12" x14ac:dyDescent="0.35">
      <c r="A138" t="s">
        <v>30</v>
      </c>
      <c r="E138" s="5">
        <f t="shared" si="60"/>
        <v>25000</v>
      </c>
      <c r="F138" s="5">
        <f t="shared" si="60"/>
        <v>25000</v>
      </c>
      <c r="G138" s="5">
        <f t="shared" si="60"/>
        <v>55000</v>
      </c>
      <c r="H138" s="5">
        <f t="shared" si="60"/>
        <v>55000</v>
      </c>
      <c r="I138" s="5">
        <f t="shared" si="60"/>
        <v>55000</v>
      </c>
      <c r="J138" s="5">
        <f t="shared" si="60"/>
        <v>55000</v>
      </c>
      <c r="K138" s="5">
        <f t="shared" si="60"/>
        <v>55000</v>
      </c>
      <c r="L138" s="5">
        <f t="shared" ref="L138" si="62">L77</f>
        <v>0</v>
      </c>
    </row>
    <row r="139" spans="1:12" x14ac:dyDescent="0.35">
      <c r="A139" s="6" t="s">
        <v>78</v>
      </c>
      <c r="E139" s="9">
        <f t="shared" si="60"/>
        <v>0</v>
      </c>
      <c r="F139" s="9">
        <f t="shared" si="60"/>
        <v>0</v>
      </c>
      <c r="G139" s="9">
        <f t="shared" si="60"/>
        <v>0</v>
      </c>
      <c r="H139" s="9">
        <f t="shared" si="60"/>
        <v>0</v>
      </c>
      <c r="I139" s="9">
        <f t="shared" si="60"/>
        <v>0</v>
      </c>
      <c r="J139" s="9">
        <f t="shared" si="60"/>
        <v>0</v>
      </c>
      <c r="K139" s="9">
        <f t="shared" si="60"/>
        <v>0</v>
      </c>
      <c r="L139" s="9">
        <f t="shared" ref="L139" si="63">L78</f>
        <v>-3000</v>
      </c>
    </row>
    <row r="140" spans="1:12" x14ac:dyDescent="0.35">
      <c r="A140" s="2" t="s">
        <v>31</v>
      </c>
      <c r="E140" s="5">
        <f>E135-SUM(E136:E139)</f>
        <v>-65300</v>
      </c>
      <c r="F140" s="5">
        <f t="shared" ref="F140:K140" si="64">F135-SUM(F136:F139)</f>
        <v>-59000</v>
      </c>
      <c r="G140" s="5">
        <f t="shared" si="64"/>
        <v>44500.000000000015</v>
      </c>
      <c r="H140" s="5">
        <f t="shared" si="64"/>
        <v>48000.000000000015</v>
      </c>
      <c r="I140" s="5">
        <f t="shared" si="64"/>
        <v>49400.000000000015</v>
      </c>
      <c r="J140" s="5">
        <f t="shared" si="64"/>
        <v>50800.000000000015</v>
      </c>
      <c r="K140" s="5">
        <f t="shared" si="64"/>
        <v>51500.000000000015</v>
      </c>
      <c r="L140" s="5">
        <f t="shared" ref="L140" si="65">L135-SUM(L136:L139)</f>
        <v>3000</v>
      </c>
    </row>
    <row r="141" spans="1:12" x14ac:dyDescent="0.35">
      <c r="A141" s="6" t="s">
        <v>32</v>
      </c>
      <c r="E141" s="5">
        <f t="shared" ref="E141:L141" si="66">E140*$B$3</f>
        <v>-26120</v>
      </c>
      <c r="F141" s="5">
        <f t="shared" si="66"/>
        <v>-23600</v>
      </c>
      <c r="G141" s="5">
        <f t="shared" si="66"/>
        <v>17800.000000000007</v>
      </c>
      <c r="H141" s="5">
        <f t="shared" si="66"/>
        <v>19200.000000000007</v>
      </c>
      <c r="I141" s="5">
        <f t="shared" si="66"/>
        <v>19760.000000000007</v>
      </c>
      <c r="J141" s="5">
        <f t="shared" si="66"/>
        <v>20320.000000000007</v>
      </c>
      <c r="K141" s="5">
        <f t="shared" si="66"/>
        <v>20600.000000000007</v>
      </c>
      <c r="L141" s="5">
        <f t="shared" si="66"/>
        <v>1200</v>
      </c>
    </row>
    <row r="142" spans="1:12" x14ac:dyDescent="0.35">
      <c r="A142" s="2"/>
      <c r="E142" s="5"/>
    </row>
    <row r="144" spans="1:12" ht="21" x14ac:dyDescent="0.5">
      <c r="A144" s="26" t="s">
        <v>69</v>
      </c>
      <c r="D144" s="11">
        <v>0</v>
      </c>
      <c r="E144" s="11">
        <v>1</v>
      </c>
      <c r="F144" s="11">
        <v>2</v>
      </c>
      <c r="G144" s="11">
        <v>3</v>
      </c>
      <c r="H144" s="11">
        <v>4</v>
      </c>
      <c r="I144" s="11">
        <v>5</v>
      </c>
      <c r="J144" s="11">
        <v>6</v>
      </c>
      <c r="K144" s="11">
        <v>7</v>
      </c>
      <c r="L144" s="11">
        <v>8</v>
      </c>
    </row>
    <row r="145" spans="1:12" x14ac:dyDescent="0.35">
      <c r="A145" t="s">
        <v>70</v>
      </c>
      <c r="E145" s="15">
        <f>$B$24*E72+(1-2)*D72</f>
        <v>0</v>
      </c>
      <c r="F145" s="15">
        <f t="shared" ref="F145:K145" si="67">$B$24*F72+(1-$B$24)*E72</f>
        <v>0</v>
      </c>
      <c r="G145" s="15">
        <f t="shared" si="67"/>
        <v>180000</v>
      </c>
      <c r="H145" s="15">
        <f t="shared" si="67"/>
        <v>200000</v>
      </c>
      <c r="I145" s="15">
        <f t="shared" si="67"/>
        <v>200000</v>
      </c>
      <c r="J145" s="15">
        <f t="shared" si="67"/>
        <v>200000</v>
      </c>
      <c r="K145" s="15">
        <f t="shared" si="67"/>
        <v>200000</v>
      </c>
      <c r="L145" s="15">
        <f>K88+L72</f>
        <v>28999.999999999996</v>
      </c>
    </row>
    <row r="146" spans="1:12" x14ac:dyDescent="0.35">
      <c r="A146" t="s">
        <v>71</v>
      </c>
      <c r="E146" s="15">
        <f t="shared" ref="E146:K146" si="68">-($B$30*E64+(1-$B$30)*D64)</f>
        <v>0</v>
      </c>
      <c r="F146" s="15">
        <f t="shared" si="68"/>
        <v>0</v>
      </c>
      <c r="G146" s="15">
        <f t="shared" si="68"/>
        <v>-94049.999999999985</v>
      </c>
      <c r="H146" s="15">
        <f t="shared" si="68"/>
        <v>-90449.999999999985</v>
      </c>
      <c r="I146" s="15">
        <f t="shared" si="68"/>
        <v>-89999.999999999985</v>
      </c>
      <c r="J146" s="15">
        <f t="shared" si="68"/>
        <v>-89999.999999999985</v>
      </c>
      <c r="K146" s="15">
        <f t="shared" si="68"/>
        <v>-89999.999999999985</v>
      </c>
      <c r="L146" s="15">
        <f>-K98</f>
        <v>-4500.0000000000036</v>
      </c>
    </row>
    <row r="147" spans="1:12" x14ac:dyDescent="0.35">
      <c r="A147" t="s">
        <v>74</v>
      </c>
      <c r="E147" s="15">
        <f t="shared" ref="E147:K147" si="69">-E76</f>
        <v>-20000</v>
      </c>
      <c r="F147" s="15">
        <f t="shared" si="69"/>
        <v>-20000</v>
      </c>
      <c r="G147" s="15">
        <f t="shared" si="69"/>
        <v>0</v>
      </c>
      <c r="H147" s="15">
        <f t="shared" si="69"/>
        <v>0</v>
      </c>
      <c r="I147" s="15">
        <f t="shared" si="69"/>
        <v>0</v>
      </c>
      <c r="J147" s="15">
        <f t="shared" si="69"/>
        <v>0</v>
      </c>
      <c r="K147" s="15">
        <f t="shared" si="69"/>
        <v>0</v>
      </c>
      <c r="L147" s="15">
        <f>0</f>
        <v>0</v>
      </c>
    </row>
    <row r="148" spans="1:12" x14ac:dyDescent="0.35">
      <c r="A148" t="s">
        <v>72</v>
      </c>
      <c r="E148" s="15">
        <f t="shared" ref="E148:K148" si="70">-($B$33*E77+(1-$B$33)*D77)</f>
        <v>-17500</v>
      </c>
      <c r="F148" s="15">
        <f t="shared" si="70"/>
        <v>-25000</v>
      </c>
      <c r="G148" s="15">
        <f t="shared" si="70"/>
        <v>-46000</v>
      </c>
      <c r="H148" s="15">
        <f t="shared" si="70"/>
        <v>-55000</v>
      </c>
      <c r="I148" s="15">
        <f t="shared" si="70"/>
        <v>-55000</v>
      </c>
      <c r="J148" s="15">
        <f t="shared" si="70"/>
        <v>-55000</v>
      </c>
      <c r="K148" s="15">
        <f t="shared" si="70"/>
        <v>-55000</v>
      </c>
      <c r="L148" s="15">
        <f>-(K99+L77)</f>
        <v>-16500.000000000004</v>
      </c>
    </row>
    <row r="149" spans="1:12" x14ac:dyDescent="0.35">
      <c r="A149" t="s">
        <v>103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f>-$B$38</f>
        <v>-2000</v>
      </c>
    </row>
    <row r="150" spans="1:12" x14ac:dyDescent="0.35">
      <c r="A150" s="6" t="s">
        <v>73</v>
      </c>
      <c r="D150" s="51"/>
      <c r="E150" s="51">
        <f t="shared" ref="E150:L150" si="71">-E141</f>
        <v>26120</v>
      </c>
      <c r="F150" s="51">
        <f t="shared" si="71"/>
        <v>23600</v>
      </c>
      <c r="G150" s="51">
        <f t="shared" si="71"/>
        <v>-17800.000000000007</v>
      </c>
      <c r="H150" s="51">
        <f t="shared" si="71"/>
        <v>-19200.000000000007</v>
      </c>
      <c r="I150" s="51">
        <f t="shared" si="71"/>
        <v>-19760.000000000007</v>
      </c>
      <c r="J150" s="51">
        <f t="shared" si="71"/>
        <v>-20320.000000000007</v>
      </c>
      <c r="K150" s="51">
        <f t="shared" si="71"/>
        <v>-20600.000000000007</v>
      </c>
      <c r="L150" s="51">
        <f t="shared" si="71"/>
        <v>-1200</v>
      </c>
    </row>
    <row r="151" spans="1:12" x14ac:dyDescent="0.35">
      <c r="A151" t="s">
        <v>105</v>
      </c>
      <c r="D151" s="30">
        <f>SUM(D145:D150)</f>
        <v>0</v>
      </c>
      <c r="E151" s="30">
        <f t="shared" ref="E151:L151" si="72">SUM(E145:E150)</f>
        <v>-11380</v>
      </c>
      <c r="F151" s="30">
        <f t="shared" si="72"/>
        <v>-21400</v>
      </c>
      <c r="G151" s="30">
        <f t="shared" si="72"/>
        <v>22150.000000000007</v>
      </c>
      <c r="H151" s="30">
        <f t="shared" si="72"/>
        <v>35350.000000000007</v>
      </c>
      <c r="I151" s="30">
        <f t="shared" si="72"/>
        <v>35240.000000000007</v>
      </c>
      <c r="J151" s="30">
        <f t="shared" si="72"/>
        <v>34680.000000000007</v>
      </c>
      <c r="K151" s="30">
        <f t="shared" si="72"/>
        <v>34400.000000000007</v>
      </c>
      <c r="L151" s="30">
        <f t="shared" si="72"/>
        <v>4799.9999999999891</v>
      </c>
    </row>
    <row r="152" spans="1:12" x14ac:dyDescent="0.35">
      <c r="D152" s="30"/>
      <c r="E152" s="30"/>
      <c r="F152" s="30"/>
      <c r="G152" s="30"/>
      <c r="H152" s="30"/>
      <c r="I152" s="30"/>
      <c r="J152" s="30"/>
      <c r="K152" s="30"/>
      <c r="L152" s="30"/>
    </row>
    <row r="153" spans="1:12" x14ac:dyDescent="0.35">
      <c r="A153" t="s">
        <v>104</v>
      </c>
      <c r="D153" s="30">
        <f>D121</f>
        <v>-70000</v>
      </c>
      <c r="E153" s="30">
        <v>0</v>
      </c>
      <c r="F153" s="30">
        <v>0</v>
      </c>
      <c r="G153" s="30">
        <v>0</v>
      </c>
      <c r="H153" s="30">
        <v>0</v>
      </c>
      <c r="I153" s="30">
        <v>0</v>
      </c>
      <c r="J153" s="30">
        <v>0</v>
      </c>
      <c r="K153" s="30">
        <v>0</v>
      </c>
      <c r="L153" s="30">
        <v>0</v>
      </c>
    </row>
    <row r="154" spans="1:12" x14ac:dyDescent="0.35">
      <c r="A154" t="s">
        <v>60</v>
      </c>
      <c r="D154" s="51">
        <v>0</v>
      </c>
      <c r="E154" s="51">
        <v>0</v>
      </c>
      <c r="F154" s="51">
        <v>0</v>
      </c>
      <c r="G154" s="51">
        <v>0</v>
      </c>
      <c r="H154" s="51">
        <v>0</v>
      </c>
      <c r="I154" s="51">
        <v>0</v>
      </c>
      <c r="J154" s="51">
        <v>0</v>
      </c>
      <c r="K154" s="51">
        <v>0</v>
      </c>
      <c r="L154" s="51">
        <f>B37</f>
        <v>5000</v>
      </c>
    </row>
    <row r="155" spans="1:12" x14ac:dyDescent="0.35">
      <c r="A155" t="s">
        <v>106</v>
      </c>
      <c r="D155" s="30">
        <f>D153+D154</f>
        <v>-70000</v>
      </c>
      <c r="E155" s="30">
        <f t="shared" ref="E155:L155" si="73">E153+E154</f>
        <v>0</v>
      </c>
      <c r="F155" s="30">
        <f t="shared" si="73"/>
        <v>0</v>
      </c>
      <c r="G155" s="30">
        <f t="shared" si="73"/>
        <v>0</v>
      </c>
      <c r="H155" s="30">
        <f t="shared" si="73"/>
        <v>0</v>
      </c>
      <c r="I155" s="30">
        <f t="shared" si="73"/>
        <v>0</v>
      </c>
      <c r="J155" s="30">
        <f t="shared" si="73"/>
        <v>0</v>
      </c>
      <c r="K155" s="30">
        <f t="shared" si="73"/>
        <v>0</v>
      </c>
      <c r="L155" s="30">
        <f t="shared" si="73"/>
        <v>5000</v>
      </c>
    </row>
    <row r="156" spans="1:12" x14ac:dyDescent="0.35">
      <c r="D156" s="30"/>
      <c r="E156" s="30"/>
      <c r="F156" s="30"/>
      <c r="G156" s="30"/>
      <c r="H156" s="30"/>
      <c r="I156" s="30"/>
      <c r="J156" s="30"/>
      <c r="K156" s="30"/>
      <c r="L156" s="30"/>
    </row>
    <row r="157" spans="1:12" x14ac:dyDescent="0.35">
      <c r="D157" s="30">
        <f>D151+D155</f>
        <v>-70000</v>
      </c>
      <c r="E157" s="30">
        <f t="shared" ref="E157:L157" si="74">E151+E155</f>
        <v>-11380</v>
      </c>
      <c r="F157" s="30">
        <f t="shared" si="74"/>
        <v>-21400</v>
      </c>
      <c r="G157" s="30">
        <f t="shared" si="74"/>
        <v>22150.000000000007</v>
      </c>
      <c r="H157" s="30">
        <f t="shared" si="74"/>
        <v>35350.000000000007</v>
      </c>
      <c r="I157" s="30">
        <f t="shared" si="74"/>
        <v>35240.000000000007</v>
      </c>
      <c r="J157" s="30">
        <f t="shared" si="74"/>
        <v>34680.000000000007</v>
      </c>
      <c r="K157" s="30">
        <f t="shared" si="74"/>
        <v>34400.000000000007</v>
      </c>
      <c r="L157" s="30">
        <f t="shared" si="74"/>
        <v>9799.9999999999891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Wharton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Lambert</dc:creator>
  <cp:lastModifiedBy>Richard Lambert</cp:lastModifiedBy>
  <dcterms:created xsi:type="dcterms:W3CDTF">2016-03-25T12:24:24Z</dcterms:created>
  <dcterms:modified xsi:type="dcterms:W3CDTF">2016-04-26T19:11:49Z</dcterms:modified>
</cp:coreProperties>
</file>