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<sst xmlns="http://schemas.openxmlformats.org/spreadsheetml/2006/main" count="1521" uniqueCount="1061">
  <si>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</si>
  <si>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</si>
  <si>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</si>
  <si>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</si>
  <si>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</si>
  <si>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</si>
  <si>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</si>
  <si>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</si>
  <si>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</si>
  <si>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</si>
  <si>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</si>
  <si>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</si>
  <si>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</si>
  <si>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</si>
  <si>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</si>
  <si>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</si>
  <si>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</si>
  <si>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</si>
  <si>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</si>
  <si>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</si>
  <si>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</si>
  <si>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</si>
  <si>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</si>
  <si>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</si>
  <si>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</si>
  <si>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</si>
  <si>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</si>
  <si>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</si>
  <si>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</si>
  <si>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</si>
  <si>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</si>
  <si>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</si>
  <si>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</si>
  <si>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</si>
  <si>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</si>
  <si>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</si>
  <si>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</si>
  <si>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</si>
  <si>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</si>
  <si>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</si>
  <si>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</si>
  <si>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</si>
  <si>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</si>
  <si>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</si>
  <si>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</si>
  <si>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</si>
  <si>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</si>
  <si>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</si>
  <si>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</si>
  <si>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</si>
  <si>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</si>
  <si>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</si>
  <si>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</si>
  <si>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</si>
  <si>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</si>
  <si>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</si>
  <si>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</si>
  <si>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</si>
  <si>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</si>
  <si>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</si>
  <si>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</si>
  <si>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</si>
  <si>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</si>
  <si>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</si>
  <si>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</si>
  <si>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</si>
  <si>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</si>
  <si>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</si>
  <si>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</si>
  <si>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</si>
  <si>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</si>
  <si>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</si>
  <si>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</si>
  <si>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</si>
  <si>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</si>
  <si>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</si>
  <si>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</si>
  <si>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</si>
  <si>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</si>
  <si>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</si>
  <si>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</si>
  <si>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</si>
  <si>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</si>
  <si>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</si>
  <si>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</si>
  <si>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</si>
  <si>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</si>
  <si>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</si>
  <si>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</si>
  <si>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</si>
  <si>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</si>
  <si>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</si>
  <si>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</si>
  <si>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</si>
  <si>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</si>
  <si>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</si>
  <si>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</si>
  <si>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</si>
  <si>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</si>
  <si>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</si>
  <si>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</si>
  <si>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</si>
  <si>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</si>
  <si>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</si>
  <si>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</si>
  <si>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</si>
  <si>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</si>
  <si>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</si>
  <si>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</si>
  <si>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</si>
  <si>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</si>
  <si>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</si>
  <si>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</si>
  <si>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</si>
  <si>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</si>
  <si>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</si>
  <si>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</si>
  <si>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</si>
  <si>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</si>
  <si>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</si>
  <si>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</si>
  <si>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</si>
  <si>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</si>
  <si>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</si>
  <si>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</si>
  <si>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</si>
  <si>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</si>
  <si>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</si>
  <si>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</si>
  <si>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</si>
  <si>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</si>
  <si>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</si>
  <si>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</si>
  <si>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</si>
  <si>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</si>
  <si>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</si>
  <si>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</si>
  <si>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</si>
  <si>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</si>
  <si>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</si>
  <si>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</si>
  <si>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</si>
  <si>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</si>
  <si>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</si>
  <si>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</si>
  <si>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</si>
  <si>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</si>
  <si>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</si>
  <si>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</si>
  <si>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</si>
  <si>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</si>
  <si>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</si>
  <si>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</si>
  <si>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</si>
  <si>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</si>
  <si>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</si>
  <si>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</si>
  <si>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</si>
  <si>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</si>
  <si>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</si>
  <si>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</si>
  <si>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</si>
  <si>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</si>
  <si>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</si>
  <si>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</si>
  <si>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</si>
  <si>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</si>
  <si>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</si>
  <si>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</si>
  <si>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</si>
  <si>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</si>
  <si>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</si>
  <si>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</si>
  <si>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</si>
  <si>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</si>
  <si>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</si>
  <si>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</si>
  <si>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</si>
  <si>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</si>
  <si>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</si>
  <si>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</si>
  <si>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</si>
  <si>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</si>
  <si>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</si>
  <si>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Media de quem subiu</t>
  </si>
  <si>
    <t>Media de quem desceu</t>
  </si>
  <si>
    <t>Variação</t>
  </si>
  <si>
    <t>Variação de quem subiu</t>
  </si>
  <si>
    <t>Análise por faixa etária</t>
  </si>
  <si>
    <t>Quantidade de empresas</t>
  </si>
  <si>
    <t>Nome da 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</si>
  <si>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</si>
  <si>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</si>
  <si>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</si>
  <si>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</si>
  <si>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</si>
  <si>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</si>
  <si>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</si>
  <si>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</si>
  <si>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</si>
  <si>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</si>
  <si>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</si>
  <si>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</si>
  <si>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</si>
  <si>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</si>
  <si>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</si>
  <si>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</si>
  <si>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</si>
  <si>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</si>
  <si>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</si>
  <si>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</si>
  <si>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</si>
  <si>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</si>
  <si>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</si>
  <si>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</si>
  <si>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</si>
  <si>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</si>
  <si>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</si>
  <si>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</si>
  <si>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</si>
  <si>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</si>
  <si>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</si>
  <si>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</si>
  <si>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</si>
  <si>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</si>
  <si>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</si>
  <si>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</si>
  <si>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</si>
  <si>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</si>
  <si>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</si>
  <si>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</si>
  <si>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</si>
  <si>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</si>
  <si>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</si>
  <si>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</si>
  <si>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</si>
  <si>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Diversificado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</si>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</sst>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R$-416]\ * #,##0.00_-;\-[$R$-416]\ * #,##0.00_-;_-[$R$-416]\ * &quot;-&quot;??_-;_-@"/>
    <numFmt numFmtId="165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sz val="11.0"/>
      <color theme="1"/>
      <name val="&quot;aptos narrow&quot;"/>
    </font>
    <font>
      <sz val="10.0"/>
      <color rgb="FF000000"/>
      <name val="Arial"/>
    </font>
    <font>
      <b/>
      <color theme="1"/>
      <name val="Arial"/>
    </font>
    <font>
      <sz val="8.0"/>
      <color rgb="FFECECEC"/>
      <name val="Quattrocento Sans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212121"/>
        <bgColor rgb="FF212121"/>
      </patternFill>
    </fill>
  </fills>
  <borders count="6">
    <border/>
    <border>
      <left/>
      <right/>
      <top/>
      <bottom/>
    </border>
    <border>
      <left style="medium">
        <color rgb="FFE3E3E3"/>
      </left>
      <right/>
      <top style="medium">
        <color rgb="FFE3E3E3"/>
      </top>
      <bottom style="medium">
        <color rgb="FFE3E3E3"/>
      </bottom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</border>
    <border>
      <left style="medium">
        <color rgb="FFE3E3E3"/>
      </left>
      <right/>
      <top/>
      <bottom style="medium">
        <color rgb="FFE3E3E3"/>
      </bottom>
    </border>
    <border>
      <left style="medium">
        <color rgb="FFE3E3E3"/>
      </left>
      <right style="medium">
        <color rgb="FFE3E3E3"/>
      </right>
      <top/>
      <bottom style="medium">
        <color rgb="FFE3E3E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1" fillId="3" fontId="2" numFmtId="0" xfId="0" applyBorder="1" applyFill="1" applyFont="1"/>
    <xf borderId="1" fillId="3" fontId="2" numFmtId="14" xfId="0" applyAlignment="1" applyBorder="1" applyFont="1" applyNumberFormat="1">
      <alignment horizontal="right"/>
    </xf>
    <xf borderId="1" fillId="3" fontId="2" numFmtId="0" xfId="0" applyAlignment="1" applyBorder="1" applyFont="1">
      <alignment horizontal="right"/>
    </xf>
    <xf borderId="0" fillId="0" fontId="3" numFmtId="0" xfId="0" applyFont="1"/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4" numFmtId="0" xfId="0" applyFont="1"/>
    <xf borderId="1" fillId="4" fontId="2" numFmtId="0" xfId="0" applyBorder="1" applyFill="1" applyFont="1"/>
    <xf borderId="1" fillId="4" fontId="2" numFmtId="14" xfId="0" applyAlignment="1" applyBorder="1" applyFont="1" applyNumberFormat="1">
      <alignment horizontal="right"/>
    </xf>
    <xf borderId="1" fillId="4" fontId="2" numFmtId="0" xfId="0" applyAlignment="1" applyBorder="1" applyFont="1">
      <alignment horizontal="right"/>
    </xf>
    <xf borderId="1" fillId="4" fontId="5" numFmtId="0" xfId="0" applyBorder="1" applyFont="1"/>
    <xf borderId="0" fillId="0" fontId="6" numFmtId="164" xfId="0" applyFont="1" applyNumberFormat="1"/>
    <xf borderId="1" fillId="3" fontId="5" numFmtId="0" xfId="0" applyBorder="1" applyFont="1"/>
    <xf borderId="0" fillId="0" fontId="7" numFmtId="0" xfId="0" applyFont="1"/>
    <xf borderId="0" fillId="0" fontId="4" numFmtId="164" xfId="0" applyFont="1" applyNumberFormat="1"/>
    <xf borderId="0" fillId="0" fontId="4" numFmtId="165" xfId="0" applyFont="1" applyNumberFormat="1"/>
    <xf borderId="0" fillId="5" fontId="3" numFmtId="0" xfId="0" applyFill="1" applyFont="1"/>
    <xf borderId="2" fillId="6" fontId="8" numFmtId="0" xfId="0" applyAlignment="1" applyBorder="1" applyFill="1" applyFont="1">
      <alignment horizontal="center" shrinkToFit="0" wrapText="1"/>
    </xf>
    <xf borderId="3" fillId="6" fontId="8" numFmtId="0" xfId="0" applyAlignment="1" applyBorder="1" applyFont="1">
      <alignment horizontal="center" shrinkToFit="0" wrapText="1"/>
    </xf>
    <xf borderId="4" fillId="6" fontId="8" numFmtId="0" xfId="0" applyAlignment="1" applyBorder="1" applyFont="1">
      <alignment shrinkToFit="0" vertical="center" wrapText="1"/>
    </xf>
    <xf borderId="5" fillId="6" fontId="8" numFmtId="0" xfId="0" applyAlignment="1" applyBorder="1" applyFont="1">
      <alignment shrinkToFit="0" vertical="center" wrapText="1"/>
    </xf>
    <xf borderId="0" fillId="0" fontId="9" numFmtId="0" xfId="0" applyFont="1"/>
    <xf borderId="0" fillId="0" fontId="2" numFmtId="0" xfId="0" applyFont="1"/>
    <xf borderId="0" fillId="0" fontId="2" numFmtId="3" xfId="0" applyAlignment="1" applyFont="1" applyNumberFormat="1">
      <alignment horizontal="right"/>
    </xf>
    <xf borderId="0" fillId="0" fontId="2" numFmtId="4" xfId="0" applyAlignment="1" applyFont="1" applyNumberFormat="1">
      <alignment horizontal="right"/>
    </xf>
    <xf borderId="0" fillId="0" fontId="5" numFmtId="0" xfId="0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'análises'!$A$10:$A$39</c:f>
            </c:strRef>
          </c:cat>
          <c:val>
            <c:numRef>
              <c:f>'análises'!$C$10:$C$39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864671215"/>
        <c:axId val="1840902444"/>
      </c:barChart>
      <c:catAx>
        <c:axId val="18646712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0902444"/>
      </c:catAx>
      <c:valAx>
        <c:axId val="18409024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467121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'análises'!$B$58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8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628650</xdr:colOff>
      <xdr:row>35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62</xdr:row>
      <xdr:rowOff>180975</xdr:rowOff>
    </xdr:from>
    <xdr:ext cx="2933700" cy="1819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542925</xdr:colOff>
      <xdr:row>62</xdr:row>
      <xdr:rowOff>180975</xdr:rowOff>
    </xdr:from>
    <xdr:ext cx="3209925" cy="1971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75"/>
    <col customWidth="1" min="3" max="3" width="11.38"/>
    <col customWidth="1" min="4" max="4" width="11.0"/>
    <col customWidth="1" hidden="1" min="5" max="5" width="12.38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4" max="14" width="23.13"/>
    <col customWidth="1" min="15" max="15" width="19.63"/>
    <col customWidth="1" min="18" max="18" width="16.5"/>
    <col customWidth="1" min="20" max="20" width="14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3" t="s">
        <v>20</v>
      </c>
      <c r="B2" s="4">
        <v>45317.0</v>
      </c>
      <c r="C2" s="5">
        <v>9.5</v>
      </c>
      <c r="D2" s="5">
        <v>5.2</v>
      </c>
      <c r="E2" s="5">
        <v>11.76</v>
      </c>
      <c r="F2" s="5">
        <v>2.26</v>
      </c>
      <c r="G2" s="5">
        <v>2.26</v>
      </c>
      <c r="H2" s="5">
        <v>15.97</v>
      </c>
      <c r="I2" s="5">
        <v>9.18</v>
      </c>
      <c r="J2" s="5">
        <v>9.56</v>
      </c>
      <c r="K2" s="3" t="s">
        <v>21</v>
      </c>
      <c r="L2" s="6">
        <f t="shared" ref="L2:L82" si="1">D2/100</f>
        <v>0.052</v>
      </c>
      <c r="M2" s="7">
        <f t="shared" ref="M2:M82" si="2">C2/(L2+1)</f>
        <v>9.030418251</v>
      </c>
      <c r="N2" s="8">
        <f>VLOOKUP(A2,Total_de_acoes!A:B,2,0)</f>
        <v>515117391</v>
      </c>
      <c r="O2" s="9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60</v>
      </c>
      <c r="T2" s="10" t="str">
        <f t="shared" ref="T2:T82" si="5">IF(S2&gt;100,"Mais de 100 anos",IF(S2&lt;50,"Menos de 50","entre 50 e 100"))</f>
        <v>entre 50 e 100</v>
      </c>
    </row>
    <row r="3" ht="15.75" customHeight="1">
      <c r="A3" s="11" t="s">
        <v>22</v>
      </c>
      <c r="B3" s="12">
        <v>45317.0</v>
      </c>
      <c r="C3" s="13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1" t="s">
        <v>23</v>
      </c>
      <c r="L3" s="6">
        <f t="shared" si="1"/>
        <v>0.024</v>
      </c>
      <c r="M3" s="7">
        <f t="shared" si="2"/>
        <v>6.66015625</v>
      </c>
      <c r="N3" s="8">
        <f>VLOOKUP(A3,Total_de_acoes!A:B,2,0)</f>
        <v>1110559345</v>
      </c>
      <c r="O3" s="9">
        <f t="shared" si="3"/>
        <v>177515970.3</v>
      </c>
      <c r="P3" s="10" t="str">
        <f t="shared" si="4"/>
        <v>Subiu</v>
      </c>
      <c r="Q3" s="10" t="str">
        <f>VLOOKUP(A3,Ticker!A:B,2,0)</f>
        <v>CSN Mineração</v>
      </c>
      <c r="R3" s="10" t="str">
        <f>VLOOKUP(Q3,chatgpt!A:C,2,0)</f>
        <v>Mineração</v>
      </c>
      <c r="S3" s="10">
        <f>VLOOKUP(Q3,chatgpt!A:C,3,0)</f>
        <v>11</v>
      </c>
      <c r="T3" s="10" t="str">
        <f t="shared" si="5"/>
        <v>Menos de 50</v>
      </c>
    </row>
    <row r="4" ht="15.75" customHeight="1">
      <c r="A4" s="3" t="s">
        <v>24</v>
      </c>
      <c r="B4" s="4">
        <v>45317.0</v>
      </c>
      <c r="C4" s="5">
        <v>41.96</v>
      </c>
      <c r="D4" s="5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3" t="s">
        <v>25</v>
      </c>
      <c r="L4" s="6">
        <f t="shared" si="1"/>
        <v>0.0219</v>
      </c>
      <c r="M4" s="7">
        <f t="shared" si="2"/>
        <v>41.06076916</v>
      </c>
      <c r="N4" s="8">
        <f>VLOOKUP(A4,Total_de_acoes!A:B,2,0)</f>
        <v>2379877655</v>
      </c>
      <c r="O4" s="9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Petróleo e Gás</v>
      </c>
      <c r="S4" s="10">
        <f>VLOOKUP(Q4,chatgpt!A:C,3,0)</f>
        <v>69</v>
      </c>
      <c r="T4" s="10" t="str">
        <f t="shared" si="5"/>
        <v>entre 50 e 100</v>
      </c>
    </row>
    <row r="5" ht="15.75" customHeight="1">
      <c r="A5" s="11" t="s">
        <v>26</v>
      </c>
      <c r="B5" s="12">
        <v>45317.0</v>
      </c>
      <c r="C5" s="13">
        <v>52.91</v>
      </c>
      <c r="D5" s="13">
        <v>2.04</v>
      </c>
      <c r="E5" s="13">
        <v>2.14</v>
      </c>
      <c r="F5" s="13">
        <v>-4.89</v>
      </c>
      <c r="G5" s="13">
        <v>-4.89</v>
      </c>
      <c r="H5" s="13">
        <v>18.85</v>
      </c>
      <c r="I5" s="13">
        <v>51.89</v>
      </c>
      <c r="J5" s="13">
        <v>53.17</v>
      </c>
      <c r="K5" s="11" t="s">
        <v>27</v>
      </c>
      <c r="L5" s="6">
        <f t="shared" si="1"/>
        <v>0.0204</v>
      </c>
      <c r="M5" s="7">
        <f t="shared" si="2"/>
        <v>51.85221482</v>
      </c>
      <c r="N5" s="8">
        <f>VLOOKUP(A5,Total_de_acoes!A:B,2,0)</f>
        <v>683452836</v>
      </c>
      <c r="O5" s="9">
        <f t="shared" si="3"/>
        <v>722946282.7</v>
      </c>
      <c r="P5" s="10" t="str">
        <f t="shared" si="4"/>
        <v>Subiu</v>
      </c>
      <c r="Q5" s="10" t="str">
        <f>VLOOKUP(A5,Ticker!A:B,2,0)</f>
        <v>Suzano</v>
      </c>
      <c r="R5" s="10" t="str">
        <f>VLOOKUP(Q5,chatgpt!A:C,2,0)</f>
        <v>Papel e Celulose</v>
      </c>
      <c r="S5" s="10">
        <f>VLOOKUP(Q5,chatgpt!A:C,3,0)</f>
        <v>97</v>
      </c>
      <c r="T5" s="10" t="str">
        <f t="shared" si="5"/>
        <v>entre 50 e 100</v>
      </c>
    </row>
    <row r="6" ht="15.75" customHeight="1">
      <c r="A6" s="3" t="s">
        <v>28</v>
      </c>
      <c r="B6" s="4">
        <v>45317.0</v>
      </c>
      <c r="C6" s="5">
        <v>37.1</v>
      </c>
      <c r="D6" s="5">
        <v>2.03</v>
      </c>
      <c r="E6" s="5">
        <v>2.49</v>
      </c>
      <c r="F6" s="5">
        <v>-3.66</v>
      </c>
      <c r="G6" s="5">
        <v>-3.66</v>
      </c>
      <c r="H6" s="5">
        <v>20.7</v>
      </c>
      <c r="I6" s="5">
        <v>36.37</v>
      </c>
      <c r="J6" s="5">
        <v>37.32</v>
      </c>
      <c r="K6" s="3" t="s">
        <v>29</v>
      </c>
      <c r="L6" s="6">
        <f t="shared" si="1"/>
        <v>0.0203</v>
      </c>
      <c r="M6" s="7">
        <f t="shared" si="2"/>
        <v>36.36185436</v>
      </c>
      <c r="N6" s="8">
        <f>VLOOKUP(A6,Total_de_acoes!A:B,2,0)</f>
        <v>187732538</v>
      </c>
      <c r="O6" s="9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109</v>
      </c>
      <c r="T6" s="10" t="str">
        <f t="shared" si="5"/>
        <v>Mais de 100 anos</v>
      </c>
    </row>
    <row r="7" ht="15.75" customHeight="1">
      <c r="A7" s="11" t="s">
        <v>30</v>
      </c>
      <c r="B7" s="12">
        <v>45317.0</v>
      </c>
      <c r="C7" s="13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1" t="s">
        <v>31</v>
      </c>
      <c r="L7" s="6">
        <f t="shared" si="1"/>
        <v>0.0198</v>
      </c>
      <c r="M7" s="7">
        <f t="shared" si="2"/>
        <v>44.80290253</v>
      </c>
      <c r="N7" s="8">
        <f>VLOOKUP(A7,Total_de_acoes!A:B,2,0)</f>
        <v>800010734</v>
      </c>
      <c r="O7" s="9">
        <f t="shared" si="3"/>
        <v>709687498.2</v>
      </c>
      <c r="P7" s="10" t="str">
        <f t="shared" si="4"/>
        <v>Subiu</v>
      </c>
      <c r="Q7" s="10" t="str">
        <f>VLOOKUP(A7,Ticker!A:B,2,0)</f>
        <v>PetroRio</v>
      </c>
      <c r="R7" s="10" t="str">
        <f>VLOOKUP(Q7,chatgpt!A:C,2,0)</f>
        <v>Petróleo e Gás</v>
      </c>
      <c r="S7" s="10">
        <f>VLOOKUP(Q7,chatgpt!A:C,3,0)</f>
        <v>11</v>
      </c>
      <c r="T7" s="10" t="str">
        <f t="shared" si="5"/>
        <v>Menos de 50</v>
      </c>
    </row>
    <row r="8" ht="15.75" customHeight="1">
      <c r="A8" s="3" t="s">
        <v>32</v>
      </c>
      <c r="B8" s="4">
        <v>45317.0</v>
      </c>
      <c r="C8" s="5">
        <v>39.96</v>
      </c>
      <c r="D8" s="5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38.91</v>
      </c>
      <c r="J8" s="5">
        <v>40.09</v>
      </c>
      <c r="K8" s="3" t="s">
        <v>33</v>
      </c>
      <c r="L8" s="6">
        <f t="shared" si="1"/>
        <v>0.0173</v>
      </c>
      <c r="M8" s="7">
        <f t="shared" si="2"/>
        <v>39.28044825</v>
      </c>
      <c r="N8" s="8">
        <f>VLOOKUP(A8,Total_de_acoes!A:B,2,0)</f>
        <v>4566445852</v>
      </c>
      <c r="O8" s="9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Petróleo e Gás</v>
      </c>
      <c r="S8" s="10">
        <f>VLOOKUP(Q8,chatgpt!A:C,3,0)</f>
        <v>69</v>
      </c>
      <c r="T8" s="10" t="str">
        <f t="shared" si="5"/>
        <v>entre 50 e 100</v>
      </c>
    </row>
    <row r="9" ht="15.75" customHeight="1">
      <c r="A9" s="11" t="s">
        <v>34</v>
      </c>
      <c r="B9" s="12">
        <v>45317.0</v>
      </c>
      <c r="C9" s="13">
        <v>69.5</v>
      </c>
      <c r="D9" s="13">
        <v>1.66</v>
      </c>
      <c r="E9" s="13">
        <v>2.06</v>
      </c>
      <c r="F9" s="13">
        <v>-9.97</v>
      </c>
      <c r="G9" s="13">
        <v>-9.97</v>
      </c>
      <c r="H9" s="13">
        <v>-23.49</v>
      </c>
      <c r="I9" s="13">
        <v>67.5</v>
      </c>
      <c r="J9" s="13">
        <v>69.81</v>
      </c>
      <c r="K9" s="11" t="s">
        <v>35</v>
      </c>
      <c r="L9" s="6">
        <f t="shared" si="1"/>
        <v>0.0166</v>
      </c>
      <c r="M9" s="7">
        <f t="shared" si="2"/>
        <v>68.3651387</v>
      </c>
      <c r="N9" s="8">
        <f>VLOOKUP(A9,Total_de_acoes!A:B,2,0)</f>
        <v>4196924316</v>
      </c>
      <c r="O9" s="9">
        <f t="shared" si="3"/>
        <v>4762926995</v>
      </c>
      <c r="P9" s="10" t="str">
        <f t="shared" si="4"/>
        <v>Subiu</v>
      </c>
      <c r="Q9" s="10" t="str">
        <f>VLOOKUP(A9,Ticker!A:B,2,0)</f>
        <v>Vale</v>
      </c>
      <c r="R9" s="10" t="str">
        <f>VLOOKUP(Q9,chatgpt!A:C,2,0)</f>
        <v>Mineração</v>
      </c>
      <c r="S9" s="10">
        <f>VLOOKUP(Q9,chatgpt!A:C,3,0)</f>
        <v>79</v>
      </c>
      <c r="T9" s="10" t="str">
        <f t="shared" si="5"/>
        <v>entre 50 e 100</v>
      </c>
    </row>
    <row r="10" ht="15.75" customHeight="1">
      <c r="A10" s="3" t="s">
        <v>36</v>
      </c>
      <c r="B10" s="4">
        <v>45317.0</v>
      </c>
      <c r="C10" s="5">
        <v>28.19</v>
      </c>
      <c r="D10" s="5">
        <v>1.58</v>
      </c>
      <c r="E10" s="5">
        <v>2.03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3" t="s">
        <v>37</v>
      </c>
      <c r="L10" s="6">
        <f t="shared" si="1"/>
        <v>0.0158</v>
      </c>
      <c r="M10" s="7">
        <f t="shared" si="2"/>
        <v>27.75152589</v>
      </c>
      <c r="N10" s="8">
        <f>VLOOKUP(A10,Total_de_acoes!A:B,2,0)</f>
        <v>268505432</v>
      </c>
      <c r="O10" s="9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Imobiliário</v>
      </c>
      <c r="S10" s="10">
        <f>VLOOKUP(Q10,chatgpt!A:C,3,0)</f>
        <v>49</v>
      </c>
      <c r="T10" s="10" t="str">
        <f t="shared" si="5"/>
        <v>Menos de 50</v>
      </c>
    </row>
    <row r="11" ht="15.75" customHeight="1">
      <c r="A11" s="11" t="s">
        <v>38</v>
      </c>
      <c r="B11" s="12">
        <v>45317.0</v>
      </c>
      <c r="C11" s="13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32.91</v>
      </c>
      <c r="K11" s="11" t="s">
        <v>39</v>
      </c>
      <c r="L11" s="6">
        <f t="shared" si="1"/>
        <v>0.0148</v>
      </c>
      <c r="M11" s="7">
        <f t="shared" si="2"/>
        <v>32.33149389</v>
      </c>
      <c r="N11" s="8">
        <f>VLOOKUP(A11,Total_de_acoes!A:B,2,0)</f>
        <v>4801593832</v>
      </c>
      <c r="O11" s="9">
        <f t="shared" si="3"/>
        <v>2297591984</v>
      </c>
      <c r="P11" s="10" t="str">
        <f t="shared" si="4"/>
        <v>Subiu</v>
      </c>
      <c r="Q11" s="10" t="str">
        <f>VLOOKUP(A11,Ticker!A:B,2,0)</f>
        <v>Itaú Unibanco</v>
      </c>
      <c r="R11" s="10" t="str">
        <f>VLOOKUP(Q11,chatgpt!A:C,2,0)</f>
        <v>Financeiro</v>
      </c>
      <c r="S11" s="10">
        <f>VLOOKUP(Q11,chatgpt!A:C,3,0)</f>
        <v>13</v>
      </c>
      <c r="T11" s="10" t="str">
        <f t="shared" si="5"/>
        <v>Menos de 50</v>
      </c>
    </row>
    <row r="12" ht="15.75" customHeight="1">
      <c r="A12" s="3" t="s">
        <v>40</v>
      </c>
      <c r="B12" s="4">
        <v>45317.0</v>
      </c>
      <c r="C12" s="5">
        <v>27.56</v>
      </c>
      <c r="D12" s="5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3" t="s">
        <v>41</v>
      </c>
      <c r="L12" s="6">
        <f t="shared" si="1"/>
        <v>0.0143</v>
      </c>
      <c r="M12" s="7">
        <f t="shared" si="2"/>
        <v>27.17144829</v>
      </c>
      <c r="N12" s="8">
        <f>VLOOKUP(A12,Total_de_acoes!A:B,2,0)</f>
        <v>1168230366</v>
      </c>
      <c r="O12" s="9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50</v>
      </c>
      <c r="T12" s="10" t="str">
        <f t="shared" si="5"/>
        <v>entre 50 e 100</v>
      </c>
    </row>
    <row r="13" ht="15.75" customHeight="1">
      <c r="A13" s="11" t="s">
        <v>42</v>
      </c>
      <c r="B13" s="12">
        <v>45317.0</v>
      </c>
      <c r="C13" s="13">
        <v>18.55</v>
      </c>
      <c r="D13" s="13">
        <v>1.42</v>
      </c>
      <c r="E13" s="13">
        <v>5.1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1" t="s">
        <v>43</v>
      </c>
      <c r="L13" s="6">
        <f t="shared" si="1"/>
        <v>0.0142</v>
      </c>
      <c r="M13" s="7">
        <f t="shared" si="2"/>
        <v>18.29027805</v>
      </c>
      <c r="N13" s="8">
        <f>VLOOKUP(A13,Total_de_acoes!A:B,2,0)</f>
        <v>265877867</v>
      </c>
      <c r="O13" s="9">
        <f t="shared" si="3"/>
        <v>69054317.64</v>
      </c>
      <c r="P13" s="10" t="str">
        <f t="shared" si="4"/>
        <v>Subiu</v>
      </c>
      <c r="Q13" s="10" t="str">
        <f>VLOOKUP(A13,Ticker!A:B,2,0)</f>
        <v>Braskem</v>
      </c>
      <c r="R13" s="10" t="str">
        <f>VLOOKUP(Q13,chatgpt!A:C,2,0)</f>
        <v>Químico</v>
      </c>
      <c r="S13" s="10">
        <f>VLOOKUP(Q13,chatgpt!A:C,3,0)</f>
        <v>21</v>
      </c>
      <c r="T13" s="10" t="str">
        <f t="shared" si="5"/>
        <v>Menos de 50</v>
      </c>
    </row>
    <row r="14" ht="15.75" customHeight="1">
      <c r="A14" s="3" t="s">
        <v>44</v>
      </c>
      <c r="B14" s="4">
        <v>45317.0</v>
      </c>
      <c r="C14" s="5">
        <v>14.27</v>
      </c>
      <c r="D14" s="5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3" t="s">
        <v>45</v>
      </c>
      <c r="L14" s="6">
        <f t="shared" si="1"/>
        <v>0.0142</v>
      </c>
      <c r="M14" s="7">
        <f t="shared" si="2"/>
        <v>14.07020312</v>
      </c>
      <c r="N14" s="8">
        <f>VLOOKUP(A14,Total_de_acoes!A:B,2,0)</f>
        <v>327593725</v>
      </c>
      <c r="O14" s="9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Aéreo</v>
      </c>
      <c r="S14" s="10">
        <f>VLOOKUP(Q14,chatgpt!A:C,3,0)</f>
        <v>14</v>
      </c>
      <c r="T14" s="10" t="str">
        <f t="shared" si="5"/>
        <v>Menos de 50</v>
      </c>
    </row>
    <row r="15" ht="15.75" customHeight="1">
      <c r="A15" s="11" t="s">
        <v>46</v>
      </c>
      <c r="B15" s="12">
        <v>45317.0</v>
      </c>
      <c r="C15" s="13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</v>
      </c>
      <c r="I15" s="13">
        <v>28.0</v>
      </c>
      <c r="J15" s="13">
        <v>28.75</v>
      </c>
      <c r="K15" s="11" t="s">
        <v>47</v>
      </c>
      <c r="L15" s="6">
        <f t="shared" si="1"/>
        <v>0.0141</v>
      </c>
      <c r="M15" s="7">
        <f t="shared" si="2"/>
        <v>28.35026132</v>
      </c>
      <c r="N15" s="8">
        <f>VLOOKUP(A15,Total_de_acoes!A:B,2,0)</f>
        <v>235665566</v>
      </c>
      <c r="O15" s="9">
        <f t="shared" si="3"/>
        <v>94204643.35</v>
      </c>
      <c r="P15" s="10" t="str">
        <f t="shared" si="4"/>
        <v>Subiu</v>
      </c>
      <c r="Q15" s="10" t="str">
        <f>VLOOKUP(A15,Ticker!A:B,2,0)</f>
        <v>3R Petroleum</v>
      </c>
      <c r="R15" s="10" t="str">
        <f>VLOOKUP(Q15,chatgpt!A:C,2,0)</f>
        <v>Petróleo e Gás</v>
      </c>
      <c r="S15" s="10">
        <f>VLOOKUP(Q15,chatgpt!A:C,3,0)</f>
        <v>9</v>
      </c>
      <c r="T15" s="10" t="str">
        <f t="shared" si="5"/>
        <v>Menos de 50</v>
      </c>
    </row>
    <row r="16" ht="15.75" customHeight="1">
      <c r="A16" s="3" t="s">
        <v>48</v>
      </c>
      <c r="B16" s="4">
        <v>45317.0</v>
      </c>
      <c r="C16" s="5">
        <v>35.32</v>
      </c>
      <c r="D16" s="5">
        <v>1.34</v>
      </c>
      <c r="E16" s="5">
        <v>2.76</v>
      </c>
      <c r="F16" s="5">
        <v>-1.12</v>
      </c>
      <c r="G16" s="5">
        <v>-1.12</v>
      </c>
      <c r="H16" s="5">
        <v>28.01</v>
      </c>
      <c r="I16" s="5">
        <v>34.85</v>
      </c>
      <c r="J16" s="5">
        <v>35.76</v>
      </c>
      <c r="K16" s="3" t="s">
        <v>49</v>
      </c>
      <c r="L16" s="6">
        <f t="shared" si="1"/>
        <v>0.0134</v>
      </c>
      <c r="M16" s="7">
        <f t="shared" si="2"/>
        <v>34.8529702</v>
      </c>
      <c r="N16" s="8">
        <f>VLOOKUP(A16,Total_de_acoes!A:B,2,0)</f>
        <v>1095587251</v>
      </c>
      <c r="O16" s="9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24</v>
      </c>
      <c r="T16" s="10" t="str">
        <f t="shared" si="5"/>
        <v>Menos de 50</v>
      </c>
    </row>
    <row r="17" ht="15.75" customHeight="1">
      <c r="A17" s="11" t="s">
        <v>50</v>
      </c>
      <c r="B17" s="12">
        <v>45317.0</v>
      </c>
      <c r="C17" s="13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18.0</v>
      </c>
      <c r="J17" s="13">
        <v>18.49</v>
      </c>
      <c r="K17" s="11" t="s">
        <v>51</v>
      </c>
      <c r="L17" s="6">
        <f t="shared" si="1"/>
        <v>0.0133</v>
      </c>
      <c r="M17" s="7">
        <f t="shared" si="2"/>
        <v>17.92164216</v>
      </c>
      <c r="N17" s="8">
        <f>VLOOKUP(A17,Total_de_acoes!A:B,2,0)</f>
        <v>600865451</v>
      </c>
      <c r="O17" s="9">
        <f t="shared" si="3"/>
        <v>143220991.5</v>
      </c>
      <c r="P17" s="10" t="str">
        <f t="shared" si="4"/>
        <v>Subiu</v>
      </c>
      <c r="Q17" s="10" t="str">
        <f>VLOOKUP(A17,Ticker!A:B,2,0)</f>
        <v>Siderúrgica Nacional</v>
      </c>
      <c r="R17" s="10" t="str">
        <f>VLOOKUP(Q17,chatgpt!A:C,2,0)</f>
        <v>Siderurgia</v>
      </c>
      <c r="S17" s="10">
        <f>VLOOKUP(Q17,chatgpt!A:C,3,0)</f>
        <v>79</v>
      </c>
      <c r="T17" s="10" t="str">
        <f t="shared" si="5"/>
        <v>entre 50 e 100</v>
      </c>
    </row>
    <row r="18" ht="15.75" customHeight="1">
      <c r="A18" s="3" t="s">
        <v>52</v>
      </c>
      <c r="B18" s="4">
        <v>45317.0</v>
      </c>
      <c r="C18" s="5">
        <v>19.77</v>
      </c>
      <c r="D18" s="5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18.99</v>
      </c>
      <c r="J18" s="5">
        <v>19.78</v>
      </c>
      <c r="K18" s="3" t="s">
        <v>53</v>
      </c>
      <c r="L18" s="6">
        <f t="shared" si="1"/>
        <v>0.0128</v>
      </c>
      <c r="M18" s="7">
        <f t="shared" si="2"/>
        <v>19.52014218</v>
      </c>
      <c r="N18" s="8">
        <f>VLOOKUP(A18,Total_de_acoes!A:B,2,0)</f>
        <v>289347914</v>
      </c>
      <c r="O18" s="9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52</v>
      </c>
      <c r="T18" s="10" t="str">
        <f t="shared" si="5"/>
        <v>entre 50 e 100</v>
      </c>
    </row>
    <row r="19" ht="15.75" customHeight="1">
      <c r="A19" s="11" t="s">
        <v>54</v>
      </c>
      <c r="B19" s="12">
        <v>45317.0</v>
      </c>
      <c r="C19" s="13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1" t="s">
        <v>55</v>
      </c>
      <c r="L19" s="6">
        <f t="shared" si="1"/>
        <v>0.0128</v>
      </c>
      <c r="M19" s="7">
        <f t="shared" si="2"/>
        <v>27.95221169</v>
      </c>
      <c r="N19" s="8">
        <f>VLOOKUP(A19,Total_de_acoes!A:B,2,0)</f>
        <v>1086411192</v>
      </c>
      <c r="O19" s="9">
        <f t="shared" si="3"/>
        <v>388705224</v>
      </c>
      <c r="P19" s="10" t="str">
        <f t="shared" si="4"/>
        <v>Subiu</v>
      </c>
      <c r="Q19" s="10" t="str">
        <f>VLOOKUP(A19,Ticker!A:B,2,0)</f>
        <v>Ultrapar</v>
      </c>
      <c r="R19" s="10" t="str">
        <f>VLOOKUP(Q19,chatgpt!A:C,2,0)</f>
        <v>Químico</v>
      </c>
      <c r="S19" s="10">
        <f>VLOOKUP(Q19,chatgpt!A:C,3,0)</f>
        <v>84</v>
      </c>
      <c r="T19" s="10" t="str">
        <f t="shared" si="5"/>
        <v>entre 50 e 100</v>
      </c>
    </row>
    <row r="20" ht="15.75" customHeight="1">
      <c r="A20" s="3" t="s">
        <v>56</v>
      </c>
      <c r="B20" s="4">
        <v>45317.0</v>
      </c>
      <c r="C20" s="5">
        <v>8.08</v>
      </c>
      <c r="D20" s="5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3" t="s">
        <v>57</v>
      </c>
      <c r="L20" s="6">
        <f t="shared" si="1"/>
        <v>0.0125</v>
      </c>
      <c r="M20" s="7">
        <f t="shared" si="2"/>
        <v>7.980246914</v>
      </c>
      <c r="N20" s="8">
        <f>VLOOKUP(A20,Total_de_acoes!A:B,2,0)</f>
        <v>376187582</v>
      </c>
      <c r="O20" s="9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 Civil</v>
      </c>
      <c r="S20" s="10">
        <f>VLOOKUP(Q20,chatgpt!A:C,3,0)</f>
        <v>41</v>
      </c>
      <c r="T20" s="10" t="str">
        <f t="shared" si="5"/>
        <v>Menos de 50</v>
      </c>
    </row>
    <row r="21" ht="15.75" customHeight="1">
      <c r="A21" s="11" t="s">
        <v>58</v>
      </c>
      <c r="B21" s="12">
        <v>45317.0</v>
      </c>
      <c r="C21" s="13">
        <v>57.91</v>
      </c>
      <c r="D21" s="13">
        <v>1.15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1" t="s">
        <v>59</v>
      </c>
      <c r="L21" s="6">
        <f t="shared" si="1"/>
        <v>0.0115</v>
      </c>
      <c r="M21" s="7">
        <f t="shared" si="2"/>
        <v>57.25160652</v>
      </c>
      <c r="N21" s="8">
        <f>VLOOKUP(A21,Total_de_acoes!A:B,2,0)</f>
        <v>62305891</v>
      </c>
      <c r="O21" s="9">
        <f t="shared" si="3"/>
        <v>41021792.09</v>
      </c>
      <c r="P21" s="10" t="str">
        <f t="shared" si="4"/>
        <v>Subiu</v>
      </c>
      <c r="Q21" s="10" t="str">
        <f>VLOOKUP(A21,Ticker!A:B,2,0)</f>
        <v>Arezzo</v>
      </c>
      <c r="R21" s="10" t="str">
        <f>VLOOKUP(Q21,chatgpt!A:C,2,0)</f>
        <v>Varejo</v>
      </c>
      <c r="S21" s="10">
        <f>VLOOKUP(Q21,chatgpt!A:C,3,0)</f>
        <v>50</v>
      </c>
      <c r="T21" s="10" t="str">
        <f t="shared" si="5"/>
        <v>entre 50 e 100</v>
      </c>
    </row>
    <row r="22" ht="15.75" customHeight="1">
      <c r="A22" s="3" t="s">
        <v>60</v>
      </c>
      <c r="B22" s="4">
        <v>45317.0</v>
      </c>
      <c r="C22" s="5">
        <v>15.52</v>
      </c>
      <c r="D22" s="5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3" t="s">
        <v>61</v>
      </c>
      <c r="L22" s="6">
        <f t="shared" si="1"/>
        <v>0.0104</v>
      </c>
      <c r="M22" s="7">
        <f t="shared" si="2"/>
        <v>15.36025337</v>
      </c>
      <c r="N22" s="8">
        <f>VLOOKUP(A22,Total_de_acoes!A:B,2,0)</f>
        <v>5146576868</v>
      </c>
      <c r="O22" s="9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Financeiro</v>
      </c>
      <c r="S22" s="10">
        <f>VLOOKUP(Q22,chatgpt!A:C,3,0)</f>
        <v>79</v>
      </c>
      <c r="T22" s="10" t="str">
        <f t="shared" si="5"/>
        <v>entre 50 e 100</v>
      </c>
    </row>
    <row r="23" ht="15.75" customHeight="1">
      <c r="A23" s="11" t="s">
        <v>62</v>
      </c>
      <c r="B23" s="12">
        <v>45317.0</v>
      </c>
      <c r="C23" s="13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1" t="s">
        <v>63</v>
      </c>
      <c r="L23" s="6">
        <f t="shared" si="1"/>
        <v>0.0098</v>
      </c>
      <c r="M23" s="7">
        <f t="shared" si="2"/>
        <v>7.120221826</v>
      </c>
      <c r="N23" s="8">
        <f>VLOOKUP(A23,Total_de_acoes!A:B,2,0)</f>
        <v>261036182</v>
      </c>
      <c r="O23" s="9">
        <f t="shared" si="3"/>
        <v>18214628.1</v>
      </c>
      <c r="P23" s="10" t="str">
        <f t="shared" si="4"/>
        <v>Subiu</v>
      </c>
      <c r="Q23" s="10" t="str">
        <f>VLOOKUP(A23,Ticker!A:B,2,0)</f>
        <v>Minerva</v>
      </c>
      <c r="R23" s="10" t="str">
        <f>VLOOKUP(Q23,chatgpt!A:C,2,0)</f>
        <v>Alimentos</v>
      </c>
      <c r="S23" s="10">
        <f>VLOOKUP(Q23,chatgpt!A:C,3,0)</f>
        <v>30</v>
      </c>
      <c r="T23" s="10" t="str">
        <f t="shared" si="5"/>
        <v>Menos de 50</v>
      </c>
    </row>
    <row r="24" ht="15.75" customHeight="1">
      <c r="A24" s="3" t="s">
        <v>64</v>
      </c>
      <c r="B24" s="4">
        <v>45317.0</v>
      </c>
      <c r="C24" s="5">
        <v>4.14</v>
      </c>
      <c r="D24" s="5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3" t="s">
        <v>65</v>
      </c>
      <c r="L24" s="6">
        <f t="shared" si="1"/>
        <v>0.0097</v>
      </c>
      <c r="M24" s="7">
        <f t="shared" si="2"/>
        <v>4.10022779</v>
      </c>
      <c r="N24" s="8">
        <f>VLOOKUP(A24,Total_de_acoes!A:B,2,0)</f>
        <v>159430826</v>
      </c>
      <c r="O24" s="9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</v>
      </c>
      <c r="S24" s="10">
        <f>VLOOKUP(Q24,chatgpt!A:C,3,0)</f>
        <v>72</v>
      </c>
      <c r="T24" s="10" t="str">
        <f t="shared" si="5"/>
        <v>entre 50 e 100</v>
      </c>
    </row>
    <row r="25" ht="15.75" customHeight="1">
      <c r="A25" s="11" t="s">
        <v>66</v>
      </c>
      <c r="B25" s="12">
        <v>45317.0</v>
      </c>
      <c r="C25" s="13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1" t="s">
        <v>67</v>
      </c>
      <c r="L25" s="6">
        <f t="shared" si="1"/>
        <v>0.0096</v>
      </c>
      <c r="M25" s="7">
        <f t="shared" si="2"/>
        <v>14.47107765</v>
      </c>
      <c r="N25" s="8">
        <f>VLOOKUP(A25,Total_de_acoes!A:B,2,0)</f>
        <v>1677525446</v>
      </c>
      <c r="O25" s="9">
        <f t="shared" si="3"/>
        <v>233045769.6</v>
      </c>
      <c r="P25" s="10" t="str">
        <f t="shared" si="4"/>
        <v>Subiu</v>
      </c>
      <c r="Q25" s="10" t="str">
        <f>VLOOKUP(A25,Ticker!A:B,2,0)</f>
        <v>BRF</v>
      </c>
      <c r="R25" s="10" t="str">
        <f>VLOOKUP(Q25,chatgpt!A:C,2,0)</f>
        <v>Alimentos</v>
      </c>
      <c r="S25" s="10">
        <f>VLOOKUP(Q25,chatgpt!A:C,3,0)</f>
        <v>85</v>
      </c>
      <c r="T25" s="10" t="str">
        <f t="shared" si="5"/>
        <v>entre 50 e 100</v>
      </c>
    </row>
    <row r="26" ht="15.75" customHeight="1">
      <c r="A26" s="3" t="s">
        <v>68</v>
      </c>
      <c r="B26" s="4">
        <v>45317.0</v>
      </c>
      <c r="C26" s="5">
        <v>51.2</v>
      </c>
      <c r="D26" s="5">
        <v>0.88</v>
      </c>
      <c r="E26" s="5">
        <v>1.09</v>
      </c>
      <c r="F26" s="5">
        <v>-4.19</v>
      </c>
      <c r="G26" s="5">
        <v>-4.19</v>
      </c>
      <c r="H26" s="5">
        <v>32.78</v>
      </c>
      <c r="I26" s="5">
        <v>50.62</v>
      </c>
      <c r="J26" s="5">
        <v>51.26</v>
      </c>
      <c r="K26" s="3" t="s">
        <v>69</v>
      </c>
      <c r="L26" s="6">
        <f t="shared" si="1"/>
        <v>0.0088</v>
      </c>
      <c r="M26" s="7">
        <f t="shared" si="2"/>
        <v>50.75337034</v>
      </c>
      <c r="N26" s="8">
        <f>VLOOKUP(A26,Total_de_acoes!A:B,2,0)</f>
        <v>423091712</v>
      </c>
      <c r="O26" s="9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21</v>
      </c>
      <c r="T26" s="10" t="str">
        <f t="shared" si="5"/>
        <v>Menos de 50</v>
      </c>
    </row>
    <row r="27" ht="15.75" customHeight="1">
      <c r="A27" s="11" t="s">
        <v>70</v>
      </c>
      <c r="B27" s="12">
        <v>45317.0</v>
      </c>
      <c r="C27" s="13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1" t="s">
        <v>71</v>
      </c>
      <c r="L27" s="6">
        <f t="shared" si="1"/>
        <v>0.0084</v>
      </c>
      <c r="M27" s="7">
        <f t="shared" si="2"/>
        <v>22.45140817</v>
      </c>
      <c r="N27" s="8">
        <f>VLOOKUP(A27,Total_de_acoes!A:B,2,0)</f>
        <v>1218352541</v>
      </c>
      <c r="O27" s="9">
        <f t="shared" si="3"/>
        <v>229771333.6</v>
      </c>
      <c r="P27" s="10" t="str">
        <f t="shared" si="4"/>
        <v>Subiu</v>
      </c>
      <c r="Q27" s="10" t="str">
        <f>VLOOKUP(A27,Ticker!A:B,2,0)</f>
        <v>Rumo</v>
      </c>
      <c r="R27" s="10" t="str">
        <f>VLOOKUP(Q27,chatgpt!A:C,2,0)</f>
        <v>Logística</v>
      </c>
      <c r="S27" s="10">
        <f>VLOOKUP(Q27,chatgpt!A:C,3,0)</f>
        <v>14</v>
      </c>
      <c r="T27" s="10" t="str">
        <f t="shared" si="5"/>
        <v>Menos de 50</v>
      </c>
    </row>
    <row r="28" ht="15.75" customHeight="1">
      <c r="A28" s="3" t="s">
        <v>72</v>
      </c>
      <c r="B28" s="4">
        <v>45317.0</v>
      </c>
      <c r="C28" s="5">
        <v>4.9</v>
      </c>
      <c r="D28" s="5">
        <v>0.82</v>
      </c>
      <c r="E28" s="5">
        <v>9.38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3" t="s">
        <v>73</v>
      </c>
      <c r="L28" s="6">
        <f t="shared" si="1"/>
        <v>0.0082</v>
      </c>
      <c r="M28" s="7">
        <f t="shared" si="2"/>
        <v>4.860146796</v>
      </c>
      <c r="N28" s="8">
        <f>VLOOKUP(A28,Total_de_acoes!A:B,2,0)</f>
        <v>1095462329</v>
      </c>
      <c r="O28" s="9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Serviços Financeiros</v>
      </c>
      <c r="S28" s="10">
        <f>VLOOKUP(Q28,chatgpt!A:C,3,0)</f>
        <v>23</v>
      </c>
      <c r="T28" s="10" t="str">
        <f t="shared" si="5"/>
        <v>Menos de 50</v>
      </c>
    </row>
    <row r="29" ht="15.75" customHeight="1">
      <c r="A29" s="11" t="s">
        <v>74</v>
      </c>
      <c r="B29" s="12">
        <v>45317.0</v>
      </c>
      <c r="C29" s="13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1" t="s">
        <v>75</v>
      </c>
      <c r="L29" s="6">
        <f t="shared" si="1"/>
        <v>0.0077</v>
      </c>
      <c r="M29" s="7">
        <f t="shared" si="2"/>
        <v>7.750322517</v>
      </c>
      <c r="N29" s="8">
        <f>VLOOKUP(A29,Total_de_acoes!A:B,2,0)</f>
        <v>302768240</v>
      </c>
      <c r="O29" s="9">
        <f t="shared" si="3"/>
        <v>18068446.61</v>
      </c>
      <c r="P29" s="10" t="str">
        <f t="shared" si="4"/>
        <v>Subiu</v>
      </c>
      <c r="Q29" s="10" t="str">
        <f>VLOOKUP(A29,Ticker!A:B,2,0)</f>
        <v>Dexco</v>
      </c>
      <c r="R29" s="10" t="str">
        <f>VLOOKUP(Q29,chatgpt!A:C,2,0)</f>
        <v>Diversificado</v>
      </c>
      <c r="S29" s="10">
        <f>VLOOKUP(Q29,chatgpt!A:C,3,0)</f>
        <v>32</v>
      </c>
      <c r="T29" s="10" t="str">
        <f t="shared" si="5"/>
        <v>Menos de 50</v>
      </c>
    </row>
    <row r="30" ht="15.75" customHeight="1">
      <c r="A30" s="3" t="s">
        <v>76</v>
      </c>
      <c r="B30" s="4">
        <v>45317.0</v>
      </c>
      <c r="C30" s="5">
        <v>17.52</v>
      </c>
      <c r="D30" s="5">
        <v>0.74</v>
      </c>
      <c r="E30" s="5">
        <v>-0.57</v>
      </c>
      <c r="F30" s="5">
        <v>-2.29</v>
      </c>
      <c r="G30" s="5">
        <v>-2.29</v>
      </c>
      <c r="H30" s="5">
        <v>56.87</v>
      </c>
      <c r="I30" s="5">
        <v>17.36</v>
      </c>
      <c r="J30" s="5">
        <v>17.58</v>
      </c>
      <c r="K30" s="3" t="s">
        <v>77</v>
      </c>
      <c r="L30" s="6">
        <f t="shared" si="1"/>
        <v>0.0074</v>
      </c>
      <c r="M30" s="7">
        <f t="shared" si="2"/>
        <v>17.39130435</v>
      </c>
      <c r="N30" s="8">
        <f>VLOOKUP(A30,Total_de_acoes!A:B,2,0)</f>
        <v>807896814</v>
      </c>
      <c r="O30" s="9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27</v>
      </c>
      <c r="T30" s="10" t="str">
        <f t="shared" si="5"/>
        <v>Menos de 50</v>
      </c>
    </row>
    <row r="31" ht="15.75" customHeight="1">
      <c r="A31" s="11" t="s">
        <v>78</v>
      </c>
      <c r="B31" s="12">
        <v>45317.0</v>
      </c>
      <c r="C31" s="13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-20.4</v>
      </c>
      <c r="I31" s="13">
        <v>22.69</v>
      </c>
      <c r="J31" s="13">
        <v>23.28</v>
      </c>
      <c r="K31" s="11" t="s">
        <v>79</v>
      </c>
      <c r="L31" s="6">
        <f t="shared" si="1"/>
        <v>0.0073</v>
      </c>
      <c r="M31" s="7">
        <f t="shared" si="2"/>
        <v>23.05172243</v>
      </c>
      <c r="N31" s="8">
        <f>VLOOKUP(A31,Total_de_acoes!A:B,2,0)</f>
        <v>251003438</v>
      </c>
      <c r="O31" s="9">
        <f t="shared" si="3"/>
        <v>42238249.54</v>
      </c>
      <c r="P31" s="10" t="str">
        <f t="shared" si="4"/>
        <v>Subiu</v>
      </c>
      <c r="Q31" s="10" t="str">
        <f>VLOOKUP(A31,Ticker!A:B,2,0)</f>
        <v>Bradespar</v>
      </c>
      <c r="R31" s="10" t="str">
        <f>VLOOKUP(Q31,chatgpt!A:C,2,0)</f>
        <v>Financeiro</v>
      </c>
      <c r="S31" s="10">
        <f>VLOOKUP(Q31,chatgpt!A:C,3,0)</f>
        <v>16</v>
      </c>
      <c r="T31" s="10" t="str">
        <f t="shared" si="5"/>
        <v>Menos de 50</v>
      </c>
    </row>
    <row r="32" ht="15.75" customHeight="1">
      <c r="A32" s="3" t="s">
        <v>80</v>
      </c>
      <c r="B32" s="4">
        <v>45317.0</v>
      </c>
      <c r="C32" s="5">
        <v>5.55</v>
      </c>
      <c r="D32" s="5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3" t="s">
        <v>81</v>
      </c>
      <c r="L32" s="6">
        <f t="shared" si="1"/>
        <v>0.0072</v>
      </c>
      <c r="M32" s="7">
        <f t="shared" si="2"/>
        <v>5.510325655</v>
      </c>
      <c r="N32" s="8">
        <f>VLOOKUP(A32,Total_de_acoes!A:B,2,0)</f>
        <v>393173139</v>
      </c>
      <c r="O32" s="9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</v>
      </c>
      <c r="S32" s="10">
        <f>VLOOKUP(Q32,chatgpt!A:C,3,0)</f>
        <v>24</v>
      </c>
      <c r="T32" s="10" t="str">
        <f t="shared" si="5"/>
        <v>Menos de 50</v>
      </c>
    </row>
    <row r="33" ht="15.75" customHeight="1">
      <c r="A33" s="11" t="s">
        <v>82</v>
      </c>
      <c r="B33" s="12">
        <v>45317.0</v>
      </c>
      <c r="C33" s="13">
        <v>23.83</v>
      </c>
      <c r="D33" s="13">
        <v>0.71</v>
      </c>
      <c r="E33" s="13">
        <v>1.49</v>
      </c>
      <c r="F33" s="13">
        <v>9.71</v>
      </c>
      <c r="G33" s="13">
        <v>9.71</v>
      </c>
      <c r="H33" s="13">
        <v>-26.61</v>
      </c>
      <c r="I33" s="13">
        <v>23.36</v>
      </c>
      <c r="J33" s="13">
        <v>23.99</v>
      </c>
      <c r="K33" s="11" t="s">
        <v>83</v>
      </c>
      <c r="L33" s="6">
        <f t="shared" si="1"/>
        <v>0.0071</v>
      </c>
      <c r="M33" s="7">
        <f t="shared" si="2"/>
        <v>23.6619998</v>
      </c>
      <c r="N33" s="8">
        <f>VLOOKUP(A33,Total_de_acoes!A:B,2,0)</f>
        <v>275005663</v>
      </c>
      <c r="O33" s="9">
        <f t="shared" si="3"/>
        <v>46201006</v>
      </c>
      <c r="P33" s="10" t="str">
        <f t="shared" si="4"/>
        <v>Subiu</v>
      </c>
      <c r="Q33" s="10" t="str">
        <f>VLOOKUP(A33,Ticker!A:B,2,0)</f>
        <v>PetroRecôncavo</v>
      </c>
      <c r="R33" s="10" t="str">
        <f>VLOOKUP(Q33,chatgpt!A:C,2,0)</f>
        <v>Petróleo e Gás</v>
      </c>
      <c r="S33" s="10">
        <f>VLOOKUP(Q33,chatgpt!A:C,3,0)</f>
        <v>15</v>
      </c>
      <c r="T33" s="10" t="str">
        <f t="shared" si="5"/>
        <v>Menos de 50</v>
      </c>
    </row>
    <row r="34" ht="15.75" customHeight="1">
      <c r="A34" s="3" t="s">
        <v>84</v>
      </c>
      <c r="B34" s="4">
        <v>45317.0</v>
      </c>
      <c r="C34" s="5">
        <v>10.01</v>
      </c>
      <c r="D34" s="5">
        <v>0.7</v>
      </c>
      <c r="E34" s="5">
        <v>-0.3</v>
      </c>
      <c r="F34" s="5">
        <v>-3.47</v>
      </c>
      <c r="G34" s="5">
        <v>-3.47</v>
      </c>
      <c r="H34" s="5">
        <v>29.0</v>
      </c>
      <c r="I34" s="5">
        <v>9.93</v>
      </c>
      <c r="J34" s="5">
        <v>10.06</v>
      </c>
      <c r="K34" s="3" t="s">
        <v>85</v>
      </c>
      <c r="L34" s="6">
        <f t="shared" si="1"/>
        <v>0.007</v>
      </c>
      <c r="M34" s="7">
        <f t="shared" si="2"/>
        <v>9.94041708</v>
      </c>
      <c r="N34" s="8">
        <f>VLOOKUP(A34,Total_de_acoes!A:B,2,0)</f>
        <v>5372783971</v>
      </c>
      <c r="O34" s="9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Financeiro</v>
      </c>
      <c r="S34" s="10">
        <f>VLOOKUP(Q34,chatgpt!A:C,3,0)</f>
        <v>55</v>
      </c>
      <c r="T34" s="10" t="str">
        <f t="shared" si="5"/>
        <v>entre 50 e 100</v>
      </c>
    </row>
    <row r="35" ht="15.75" customHeight="1">
      <c r="A35" s="11" t="s">
        <v>86</v>
      </c>
      <c r="B35" s="12">
        <v>45317.0</v>
      </c>
      <c r="C35" s="13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1" t="s">
        <v>87</v>
      </c>
      <c r="L35" s="6">
        <f t="shared" si="1"/>
        <v>0.0068</v>
      </c>
      <c r="M35" s="7">
        <f t="shared" si="2"/>
        <v>56.5852205</v>
      </c>
      <c r="N35" s="8">
        <f>VLOOKUP(A35,Total_de_acoes!A:B,2,0)</f>
        <v>1420949112</v>
      </c>
      <c r="O35" s="9">
        <f t="shared" si="3"/>
        <v>546752088</v>
      </c>
      <c r="P35" s="10" t="str">
        <f t="shared" si="4"/>
        <v>Subiu</v>
      </c>
      <c r="Q35" s="10" t="str">
        <f>VLOOKUP(A35,Ticker!A:B,2,0)</f>
        <v>Banco do Brasil</v>
      </c>
      <c r="R35" s="10" t="str">
        <f>VLOOKUP(Q35,chatgpt!A:C,2,0)</f>
        <v>Financeiro</v>
      </c>
      <c r="S35" s="10">
        <f>VLOOKUP(Q35,chatgpt!A:C,3,0)</f>
        <v>211</v>
      </c>
      <c r="T35" s="10" t="str">
        <f t="shared" si="5"/>
        <v>Mais de 100 anos</v>
      </c>
    </row>
    <row r="36" ht="15.75" customHeight="1">
      <c r="A36" s="3" t="s">
        <v>88</v>
      </c>
      <c r="B36" s="4">
        <v>45317.0</v>
      </c>
      <c r="C36" s="5">
        <v>26.16</v>
      </c>
      <c r="D36" s="5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3" t="s">
        <v>89</v>
      </c>
      <c r="L36" s="6">
        <f t="shared" si="1"/>
        <v>0.0061</v>
      </c>
      <c r="M36" s="7">
        <f t="shared" si="2"/>
        <v>26.00139151</v>
      </c>
      <c r="N36" s="8">
        <f>VLOOKUP(A36,Total_de_acoes!A:B,2,0)</f>
        <v>1275798515</v>
      </c>
      <c r="O36" s="9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Varejo</v>
      </c>
      <c r="S36" s="10">
        <f>VLOOKUP(Q36,chatgpt!A:C,3,0)</f>
        <v>118</v>
      </c>
      <c r="T36" s="10" t="str">
        <f t="shared" si="5"/>
        <v>Mais de 100 anos</v>
      </c>
    </row>
    <row r="37" ht="15.75" customHeight="1">
      <c r="A37" s="11" t="s">
        <v>90</v>
      </c>
      <c r="B37" s="12">
        <v>45317.0</v>
      </c>
      <c r="C37" s="13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10.03</v>
      </c>
      <c r="J37" s="13">
        <v>10.14</v>
      </c>
      <c r="K37" s="11" t="s">
        <v>91</v>
      </c>
      <c r="L37" s="6">
        <f t="shared" si="1"/>
        <v>0.0059</v>
      </c>
      <c r="M37" s="7">
        <f t="shared" si="2"/>
        <v>10.02087683</v>
      </c>
      <c r="N37" s="8">
        <f>VLOOKUP(A37,Total_de_acoes!A:B,2,0)</f>
        <v>660411219</v>
      </c>
      <c r="O37" s="9">
        <f t="shared" si="3"/>
        <v>39045606.94</v>
      </c>
      <c r="P37" s="10" t="str">
        <f t="shared" si="4"/>
        <v>Subiu</v>
      </c>
      <c r="Q37" s="10" t="str">
        <f>VLOOKUP(A37,Ticker!A:B,2,0)</f>
        <v>Metalúrgica Gerdau</v>
      </c>
      <c r="R37" s="10" t="str">
        <f>VLOOKUP(Q37,chatgpt!A:C,2,0)</f>
        <v>Siderurgia</v>
      </c>
      <c r="S37" s="10">
        <f>VLOOKUP(Q37,chatgpt!A:C,3,0)</f>
        <v>120</v>
      </c>
      <c r="T37" s="10" t="str">
        <f t="shared" si="5"/>
        <v>Mais de 100 anos</v>
      </c>
    </row>
    <row r="38" ht="15.75" customHeight="1">
      <c r="A38" s="3" t="s">
        <v>92</v>
      </c>
      <c r="B38" s="4">
        <v>45317.0</v>
      </c>
      <c r="C38" s="5">
        <v>18.57</v>
      </c>
      <c r="D38" s="5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3" t="s">
        <v>93</v>
      </c>
      <c r="L38" s="6">
        <f t="shared" si="1"/>
        <v>0.0059</v>
      </c>
      <c r="M38" s="7">
        <f t="shared" si="2"/>
        <v>18.46107963</v>
      </c>
      <c r="N38" s="8">
        <f>VLOOKUP(A38,Total_de_acoes!A:B,2,0)</f>
        <v>1168097881</v>
      </c>
      <c r="O38" s="9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24</v>
      </c>
      <c r="T38" s="10" t="str">
        <f t="shared" si="5"/>
        <v>Menos de 50</v>
      </c>
    </row>
    <row r="39" ht="15.75" customHeight="1">
      <c r="A39" s="11" t="s">
        <v>94</v>
      </c>
      <c r="B39" s="12">
        <v>45317.0</v>
      </c>
      <c r="C39" s="13">
        <v>24.34</v>
      </c>
      <c r="D39" s="13">
        <v>0.57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1" t="s">
        <v>95</v>
      </c>
      <c r="L39" s="6">
        <f t="shared" si="1"/>
        <v>0.0057</v>
      </c>
      <c r="M39" s="7">
        <f t="shared" si="2"/>
        <v>24.20204832</v>
      </c>
      <c r="N39" s="8">
        <f>VLOOKUP(A39,Total_de_acoes!A:B,2,0)</f>
        <v>1134986472</v>
      </c>
      <c r="O39" s="9">
        <f t="shared" si="3"/>
        <v>156573285.4</v>
      </c>
      <c r="P39" s="10" t="str">
        <f t="shared" si="4"/>
        <v>Subiu</v>
      </c>
      <c r="Q39" s="10" t="str">
        <f>VLOOKUP(A39,Ticker!A:B,2,0)</f>
        <v>JBS</v>
      </c>
      <c r="R39" s="10" t="str">
        <f>VLOOKUP(Q39,chatgpt!A:C,2,0)</f>
        <v>Alimentos</v>
      </c>
      <c r="S39" s="10">
        <f>VLOOKUP(Q39,chatgpt!A:C,3,0)</f>
        <v>68</v>
      </c>
      <c r="T39" s="10" t="str">
        <f t="shared" si="5"/>
        <v>entre 50 e 100</v>
      </c>
    </row>
    <row r="40" ht="15.75" customHeight="1">
      <c r="A40" s="3" t="s">
        <v>96</v>
      </c>
      <c r="B40" s="4">
        <v>45317.0</v>
      </c>
      <c r="C40" s="5">
        <v>2.08</v>
      </c>
      <c r="D40" s="5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3" t="s">
        <v>97</v>
      </c>
      <c r="L40" s="6">
        <f t="shared" si="1"/>
        <v>0.0048</v>
      </c>
      <c r="M40" s="7">
        <f t="shared" si="2"/>
        <v>2.070063694</v>
      </c>
      <c r="N40" s="8">
        <f>VLOOKUP(A40,Total_de_acoes!A:B,2,0)</f>
        <v>2867627068</v>
      </c>
      <c r="O40" s="9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66</v>
      </c>
      <c r="T40" s="10" t="str">
        <f t="shared" si="5"/>
        <v>entre 50 e 100</v>
      </c>
    </row>
    <row r="41" ht="15.75" customHeight="1">
      <c r="A41" s="11" t="s">
        <v>98</v>
      </c>
      <c r="B41" s="12">
        <v>45317.0</v>
      </c>
      <c r="C41" s="13">
        <v>13.75</v>
      </c>
      <c r="D41" s="13">
        <v>0.36</v>
      </c>
      <c r="E41" s="13">
        <v>-0.72</v>
      </c>
      <c r="F41" s="13">
        <v>-9.95</v>
      </c>
      <c r="G41" s="13">
        <v>-9.95</v>
      </c>
      <c r="H41" s="13">
        <v>15.78</v>
      </c>
      <c r="I41" s="13">
        <v>13.67</v>
      </c>
      <c r="J41" s="13">
        <v>13.9</v>
      </c>
      <c r="K41" s="11" t="s">
        <v>99</v>
      </c>
      <c r="L41" s="6">
        <f t="shared" si="1"/>
        <v>0.0036</v>
      </c>
      <c r="M41" s="7">
        <f t="shared" si="2"/>
        <v>13.70067756</v>
      </c>
      <c r="N41" s="8">
        <f>VLOOKUP(A41,Total_de_acoes!A:B,2,0)</f>
        <v>1500728902</v>
      </c>
      <c r="O41" s="9">
        <f t="shared" si="3"/>
        <v>74019610.05</v>
      </c>
      <c r="P41" s="10" t="str">
        <f t="shared" si="4"/>
        <v>Subiu</v>
      </c>
      <c r="Q41" s="10" t="str">
        <f>VLOOKUP(A41,Ticker!A:B,2,0)</f>
        <v>Banco Bradesco</v>
      </c>
      <c r="R41" s="10" t="str">
        <f>VLOOKUP(Q41,chatgpt!A:C,2,0)</f>
        <v>Financeiro</v>
      </c>
      <c r="S41" s="10">
        <f>VLOOKUP(Q41,chatgpt!A:C,3,0)</f>
        <v>79</v>
      </c>
      <c r="T41" s="10" t="str">
        <f t="shared" si="5"/>
        <v>entre 50 e 100</v>
      </c>
    </row>
    <row r="42" ht="15.75" customHeight="1">
      <c r="A42" s="3" t="s">
        <v>100</v>
      </c>
      <c r="B42" s="4">
        <v>45317.0</v>
      </c>
      <c r="C42" s="5">
        <v>21.84</v>
      </c>
      <c r="D42" s="5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3" t="s">
        <v>101</v>
      </c>
      <c r="L42" s="6">
        <f t="shared" si="1"/>
        <v>0.0027</v>
      </c>
      <c r="M42" s="7">
        <f t="shared" si="2"/>
        <v>21.78119078</v>
      </c>
      <c r="N42" s="8">
        <f>VLOOKUP(A42,Total_de_acoes!A:B,2,0)</f>
        <v>1118525506</v>
      </c>
      <c r="O42" s="9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120</v>
      </c>
      <c r="T42" s="10" t="str">
        <f t="shared" si="5"/>
        <v>Mais de 100 anos</v>
      </c>
    </row>
    <row r="43" ht="15.75" customHeight="1">
      <c r="A43" s="11" t="s">
        <v>102</v>
      </c>
      <c r="B43" s="12">
        <v>45317.0</v>
      </c>
      <c r="C43" s="13">
        <v>3.74</v>
      </c>
      <c r="D43" s="13">
        <v>0.26</v>
      </c>
      <c r="E43" s="13">
        <v>0.0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1" t="s">
        <v>103</v>
      </c>
      <c r="L43" s="6">
        <f t="shared" si="1"/>
        <v>0.0026</v>
      </c>
      <c r="M43" s="7">
        <f t="shared" si="2"/>
        <v>3.730301217</v>
      </c>
      <c r="N43" s="8">
        <f>VLOOKUP(A43,Total_de_acoes!A:B,2,0)</f>
        <v>1193047233</v>
      </c>
      <c r="O43" s="9">
        <f t="shared" si="3"/>
        <v>11571106.42</v>
      </c>
      <c r="P43" s="10" t="str">
        <f t="shared" si="4"/>
        <v>Subiu</v>
      </c>
      <c r="Q43" s="10" t="str">
        <f>VLOOKUP(A43,Ticker!A:B,2,0)</f>
        <v>Raízen</v>
      </c>
      <c r="R43" s="10" t="str">
        <f>VLOOKUP(Q43,chatgpt!A:C,2,0)</f>
        <v>Energia</v>
      </c>
      <c r="S43" s="10">
        <f>VLOOKUP(Q43,chatgpt!A:C,3,0)</f>
        <v>10</v>
      </c>
      <c r="T43" s="10" t="str">
        <f t="shared" si="5"/>
        <v>Menos de 50</v>
      </c>
    </row>
    <row r="44" ht="15.75" customHeight="1">
      <c r="A44" s="3" t="s">
        <v>104</v>
      </c>
      <c r="B44" s="4">
        <v>45317.0</v>
      </c>
      <c r="C44" s="5">
        <v>10.07</v>
      </c>
      <c r="D44" s="5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</v>
      </c>
      <c r="J44" s="5">
        <v>10.13</v>
      </c>
      <c r="K44" s="3" t="s">
        <v>105</v>
      </c>
      <c r="L44" s="6">
        <f t="shared" si="1"/>
        <v>0.0019</v>
      </c>
      <c r="M44" s="7">
        <f t="shared" si="2"/>
        <v>10.05090328</v>
      </c>
      <c r="N44" s="8">
        <f>VLOOKUP(A44,Total_de_acoes!A:B,2,0)</f>
        <v>1679335290</v>
      </c>
      <c r="O44" s="9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67</v>
      </c>
      <c r="T44" s="10" t="str">
        <f t="shared" si="5"/>
        <v>entre 50 e 100</v>
      </c>
    </row>
    <row r="45" ht="15.75" customHeight="1">
      <c r="A45" s="11" t="s">
        <v>106</v>
      </c>
      <c r="B45" s="12">
        <v>45317.0</v>
      </c>
      <c r="C45" s="13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1" t="s">
        <v>107</v>
      </c>
      <c r="L45" s="6">
        <f t="shared" si="1"/>
        <v>0.0012</v>
      </c>
      <c r="M45" s="7">
        <f t="shared" si="2"/>
        <v>8.170195765</v>
      </c>
      <c r="N45" s="8">
        <f>VLOOKUP(A45,Total_de_acoes!A:B,2,0)</f>
        <v>421383330</v>
      </c>
      <c r="O45" s="9">
        <f t="shared" si="3"/>
        <v>4131341.158</v>
      </c>
      <c r="P45" s="10" t="str">
        <f t="shared" si="4"/>
        <v>Subiu</v>
      </c>
      <c r="Q45" s="10" t="str">
        <f>VLOOKUP(A45,Ticker!A:B,2,0)</f>
        <v>Grupo Vamos</v>
      </c>
      <c r="R45" s="10" t="str">
        <f>VLOOKUP(Q45,chatgpt!A:C,2,0)</f>
        <v>Logística</v>
      </c>
      <c r="S45" s="10">
        <f>VLOOKUP(Q45,chatgpt!A:C,3,0)</f>
        <v>15</v>
      </c>
      <c r="T45" s="10" t="str">
        <f t="shared" si="5"/>
        <v>Menos de 50</v>
      </c>
    </row>
    <row r="46" ht="15.75" customHeight="1">
      <c r="A46" s="3" t="s">
        <v>108</v>
      </c>
      <c r="B46" s="4">
        <v>45317.0</v>
      </c>
      <c r="C46" s="5">
        <v>9.74</v>
      </c>
      <c r="D46" s="5">
        <v>0.0</v>
      </c>
      <c r="E46" s="5">
        <v>5.3</v>
      </c>
      <c r="F46" s="5">
        <v>0.41</v>
      </c>
      <c r="G46" s="5">
        <v>0.41</v>
      </c>
      <c r="H46" s="5">
        <v>17.99</v>
      </c>
      <c r="I46" s="5">
        <v>9.61</v>
      </c>
      <c r="J46" s="5">
        <v>9.86</v>
      </c>
      <c r="K46" s="3" t="s">
        <v>109</v>
      </c>
      <c r="L46" s="6">
        <f t="shared" si="1"/>
        <v>0</v>
      </c>
      <c r="M46" s="7">
        <f t="shared" si="2"/>
        <v>9.74</v>
      </c>
      <c r="N46" s="8">
        <f>VLOOKUP(A46,Total_de_acoes!A:B,2,0)</f>
        <v>331799687</v>
      </c>
      <c r="O46" s="9">
        <f t="shared" si="3"/>
        <v>0</v>
      </c>
      <c r="P46" s="10" t="str">
        <f t="shared" si="4"/>
        <v>Estável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17</v>
      </c>
      <c r="T46" s="10" t="str">
        <f t="shared" si="5"/>
        <v>Menos de 50</v>
      </c>
    </row>
    <row r="47" ht="15.75" customHeight="1">
      <c r="A47" s="11" t="s">
        <v>110</v>
      </c>
      <c r="B47" s="12">
        <v>45317.0</v>
      </c>
      <c r="C47" s="13">
        <v>13.2</v>
      </c>
      <c r="D47" s="13">
        <v>0.0</v>
      </c>
      <c r="E47" s="13">
        <v>-1.12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1" t="s">
        <v>111</v>
      </c>
      <c r="L47" s="6">
        <f t="shared" si="1"/>
        <v>0</v>
      </c>
      <c r="M47" s="7">
        <f t="shared" si="2"/>
        <v>13.2</v>
      </c>
      <c r="N47" s="8">
        <f>VLOOKUP(A47,Total_de_acoes!A:B,2,0)</f>
        <v>4394245879</v>
      </c>
      <c r="O47" s="9">
        <f t="shared" si="3"/>
        <v>0</v>
      </c>
      <c r="P47" s="10" t="str">
        <f t="shared" si="4"/>
        <v>Estável</v>
      </c>
      <c r="Q47" s="10" t="str">
        <f>VLOOKUP(A47,Ticker!A:B,2,0)</f>
        <v>Ambev</v>
      </c>
      <c r="R47" s="10" t="str">
        <f>VLOOKUP(Q47,chatgpt!A:C,2,0)</f>
        <v>Bebidas</v>
      </c>
      <c r="S47" s="10">
        <f>VLOOKUP(Q47,chatgpt!A:C,3,0)</f>
        <v>31</v>
      </c>
      <c r="T47" s="10" t="str">
        <f t="shared" si="5"/>
        <v>Menos de 50</v>
      </c>
    </row>
    <row r="48" ht="15.75" customHeight="1">
      <c r="A48" s="3" t="s">
        <v>112</v>
      </c>
      <c r="B48" s="4">
        <v>45317.0</v>
      </c>
      <c r="C48" s="5">
        <v>33.73</v>
      </c>
      <c r="D48" s="5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33.73</v>
      </c>
      <c r="J48" s="5">
        <v>34.03</v>
      </c>
      <c r="K48" s="3" t="s">
        <v>113</v>
      </c>
      <c r="L48" s="6">
        <f t="shared" si="1"/>
        <v>-0.0002</v>
      </c>
      <c r="M48" s="7">
        <f t="shared" si="2"/>
        <v>33.73674735</v>
      </c>
      <c r="N48" s="8">
        <f>VLOOKUP(A48,Total_de_acoes!A:B,2,0)</f>
        <v>671750768</v>
      </c>
      <c r="O48" s="9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8</v>
      </c>
      <c r="T48" s="10" t="str">
        <f t="shared" si="5"/>
        <v>Menos de 50</v>
      </c>
    </row>
    <row r="49" ht="15.75" customHeight="1">
      <c r="A49" s="11" t="s">
        <v>114</v>
      </c>
      <c r="B49" s="12">
        <v>45317.0</v>
      </c>
      <c r="C49" s="13">
        <v>77.04</v>
      </c>
      <c r="D49" s="13">
        <v>-0.06</v>
      </c>
      <c r="E49" s="13">
        <v>1.37</v>
      </c>
      <c r="F49" s="13">
        <v>2.22</v>
      </c>
      <c r="G49" s="13">
        <v>2.22</v>
      </c>
      <c r="H49" s="13">
        <v>45.92</v>
      </c>
      <c r="I49" s="13">
        <v>76.52</v>
      </c>
      <c r="J49" s="13">
        <v>77.69</v>
      </c>
      <c r="K49" s="11" t="s">
        <v>115</v>
      </c>
      <c r="L49" s="6">
        <f t="shared" si="1"/>
        <v>-0.0006</v>
      </c>
      <c r="M49" s="7">
        <f t="shared" si="2"/>
        <v>77.08625175</v>
      </c>
      <c r="N49" s="8">
        <f>VLOOKUP(A49,Total_de_acoes!A:B,2,0)</f>
        <v>340001799</v>
      </c>
      <c r="O49" s="9">
        <f t="shared" si="3"/>
        <v>-15725678.56</v>
      </c>
      <c r="P49" s="10" t="str">
        <f t="shared" si="4"/>
        <v>Desceu</v>
      </c>
      <c r="Q49" s="10" t="str">
        <f>VLOOKUP(A49,Ticker!A:B,2,0)</f>
        <v>Sabesp</v>
      </c>
      <c r="R49" s="10" t="str">
        <f>VLOOKUP(Q49,chatgpt!A:C,2,0)</f>
        <v>Saneamento</v>
      </c>
      <c r="S49" s="10">
        <f>VLOOKUP(Q49,chatgpt!A:C,3,0)</f>
        <v>49</v>
      </c>
      <c r="T49" s="10" t="str">
        <f t="shared" si="5"/>
        <v>Menos de 50</v>
      </c>
    </row>
    <row r="50" ht="15.75" customHeight="1">
      <c r="A50" s="3" t="s">
        <v>116</v>
      </c>
      <c r="B50" s="4">
        <v>45317.0</v>
      </c>
      <c r="C50" s="5">
        <v>30.88</v>
      </c>
      <c r="D50" s="5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3" t="s">
        <v>117</v>
      </c>
      <c r="L50" s="6">
        <f t="shared" si="1"/>
        <v>-0.0006</v>
      </c>
      <c r="M50" s="7">
        <f t="shared" si="2"/>
        <v>30.89853912</v>
      </c>
      <c r="N50" s="8">
        <f>VLOOKUP(A50,Total_de_acoes!A:B,2,0)</f>
        <v>514122351</v>
      </c>
      <c r="O50" s="9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</v>
      </c>
      <c r="S50" s="10">
        <f>VLOOKUP(Q50,chatgpt!A:C,3,0)</f>
        <v>39</v>
      </c>
      <c r="T50" s="10" t="str">
        <f t="shared" si="5"/>
        <v>Menos de 50</v>
      </c>
    </row>
    <row r="51" ht="15.75" customHeight="1">
      <c r="A51" s="11" t="s">
        <v>118</v>
      </c>
      <c r="B51" s="12">
        <v>45317.0</v>
      </c>
      <c r="C51" s="13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1" t="s">
        <v>119</v>
      </c>
      <c r="L51" s="6">
        <f t="shared" si="1"/>
        <v>-0.0017</v>
      </c>
      <c r="M51" s="7">
        <f t="shared" si="2"/>
        <v>11.6598217</v>
      </c>
      <c r="N51" s="8">
        <f>VLOOKUP(A51,Total_de_acoes!A:B,2,0)</f>
        <v>1437415777</v>
      </c>
      <c r="O51" s="9">
        <f t="shared" si="3"/>
        <v>-28492019.83</v>
      </c>
      <c r="P51" s="10" t="str">
        <f t="shared" si="4"/>
        <v>Desceu</v>
      </c>
      <c r="Q51" s="10" t="str">
        <f>VLOOKUP(A51,Ticker!A:B,2,0)</f>
        <v>CEMIG</v>
      </c>
      <c r="R51" s="10" t="str">
        <f>VLOOKUP(Q51,chatgpt!A:C,2,0)</f>
        <v>Energia</v>
      </c>
      <c r="S51" s="10">
        <f>VLOOKUP(Q51,chatgpt!A:C,3,0)</f>
        <v>70</v>
      </c>
      <c r="T51" s="10" t="str">
        <f t="shared" si="5"/>
        <v>entre 50 e 100</v>
      </c>
    </row>
    <row r="52" ht="15.75" customHeight="1">
      <c r="A52" s="3" t="s">
        <v>120</v>
      </c>
      <c r="B52" s="4">
        <v>45317.0</v>
      </c>
      <c r="C52" s="5">
        <v>46.04</v>
      </c>
      <c r="D52" s="5">
        <v>-0.19</v>
      </c>
      <c r="E52" s="5">
        <v>-1.41</v>
      </c>
      <c r="F52" s="5">
        <v>-2.0</v>
      </c>
      <c r="G52" s="5">
        <v>-2.0</v>
      </c>
      <c r="H52" s="5">
        <v>7.43</v>
      </c>
      <c r="I52" s="5">
        <v>45.91</v>
      </c>
      <c r="J52" s="5">
        <v>46.42</v>
      </c>
      <c r="K52" s="3" t="s">
        <v>121</v>
      </c>
      <c r="L52" s="6">
        <f t="shared" si="1"/>
        <v>-0.0019</v>
      </c>
      <c r="M52" s="7">
        <f t="shared" si="2"/>
        <v>46.12764252</v>
      </c>
      <c r="N52" s="8">
        <f>VLOOKUP(A52,Total_de_acoes!A:B,2,0)</f>
        <v>268544014</v>
      </c>
      <c r="O52" s="9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59</v>
      </c>
      <c r="T52" s="10" t="str">
        <f t="shared" si="5"/>
        <v>entre 50 e 100</v>
      </c>
    </row>
    <row r="53" ht="15.75" customHeight="1">
      <c r="A53" s="11" t="s">
        <v>122</v>
      </c>
      <c r="B53" s="12">
        <v>45317.0</v>
      </c>
      <c r="C53" s="13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1" t="s">
        <v>123</v>
      </c>
      <c r="L53" s="6">
        <f t="shared" si="1"/>
        <v>-0.0023</v>
      </c>
      <c r="M53" s="7">
        <f t="shared" si="2"/>
        <v>12.89966924</v>
      </c>
      <c r="N53" s="8">
        <f>VLOOKUP(A53,Total_de_acoes!A:B,2,0)</f>
        <v>1579130168</v>
      </c>
      <c r="O53" s="9">
        <f t="shared" si="3"/>
        <v>-46851590.76</v>
      </c>
      <c r="P53" s="10" t="str">
        <f t="shared" si="4"/>
        <v>Desceu</v>
      </c>
      <c r="Q53" s="10" t="str">
        <f>VLOOKUP(A53,Ticker!A:B,2,0)</f>
        <v>Eneva</v>
      </c>
      <c r="R53" s="10" t="str">
        <f>VLOOKUP(Q53,chatgpt!A:C,2,0)</f>
        <v>Energia</v>
      </c>
      <c r="S53" s="10">
        <f>VLOOKUP(Q53,chatgpt!A:C,3,0)</f>
        <v>11</v>
      </c>
      <c r="T53" s="10" t="str">
        <f t="shared" si="5"/>
        <v>Menos de 50</v>
      </c>
    </row>
    <row r="54" ht="15.75" customHeight="1">
      <c r="A54" s="3" t="s">
        <v>124</v>
      </c>
      <c r="B54" s="4">
        <v>45317.0</v>
      </c>
      <c r="C54" s="5">
        <v>33.17</v>
      </c>
      <c r="D54" s="5">
        <v>-0.24</v>
      </c>
      <c r="E54" s="5">
        <v>-0.93</v>
      </c>
      <c r="F54" s="5">
        <v>-10.13</v>
      </c>
      <c r="G54" s="5">
        <v>-10.13</v>
      </c>
      <c r="H54" s="5">
        <v>-11.84</v>
      </c>
      <c r="I54" s="5">
        <v>33.04</v>
      </c>
      <c r="J54" s="5">
        <v>33.5</v>
      </c>
      <c r="K54" s="3" t="s">
        <v>125</v>
      </c>
      <c r="L54" s="6">
        <f t="shared" si="1"/>
        <v>-0.0024</v>
      </c>
      <c r="M54" s="7">
        <f t="shared" si="2"/>
        <v>33.24979952</v>
      </c>
      <c r="N54" s="8">
        <f>VLOOKUP(A54,Total_de_acoes!A:B,2,0)</f>
        <v>1481593024</v>
      </c>
      <c r="O54" s="9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Energia</v>
      </c>
      <c r="S54" s="10">
        <f>VLOOKUP(Q54,chatgpt!A:C,3,0)</f>
        <v>60</v>
      </c>
      <c r="T54" s="10" t="str">
        <f t="shared" si="5"/>
        <v>entre 50 e 100</v>
      </c>
    </row>
    <row r="55" ht="15.75" customHeight="1">
      <c r="A55" s="11" t="s">
        <v>126</v>
      </c>
      <c r="B55" s="12">
        <v>45317.0</v>
      </c>
      <c r="C55" s="13">
        <v>19.3</v>
      </c>
      <c r="D55" s="13">
        <v>-0.25</v>
      </c>
      <c r="E55" s="13">
        <v>2.01</v>
      </c>
      <c r="F55" s="13">
        <v>2.55</v>
      </c>
      <c r="G55" s="13">
        <v>2.55</v>
      </c>
      <c r="H55" s="13">
        <v>-10.11</v>
      </c>
      <c r="I55" s="13">
        <v>19.1</v>
      </c>
      <c r="J55" s="13">
        <v>19.51</v>
      </c>
      <c r="K55" s="11" t="s">
        <v>127</v>
      </c>
      <c r="L55" s="6">
        <f t="shared" si="1"/>
        <v>-0.0025</v>
      </c>
      <c r="M55" s="7">
        <f t="shared" si="2"/>
        <v>19.34837093</v>
      </c>
      <c r="N55" s="8">
        <f>VLOOKUP(A55,Total_de_acoes!A:B,2,0)</f>
        <v>195751130</v>
      </c>
      <c r="O55" s="9">
        <f t="shared" si="3"/>
        <v>-9468663.682</v>
      </c>
      <c r="P55" s="10" t="str">
        <f t="shared" si="4"/>
        <v>Desceu</v>
      </c>
      <c r="Q55" s="10" t="str">
        <f>VLOOKUP(A55,Ticker!A:B,2,0)</f>
        <v>SLC Agrícola</v>
      </c>
      <c r="R55" s="10" t="str">
        <f>VLOOKUP(Q55,chatgpt!A:C,2,0)</f>
        <v>Agronegócio</v>
      </c>
      <c r="S55" s="10">
        <f>VLOOKUP(Q55,chatgpt!A:C,3,0)</f>
        <v>42</v>
      </c>
      <c r="T55" s="10" t="str">
        <f t="shared" si="5"/>
        <v>Menos de 50</v>
      </c>
    </row>
    <row r="56" ht="15.75" customHeight="1">
      <c r="A56" s="3" t="s">
        <v>128</v>
      </c>
      <c r="B56" s="4">
        <v>45317.0</v>
      </c>
      <c r="C56" s="5">
        <v>24.62</v>
      </c>
      <c r="D56" s="5">
        <v>-0.28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3" t="s">
        <v>129</v>
      </c>
      <c r="L56" s="6">
        <f t="shared" si="1"/>
        <v>-0.0028</v>
      </c>
      <c r="M56" s="7">
        <f t="shared" si="2"/>
        <v>24.68912956</v>
      </c>
      <c r="N56" s="8">
        <f>VLOOKUP(A56,Total_de_acoes!A:B,2,0)</f>
        <v>532616595</v>
      </c>
      <c r="O56" s="9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Tecnologia</v>
      </c>
      <c r="S56" s="10">
        <f>VLOOKUP(Q56,chatgpt!A:C,3,0)</f>
        <v>15</v>
      </c>
      <c r="T56" s="10" t="str">
        <f t="shared" si="5"/>
        <v>Menos de 50</v>
      </c>
    </row>
    <row r="57" ht="15.75" customHeight="1">
      <c r="A57" s="11" t="s">
        <v>130</v>
      </c>
      <c r="B57" s="12">
        <v>45317.0</v>
      </c>
      <c r="C57" s="13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1" t="s">
        <v>131</v>
      </c>
      <c r="L57" s="6">
        <f t="shared" si="1"/>
        <v>-0.003</v>
      </c>
      <c r="M57" s="7">
        <f t="shared" si="2"/>
        <v>13.30992979</v>
      </c>
      <c r="N57" s="8">
        <f>VLOOKUP(A57,Total_de_acoes!A:B,2,0)</f>
        <v>995335937</v>
      </c>
      <c r="O57" s="9">
        <f t="shared" si="3"/>
        <v>-39743554.31</v>
      </c>
      <c r="P57" s="10" t="str">
        <f t="shared" si="4"/>
        <v>Desceu</v>
      </c>
      <c r="Q57" s="10" t="str">
        <f>VLOOKUP(A57,Ticker!A:B,2,0)</f>
        <v>Grupo CCR</v>
      </c>
      <c r="R57" s="10" t="str">
        <f>VLOOKUP(Q57,chatgpt!A:C,2,0)</f>
        <v>Infraestrutura</v>
      </c>
      <c r="S57" s="10">
        <f>VLOOKUP(Q57,chatgpt!A:C,3,0)</f>
        <v>24</v>
      </c>
      <c r="T57" s="10" t="str">
        <f t="shared" si="5"/>
        <v>Menos de 50</v>
      </c>
    </row>
    <row r="58" ht="15.75" customHeight="1">
      <c r="A58" s="3" t="s">
        <v>132</v>
      </c>
      <c r="B58" s="4">
        <v>45317.0</v>
      </c>
      <c r="C58" s="5">
        <v>3.03</v>
      </c>
      <c r="D58" s="5">
        <v>-0.32</v>
      </c>
      <c r="E58" s="5">
        <v>-5.02</v>
      </c>
      <c r="F58" s="5">
        <v>-13.18</v>
      </c>
      <c r="G58" s="5">
        <v>-13.18</v>
      </c>
      <c r="H58" s="5">
        <v>37.73</v>
      </c>
      <c r="I58" s="5">
        <v>2.97</v>
      </c>
      <c r="J58" s="5">
        <v>3.06</v>
      </c>
      <c r="K58" s="3" t="s">
        <v>133</v>
      </c>
      <c r="L58" s="6">
        <f t="shared" si="1"/>
        <v>-0.0032</v>
      </c>
      <c r="M58" s="7">
        <f t="shared" si="2"/>
        <v>3.039727127</v>
      </c>
      <c r="N58" s="8">
        <f>VLOOKUP(A58,Total_de_acoes!A:B,2,0)</f>
        <v>1814920980</v>
      </c>
      <c r="O58" s="9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53</v>
      </c>
      <c r="T58" s="10" t="str">
        <f t="shared" si="5"/>
        <v>entre 50 e 100</v>
      </c>
    </row>
    <row r="59" ht="15.75" customHeight="1">
      <c r="A59" s="11" t="s">
        <v>134</v>
      </c>
      <c r="B59" s="12">
        <v>45317.0</v>
      </c>
      <c r="C59" s="13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1" t="s">
        <v>135</v>
      </c>
      <c r="L59" s="6">
        <f t="shared" si="1"/>
        <v>-0.0041</v>
      </c>
      <c r="M59" s="7">
        <f t="shared" si="2"/>
        <v>26.22753288</v>
      </c>
      <c r="N59" s="8">
        <f>VLOOKUP(A59,Total_de_acoes!A:B,2,0)</f>
        <v>395801044</v>
      </c>
      <c r="O59" s="9">
        <f t="shared" si="3"/>
        <v>-42561628.08</v>
      </c>
      <c r="P59" s="10" t="str">
        <f t="shared" si="4"/>
        <v>Desceu</v>
      </c>
      <c r="Q59" s="10" t="str">
        <f>VLOOKUP(A59,Ticker!A:B,2,0)</f>
        <v>Transmissão Paulista</v>
      </c>
      <c r="R59" s="10" t="str">
        <f>VLOOKUP(Q59,chatgpt!A:C,2,0)</f>
        <v>Energia</v>
      </c>
      <c r="S59" s="10">
        <f>VLOOKUP(Q59,chatgpt!A:C,3,0)</f>
        <v>22</v>
      </c>
      <c r="T59" s="10" t="str">
        <f t="shared" si="5"/>
        <v>Menos de 50</v>
      </c>
    </row>
    <row r="60" ht="15.75" customHeight="1">
      <c r="A60" s="3" t="s">
        <v>136</v>
      </c>
      <c r="B60" s="4">
        <v>45317.0</v>
      </c>
      <c r="C60" s="5">
        <v>41.04</v>
      </c>
      <c r="D60" s="5">
        <v>-0.46</v>
      </c>
      <c r="E60" s="5">
        <v>0.56</v>
      </c>
      <c r="F60" s="5">
        <v>-9.46</v>
      </c>
      <c r="G60" s="5">
        <v>-9.46</v>
      </c>
      <c r="H60" s="5">
        <v>13.41</v>
      </c>
      <c r="I60" s="5">
        <v>40.92</v>
      </c>
      <c r="J60" s="5">
        <v>41.59</v>
      </c>
      <c r="K60" s="3" t="s">
        <v>137</v>
      </c>
      <c r="L60" s="6">
        <f t="shared" si="1"/>
        <v>-0.0046</v>
      </c>
      <c r="M60" s="7">
        <f t="shared" si="2"/>
        <v>41.22965642</v>
      </c>
      <c r="N60" s="8">
        <f>VLOOKUP(A60,Total_de_acoes!A:B,2,0)</f>
        <v>255236961</v>
      </c>
      <c r="O60" s="9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24</v>
      </c>
      <c r="T60" s="10" t="str">
        <f t="shared" si="5"/>
        <v>Menos de 50</v>
      </c>
    </row>
    <row r="61" ht="15.75" customHeight="1">
      <c r="A61" s="11" t="s">
        <v>138</v>
      </c>
      <c r="B61" s="12">
        <v>45317.0</v>
      </c>
      <c r="C61" s="13">
        <v>23.23</v>
      </c>
      <c r="D61" s="13">
        <v>-0.47</v>
      </c>
      <c r="E61" s="13">
        <v>2.43</v>
      </c>
      <c r="F61" s="13">
        <v>2.07</v>
      </c>
      <c r="G61" s="13">
        <v>2.07</v>
      </c>
      <c r="H61" s="13">
        <v>50.65</v>
      </c>
      <c r="I61" s="13">
        <v>22.97</v>
      </c>
      <c r="J61" s="13">
        <v>23.4</v>
      </c>
      <c r="K61" s="11" t="s">
        <v>139</v>
      </c>
      <c r="L61" s="6">
        <f t="shared" si="1"/>
        <v>-0.0047</v>
      </c>
      <c r="M61" s="7">
        <f t="shared" si="2"/>
        <v>23.33969657</v>
      </c>
      <c r="N61" s="8">
        <f>VLOOKUP(A61,Total_de_acoes!A:B,2,0)</f>
        <v>1114412532</v>
      </c>
      <c r="O61" s="9">
        <f t="shared" si="3"/>
        <v>-122247236.7</v>
      </c>
      <c r="P61" s="10" t="str">
        <f t="shared" si="4"/>
        <v>Desceu</v>
      </c>
      <c r="Q61" s="10" t="str">
        <f>VLOOKUP(A61,Ticker!A:B,2,0)</f>
        <v>Vibra Energia</v>
      </c>
      <c r="R61" s="10" t="str">
        <f>VLOOKUP(Q61,chatgpt!A:C,2,0)</f>
        <v>Energia</v>
      </c>
      <c r="S61" s="10">
        <f>VLOOKUP(Q61,chatgpt!A:C,3,0)</f>
        <v>10</v>
      </c>
      <c r="T61" s="10" t="str">
        <f t="shared" si="5"/>
        <v>Menos de 50</v>
      </c>
    </row>
    <row r="62" ht="15.75" customHeight="1">
      <c r="A62" s="3" t="s">
        <v>140</v>
      </c>
      <c r="B62" s="4">
        <v>45317.0</v>
      </c>
      <c r="C62" s="5">
        <v>40.65</v>
      </c>
      <c r="D62" s="5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</v>
      </c>
      <c r="J62" s="5">
        <v>41.4</v>
      </c>
      <c r="K62" s="3" t="s">
        <v>141</v>
      </c>
      <c r="L62" s="6">
        <f t="shared" si="1"/>
        <v>-0.0065</v>
      </c>
      <c r="M62" s="7">
        <f t="shared" si="2"/>
        <v>40.9159537</v>
      </c>
      <c r="N62" s="8">
        <f>VLOOKUP(A62,Total_de_acoes!A:B,2,0)</f>
        <v>81838843</v>
      </c>
      <c r="O62" s="9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83</v>
      </c>
      <c r="T62" s="10" t="str">
        <f t="shared" si="5"/>
        <v>entre 50 e 100</v>
      </c>
    </row>
    <row r="63" ht="15.75" customHeight="1">
      <c r="A63" s="11" t="s">
        <v>142</v>
      </c>
      <c r="B63" s="12">
        <v>45317.0</v>
      </c>
      <c r="C63" s="13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1" t="s">
        <v>143</v>
      </c>
      <c r="L63" s="6">
        <f t="shared" si="1"/>
        <v>-0.0065</v>
      </c>
      <c r="M63" s="7">
        <f t="shared" si="2"/>
        <v>41.12732763</v>
      </c>
      <c r="N63" s="8">
        <f>VLOOKUP(A63,Total_de_acoes!A:B,2,0)</f>
        <v>1980568384</v>
      </c>
      <c r="O63" s="9">
        <f t="shared" si="3"/>
        <v>-529460651.3</v>
      </c>
      <c r="P63" s="10" t="str">
        <f t="shared" si="4"/>
        <v>Desceu</v>
      </c>
      <c r="Q63" s="10" t="str">
        <f>VLOOKUP(A63,Ticker!A:B,2,0)</f>
        <v>Eletrobras</v>
      </c>
      <c r="R63" s="10" t="str">
        <f>VLOOKUP(Q63,chatgpt!A:C,2,0)</f>
        <v>Energia</v>
      </c>
      <c r="S63" s="10">
        <f>VLOOKUP(Q63,chatgpt!A:C,3,0)</f>
        <v>59</v>
      </c>
      <c r="T63" s="10" t="str">
        <f t="shared" si="5"/>
        <v>entre 50 e 100</v>
      </c>
    </row>
    <row r="64" ht="15.75" customHeight="1">
      <c r="A64" s="3" t="s">
        <v>144</v>
      </c>
      <c r="B64" s="4">
        <v>45317.0</v>
      </c>
      <c r="C64" s="5">
        <v>3.4</v>
      </c>
      <c r="D64" s="5">
        <v>-0.87</v>
      </c>
      <c r="E64" s="5">
        <v>-4.23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3" t="s">
        <v>145</v>
      </c>
      <c r="L64" s="6">
        <f t="shared" si="1"/>
        <v>-0.0087</v>
      </c>
      <c r="M64" s="7">
        <f t="shared" si="2"/>
        <v>3.429839605</v>
      </c>
      <c r="N64" s="8">
        <f>VLOOKUP(A64,Total_de_acoes!A:B,2,0)</f>
        <v>309729428</v>
      </c>
      <c r="O64" s="9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8</v>
      </c>
      <c r="T64" s="10" t="str">
        <f t="shared" si="5"/>
        <v>Menos de 50</v>
      </c>
    </row>
    <row r="65" ht="15.75" customHeight="1">
      <c r="A65" s="11" t="s">
        <v>146</v>
      </c>
      <c r="B65" s="12">
        <v>45317.0</v>
      </c>
      <c r="C65" s="13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16.31</v>
      </c>
      <c r="K65" s="11" t="s">
        <v>147</v>
      </c>
      <c r="L65" s="6">
        <f t="shared" si="1"/>
        <v>-0.0093</v>
      </c>
      <c r="M65" s="7">
        <f t="shared" si="2"/>
        <v>16.05935197</v>
      </c>
      <c r="N65" s="8">
        <f>VLOOKUP(A65,Total_de_acoes!A:B,2,0)</f>
        <v>91514307</v>
      </c>
      <c r="O65" s="9">
        <f t="shared" si="3"/>
        <v>-13667842.34</v>
      </c>
      <c r="P65" s="10" t="str">
        <f t="shared" si="4"/>
        <v>Desceu</v>
      </c>
      <c r="Q65" s="10" t="str">
        <f>VLOOKUP(A65,Ticker!A:B,2,0)</f>
        <v>EZTEC</v>
      </c>
      <c r="R65" s="10" t="str">
        <f>VLOOKUP(Q65,chatgpt!A:C,2,0)</f>
        <v>Construção Civil</v>
      </c>
      <c r="S65" s="10">
        <f>VLOOKUP(Q65,chatgpt!A:C,3,0)</f>
        <v>43</v>
      </c>
      <c r="T65" s="10" t="str">
        <f t="shared" si="5"/>
        <v>Menos de 50</v>
      </c>
    </row>
    <row r="66" ht="15.75" customHeight="1">
      <c r="A66" s="3" t="s">
        <v>148</v>
      </c>
      <c r="B66" s="4">
        <v>45317.0</v>
      </c>
      <c r="C66" s="5">
        <v>16.49</v>
      </c>
      <c r="D66" s="5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16.4</v>
      </c>
      <c r="J66" s="5">
        <v>16.71</v>
      </c>
      <c r="K66" s="3" t="s">
        <v>91</v>
      </c>
      <c r="L66" s="6">
        <f t="shared" si="1"/>
        <v>-0.0107</v>
      </c>
      <c r="M66" s="7">
        <f t="shared" si="2"/>
        <v>16.66835136</v>
      </c>
      <c r="N66" s="8">
        <f>VLOOKUP(A66,Total_de_acoes!A:B,2,0)</f>
        <v>240822651</v>
      </c>
      <c r="O66" s="9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95</v>
      </c>
      <c r="T66" s="10" t="str">
        <f t="shared" si="5"/>
        <v>entre 50 e 100</v>
      </c>
    </row>
    <row r="67" ht="15.75" customHeight="1">
      <c r="A67" s="11" t="s">
        <v>149</v>
      </c>
      <c r="B67" s="12">
        <v>45317.0</v>
      </c>
      <c r="C67" s="13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1" t="s">
        <v>150</v>
      </c>
      <c r="L67" s="6">
        <f t="shared" si="1"/>
        <v>-0.0127</v>
      </c>
      <c r="M67" s="7">
        <f t="shared" si="2"/>
        <v>7.039400385</v>
      </c>
      <c r="N67" s="8">
        <f>VLOOKUP(A67,Total_de_acoes!A:B,2,0)</f>
        <v>496029967</v>
      </c>
      <c r="O67" s="9">
        <f t="shared" si="3"/>
        <v>-44345269.97</v>
      </c>
      <c r="P67" s="10" t="str">
        <f t="shared" si="4"/>
        <v>Desceu</v>
      </c>
      <c r="Q67" s="10" t="str">
        <f>VLOOKUP(A67,Ticker!A:B,2,0)</f>
        <v>Grupo Soma</v>
      </c>
      <c r="R67" s="10" t="str">
        <f>VLOOKUP(Q67,chatgpt!A:C,2,0)</f>
        <v>Diversificado</v>
      </c>
      <c r="S67" s="10">
        <f>VLOOKUP(Q67,chatgpt!A:C,3,0)</f>
        <v>46</v>
      </c>
      <c r="T67" s="10" t="str">
        <f t="shared" si="5"/>
        <v>Menos de 50</v>
      </c>
    </row>
    <row r="68" ht="15.75" customHeight="1">
      <c r="A68" s="3" t="s">
        <v>151</v>
      </c>
      <c r="B68" s="4">
        <v>45317.0</v>
      </c>
      <c r="C68" s="5">
        <v>8.67</v>
      </c>
      <c r="D68" s="5">
        <v>-1.36</v>
      </c>
      <c r="E68" s="5">
        <v>4.08</v>
      </c>
      <c r="F68" s="5">
        <v>-14.33</v>
      </c>
      <c r="G68" s="5">
        <v>-14.33</v>
      </c>
      <c r="H68" s="5">
        <v>-34.52</v>
      </c>
      <c r="I68" s="5">
        <v>8.62</v>
      </c>
      <c r="J68" s="5">
        <v>8.8</v>
      </c>
      <c r="K68" s="3" t="s">
        <v>152</v>
      </c>
      <c r="L68" s="6">
        <f t="shared" si="1"/>
        <v>-0.0136</v>
      </c>
      <c r="M68" s="7">
        <f t="shared" si="2"/>
        <v>8.789537713</v>
      </c>
      <c r="N68" s="8">
        <f>VLOOKUP(A68,Total_de_acoes!A:B,2,0)</f>
        <v>176733968</v>
      </c>
      <c r="O68" s="9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Vestuário</v>
      </c>
      <c r="S68" s="10">
        <f>VLOOKUP(Q68,chatgpt!A:C,3,0)</f>
        <v>103</v>
      </c>
      <c r="T68" s="10" t="str">
        <f t="shared" si="5"/>
        <v>Mais de 100 anos</v>
      </c>
    </row>
    <row r="69" ht="15.75" customHeight="1">
      <c r="A69" s="11" t="s">
        <v>153</v>
      </c>
      <c r="B69" s="12">
        <v>45317.0</v>
      </c>
      <c r="C69" s="13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1" t="s">
        <v>154</v>
      </c>
      <c r="L69" s="6">
        <f t="shared" si="1"/>
        <v>-0.0138</v>
      </c>
      <c r="M69" s="7">
        <f t="shared" si="2"/>
        <v>23.15960251</v>
      </c>
      <c r="N69" s="8">
        <f>VLOOKUP(A69,Total_de_acoes!A:B,2,0)</f>
        <v>265784616</v>
      </c>
      <c r="O69" s="9">
        <f t="shared" si="3"/>
        <v>-84945431.64</v>
      </c>
      <c r="P69" s="10" t="str">
        <f t="shared" si="4"/>
        <v>Desceu</v>
      </c>
      <c r="Q69" s="10" t="str">
        <f>VLOOKUP(A69,Ticker!A:B,2,0)</f>
        <v>Cyrela</v>
      </c>
      <c r="R69" s="10" t="str">
        <f>VLOOKUP(Q69,chatgpt!A:C,2,0)</f>
        <v>Construção Civil</v>
      </c>
      <c r="S69" s="10">
        <f>VLOOKUP(Q69,chatgpt!A:C,3,0)</f>
        <v>59</v>
      </c>
      <c r="T69" s="10" t="str">
        <f t="shared" si="5"/>
        <v>entre 50 e 100</v>
      </c>
    </row>
    <row r="70" ht="15.75" customHeight="1">
      <c r="A70" s="3" t="s">
        <v>155</v>
      </c>
      <c r="B70" s="4">
        <v>45317.0</v>
      </c>
      <c r="C70" s="5">
        <v>22.4</v>
      </c>
      <c r="D70" s="5">
        <v>-1.4</v>
      </c>
      <c r="E70" s="5">
        <v>5.02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3" t="s">
        <v>156</v>
      </c>
      <c r="L70" s="6">
        <f t="shared" si="1"/>
        <v>-0.014</v>
      </c>
      <c r="M70" s="7">
        <f t="shared" si="2"/>
        <v>22.71805274</v>
      </c>
      <c r="N70" s="8">
        <f>VLOOKUP(A70,Total_de_acoes!A:B,2,0)</f>
        <v>734632705</v>
      </c>
      <c r="O70" s="9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10">
        <f>VLOOKUP(Q70,chatgpt!A:C,3,0)</f>
        <v>53</v>
      </c>
      <c r="T70" s="10" t="str">
        <f t="shared" si="5"/>
        <v>entre 50 e 100</v>
      </c>
    </row>
    <row r="71" ht="15.75" customHeight="1">
      <c r="A71" s="11" t="s">
        <v>157</v>
      </c>
      <c r="B71" s="12">
        <v>45317.0</v>
      </c>
      <c r="C71" s="13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1" t="s">
        <v>158</v>
      </c>
      <c r="L71" s="6">
        <f t="shared" si="1"/>
        <v>-0.0141</v>
      </c>
      <c r="M71" s="7">
        <f t="shared" si="2"/>
        <v>16.1983974</v>
      </c>
      <c r="N71" s="8">
        <f>VLOOKUP(A71,Total_de_acoes!A:B,2,0)</f>
        <v>846244302</v>
      </c>
      <c r="O71" s="9">
        <f t="shared" si="3"/>
        <v>-193280001.2</v>
      </c>
      <c r="P71" s="10" t="str">
        <f t="shared" si="4"/>
        <v>Desceu</v>
      </c>
      <c r="Q71" s="10" t="str">
        <f>VLOOKUP(A71,Ticker!A:B,2,0)</f>
        <v>Natura</v>
      </c>
      <c r="R71" s="10" t="str">
        <f>VLOOKUP(Q71,chatgpt!A:C,2,0)</f>
        <v>Cosméticos</v>
      </c>
      <c r="S71" s="10">
        <f>VLOOKUP(Q71,chatgpt!A:C,3,0)</f>
        <v>56</v>
      </c>
      <c r="T71" s="10" t="str">
        <f t="shared" si="5"/>
        <v>entre 50 e 100</v>
      </c>
    </row>
    <row r="72" ht="15.75" customHeight="1">
      <c r="A72" s="3" t="s">
        <v>159</v>
      </c>
      <c r="B72" s="4">
        <v>45317.0</v>
      </c>
      <c r="C72" s="5">
        <v>13.8</v>
      </c>
      <c r="D72" s="5">
        <v>-1.42</v>
      </c>
      <c r="E72" s="5">
        <v>-3.5</v>
      </c>
      <c r="F72" s="5">
        <v>2.0</v>
      </c>
      <c r="G72" s="5">
        <v>2.0</v>
      </c>
      <c r="H72" s="5">
        <v>-34.02</v>
      </c>
      <c r="I72" s="5">
        <v>13.63</v>
      </c>
      <c r="J72" s="5">
        <v>14.0</v>
      </c>
      <c r="K72" s="3" t="s">
        <v>160</v>
      </c>
      <c r="L72" s="6">
        <f t="shared" si="1"/>
        <v>-0.0142</v>
      </c>
      <c r="M72" s="7">
        <f t="shared" si="2"/>
        <v>13.99878271</v>
      </c>
      <c r="N72" s="8">
        <f>VLOOKUP(A72,Total_de_acoes!A:B,2,0)</f>
        <v>1349217892</v>
      </c>
      <c r="O72" s="9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12</v>
      </c>
      <c r="T72" s="10" t="str">
        <f t="shared" si="5"/>
        <v>Menos de 50</v>
      </c>
    </row>
    <row r="73" ht="15.75" customHeight="1">
      <c r="A73" s="11" t="s">
        <v>161</v>
      </c>
      <c r="B73" s="12">
        <v>45317.0</v>
      </c>
      <c r="C73" s="13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1" t="s">
        <v>162</v>
      </c>
      <c r="L73" s="6">
        <f t="shared" si="1"/>
        <v>-0.0156</v>
      </c>
      <c r="M73" s="7">
        <f t="shared" si="2"/>
        <v>13.4295002</v>
      </c>
      <c r="N73" s="8">
        <f>VLOOKUP(A73,Total_de_acoes!A:B,2,0)</f>
        <v>5602790110</v>
      </c>
      <c r="O73" s="9">
        <f t="shared" si="3"/>
        <v>-1173785666</v>
      </c>
      <c r="P73" s="10" t="str">
        <f t="shared" si="4"/>
        <v>Desceu</v>
      </c>
      <c r="Q73" s="10" t="str">
        <f>VLOOKUP(A73,Ticker!A:B,2,0)</f>
        <v>B3</v>
      </c>
      <c r="R73" s="10" t="str">
        <f>VLOOKUP(Q73,chatgpt!A:C,2,0)</f>
        <v>Financeiro</v>
      </c>
      <c r="S73" s="10">
        <f>VLOOKUP(Q73,chatgpt!A:C,3,0)</f>
        <v>182</v>
      </c>
      <c r="T73" s="10" t="str">
        <f t="shared" si="5"/>
        <v>Mais de 100 anos</v>
      </c>
    </row>
    <row r="74" ht="15.75" customHeight="1">
      <c r="A74" s="3" t="s">
        <v>163</v>
      </c>
      <c r="B74" s="4">
        <v>45317.0</v>
      </c>
      <c r="C74" s="5">
        <v>31.08</v>
      </c>
      <c r="D74" s="5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3" t="s">
        <v>164</v>
      </c>
      <c r="L74" s="6">
        <f t="shared" si="1"/>
        <v>-0.0161</v>
      </c>
      <c r="M74" s="7">
        <f t="shared" si="2"/>
        <v>31.58857607</v>
      </c>
      <c r="N74" s="8">
        <f>VLOOKUP(A74,Total_de_acoes!A:B,2,0)</f>
        <v>409490388</v>
      </c>
      <c r="O74" s="9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Farmacêutico</v>
      </c>
      <c r="S74" s="10">
        <f>VLOOKUP(Q74,chatgpt!A:C,3,0)</f>
        <v>20</v>
      </c>
      <c r="T74" s="10" t="str">
        <f t="shared" si="5"/>
        <v>Menos de 50</v>
      </c>
    </row>
    <row r="75" ht="15.75" customHeight="1">
      <c r="A75" s="11" t="s">
        <v>165</v>
      </c>
      <c r="B75" s="12">
        <v>45317.0</v>
      </c>
      <c r="C75" s="13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</v>
      </c>
      <c r="I75" s="13">
        <v>28.13</v>
      </c>
      <c r="J75" s="13">
        <v>28.97</v>
      </c>
      <c r="K75" s="11" t="s">
        <v>166</v>
      </c>
      <c r="L75" s="6">
        <f t="shared" si="1"/>
        <v>-0.0194</v>
      </c>
      <c r="M75" s="7">
        <f t="shared" si="2"/>
        <v>28.75790332</v>
      </c>
      <c r="N75" s="8">
        <f>VLOOKUP(A75,Total_de_acoes!A:B,2,0)</f>
        <v>142377330</v>
      </c>
      <c r="O75" s="9">
        <f t="shared" si="3"/>
        <v>-79432785.74</v>
      </c>
      <c r="P75" s="10" t="str">
        <f t="shared" si="4"/>
        <v>Desceu</v>
      </c>
      <c r="Q75" s="10" t="str">
        <f>VLOOKUP(A75,Ticker!A:B,2,0)</f>
        <v>São Martinho</v>
      </c>
      <c r="R75" s="10" t="str">
        <f>VLOOKUP(Q75,chatgpt!A:C,2,0)</f>
        <v>Agronegócio</v>
      </c>
      <c r="S75" s="10">
        <f>VLOOKUP(Q75,chatgpt!A:C,3,0)</f>
        <v>89</v>
      </c>
      <c r="T75" s="10" t="str">
        <f t="shared" si="5"/>
        <v>entre 50 e 100</v>
      </c>
    </row>
    <row r="76" ht="15.75" customHeight="1">
      <c r="A76" s="3" t="s">
        <v>167</v>
      </c>
      <c r="B76" s="4">
        <v>45317.0</v>
      </c>
      <c r="C76" s="5">
        <v>3.93</v>
      </c>
      <c r="D76" s="5">
        <v>-1.99</v>
      </c>
      <c r="E76" s="5">
        <v>-2.24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4.06</v>
      </c>
      <c r="K76" s="3" t="s">
        <v>168</v>
      </c>
      <c r="L76" s="6">
        <f t="shared" si="1"/>
        <v>-0.0199</v>
      </c>
      <c r="M76" s="7">
        <f t="shared" si="2"/>
        <v>4.009794919</v>
      </c>
      <c r="N76" s="8">
        <f>VLOOKUP(A76,Total_de_acoes!A:B,2,0)</f>
        <v>4394332306</v>
      </c>
      <c r="O76" s="9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44</v>
      </c>
      <c r="T76" s="10" t="str">
        <f t="shared" si="5"/>
        <v>Menos de 50</v>
      </c>
    </row>
    <row r="77" ht="15.75" customHeight="1">
      <c r="A77" s="11" t="s">
        <v>169</v>
      </c>
      <c r="B77" s="12">
        <v>45317.0</v>
      </c>
      <c r="C77" s="13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1" t="s">
        <v>170</v>
      </c>
      <c r="L77" s="6">
        <f t="shared" si="1"/>
        <v>-0.0229</v>
      </c>
      <c r="M77" s="7">
        <f t="shared" si="2"/>
        <v>16.14983113</v>
      </c>
      <c r="N77" s="8">
        <f>VLOOKUP(A77,Total_de_acoes!A:B,2,0)</f>
        <v>951329770</v>
      </c>
      <c r="O77" s="9">
        <f t="shared" si="3"/>
        <v>-351831366.6</v>
      </c>
      <c r="P77" s="10" t="str">
        <f t="shared" si="4"/>
        <v>Desceu</v>
      </c>
      <c r="Q77" s="10" t="str">
        <f>VLOOKUP(A77,Ticker!A:B,2,0)</f>
        <v>Lojas Renner</v>
      </c>
      <c r="R77" s="10" t="str">
        <f>VLOOKUP(Q77,chatgpt!A:C,2,0)</f>
        <v>Varejo</v>
      </c>
      <c r="S77" s="10">
        <f>VLOOKUP(Q77,chatgpt!A:C,3,0)</f>
        <v>104</v>
      </c>
      <c r="T77" s="10" t="str">
        <f t="shared" si="5"/>
        <v>Mais de 100 anos</v>
      </c>
    </row>
    <row r="78" ht="15.75" customHeight="1">
      <c r="A78" s="3" t="s">
        <v>171</v>
      </c>
      <c r="B78" s="4">
        <v>45317.0</v>
      </c>
      <c r="C78" s="5">
        <v>10.71</v>
      </c>
      <c r="D78" s="5">
        <v>-2.45</v>
      </c>
      <c r="E78" s="5">
        <v>-9.47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3" t="s">
        <v>172</v>
      </c>
      <c r="L78" s="6">
        <f t="shared" si="1"/>
        <v>-0.0245</v>
      </c>
      <c r="M78" s="7">
        <f t="shared" si="2"/>
        <v>10.97898514</v>
      </c>
      <c r="N78" s="8">
        <f>VLOOKUP(A78,Total_de_acoes!A:B,2,0)</f>
        <v>533990587</v>
      </c>
      <c r="O78" s="9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44</v>
      </c>
      <c r="T78" s="10" t="str">
        <f t="shared" si="5"/>
        <v>Menos de 50</v>
      </c>
    </row>
    <row r="79" ht="15.75" customHeight="1">
      <c r="A79" s="11" t="s">
        <v>173</v>
      </c>
      <c r="B79" s="12">
        <v>45317.0</v>
      </c>
      <c r="C79" s="13">
        <v>8.7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8.95</v>
      </c>
      <c r="K79" s="11" t="s">
        <v>174</v>
      </c>
      <c r="L79" s="6">
        <f t="shared" si="1"/>
        <v>-0.0246</v>
      </c>
      <c r="M79" s="7">
        <f t="shared" si="2"/>
        <v>8.919417675</v>
      </c>
      <c r="N79" s="8">
        <f>VLOOKUP(A79,Total_de_acoes!A:B,2,0)</f>
        <v>94843047</v>
      </c>
      <c r="O79" s="9">
        <f t="shared" si="3"/>
        <v>-20810240.84</v>
      </c>
      <c r="P79" s="10" t="str">
        <f t="shared" si="4"/>
        <v>Desceu</v>
      </c>
      <c r="Q79" s="10" t="str">
        <f>VLOOKUP(A79,Ticker!A:B,2,0)</f>
        <v>Casas Bahia</v>
      </c>
      <c r="R79" s="10" t="str">
        <f>VLOOKUP(Q79,chatgpt!A:C,2,0)</f>
        <v>Varejo</v>
      </c>
      <c r="S79" s="10">
        <f>VLOOKUP(Q79,chatgpt!A:C,3,0)</f>
        <v>69</v>
      </c>
      <c r="T79" s="10" t="str">
        <f t="shared" si="5"/>
        <v>entre 50 e 100</v>
      </c>
    </row>
    <row r="80" ht="15.75" customHeight="1">
      <c r="A80" s="3" t="s">
        <v>175</v>
      </c>
      <c r="B80" s="4">
        <v>45317.0</v>
      </c>
      <c r="C80" s="5">
        <v>56.24</v>
      </c>
      <c r="D80" s="5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3" t="s">
        <v>176</v>
      </c>
      <c r="L80" s="6">
        <f t="shared" si="1"/>
        <v>-0.0363</v>
      </c>
      <c r="M80" s="7">
        <f t="shared" si="2"/>
        <v>58.35841029</v>
      </c>
      <c r="N80" s="8">
        <f>VLOOKUP(A80,Total_de_acoes!A:B,2,0)</f>
        <v>853202347</v>
      </c>
      <c r="O80" s="9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48</v>
      </c>
      <c r="T80" s="10" t="str">
        <f t="shared" si="5"/>
        <v>Menos de 50</v>
      </c>
    </row>
    <row r="81" ht="15.75" customHeight="1">
      <c r="A81" s="11" t="s">
        <v>177</v>
      </c>
      <c r="B81" s="12">
        <v>45317.0</v>
      </c>
      <c r="C81" s="13">
        <v>3.07</v>
      </c>
      <c r="D81" s="13">
        <v>-4.36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1" t="s">
        <v>178</v>
      </c>
      <c r="L81" s="6">
        <f t="shared" si="1"/>
        <v>-0.0436</v>
      </c>
      <c r="M81" s="7">
        <f t="shared" si="2"/>
        <v>3.209953994</v>
      </c>
      <c r="N81" s="8">
        <f>VLOOKUP(A81,Total_de_acoes!A:B,2,0)</f>
        <v>525582771</v>
      </c>
      <c r="O81" s="9">
        <f t="shared" si="3"/>
        <v>-73557408.06</v>
      </c>
      <c r="P81" s="10" t="str">
        <f t="shared" si="4"/>
        <v>Desceu</v>
      </c>
      <c r="Q81" s="10" t="str">
        <f>VLOOKUP(A81,Ticker!A:B,2,0)</f>
        <v>CVC</v>
      </c>
      <c r="R81" s="10" t="str">
        <f>VLOOKUP(Q81,chatgpt!A:C,2,0)</f>
        <v>Turismo</v>
      </c>
      <c r="S81" s="10">
        <f>VLOOKUP(Q81,chatgpt!A:C,3,0)</f>
        <v>48</v>
      </c>
      <c r="T81" s="10" t="str">
        <f t="shared" si="5"/>
        <v>Menos de 50</v>
      </c>
    </row>
    <row r="82" ht="15.75" customHeight="1">
      <c r="A82" s="3" t="s">
        <v>179</v>
      </c>
      <c r="B82" s="4">
        <v>45317.0</v>
      </c>
      <c r="C82" s="5">
        <v>5.92</v>
      </c>
      <c r="D82" s="5">
        <v>-8.07</v>
      </c>
      <c r="E82" s="5">
        <v>-15.91</v>
      </c>
      <c r="F82" s="5">
        <v>-34.0</v>
      </c>
      <c r="G82" s="5">
        <v>-34.0</v>
      </c>
      <c r="H82" s="5">
        <v>-25.44</v>
      </c>
      <c r="I82" s="5">
        <v>5.51</v>
      </c>
      <c r="J82" s="5">
        <v>6.02</v>
      </c>
      <c r="K82" s="3" t="s">
        <v>180</v>
      </c>
      <c r="L82" s="6">
        <f t="shared" si="1"/>
        <v>-0.0807</v>
      </c>
      <c r="M82" s="7">
        <f t="shared" si="2"/>
        <v>6.439682367</v>
      </c>
      <c r="N82" s="8">
        <f>VLOOKUP(A82,Total_de_acoes!A:B,2,0)</f>
        <v>198184909</v>
      </c>
      <c r="O82" s="9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Aéreo</v>
      </c>
      <c r="S82" s="10">
        <f>VLOOKUP(Q82,chatgpt!A:C,3,0)</f>
        <v>21</v>
      </c>
      <c r="T82" s="10" t="str">
        <f t="shared" si="5"/>
        <v>Menos de 50</v>
      </c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O83" s="15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O84" s="15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O85" s="15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O86" s="15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O87" s="15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O88" s="15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O89" s="15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O90" s="15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O91" s="15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O92" s="15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O93" s="15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O94" s="15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O95" s="15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O96" s="15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O97" s="15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O98" s="15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O99" s="15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O100" s="15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O101" s="15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O102" s="15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O103" s="15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O104" s="15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O105" s="15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O106" s="15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O107" s="15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O108" s="15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O109" s="15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O110" s="15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O111" s="15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O112" s="15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O113" s="15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O114" s="15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O115" s="15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O116" s="15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O117" s="15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O118" s="15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O119" s="15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O120" s="15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O121" s="15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O122" s="15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O123" s="15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O124" s="15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O125" s="15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O126" s="15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O127" s="15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O128" s="15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O129" s="15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O130" s="15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O131" s="15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O132" s="15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O133" s="15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O134" s="15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O135" s="15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O136" s="15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O137" s="15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O138" s="15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O139" s="15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O140" s="15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O141" s="15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O142" s="15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O143" s="15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O144" s="15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O145" s="15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O146" s="15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O147" s="15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O148" s="15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O149" s="15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O150" s="15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O151" s="15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O152" s="15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O153" s="15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O154" s="15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O155" s="15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O156" s="15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O157" s="15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O158" s="15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O159" s="15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O160" s="15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O161" s="15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O162" s="15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O163" s="15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O164" s="15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O165" s="15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O166" s="15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O167" s="15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O168" s="15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O169" s="15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O170" s="15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O171" s="15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O172" s="15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O173" s="15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O174" s="15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O175" s="15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O176" s="15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O177" s="15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O178" s="15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O179" s="15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O180" s="15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O181" s="15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O182" s="15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O183" s="15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O184" s="15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O185" s="15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O186" s="15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O187" s="15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O188" s="15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O189" s="15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O190" s="15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O191" s="15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O192" s="15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O193" s="15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O194" s="15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O195" s="15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O196" s="15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O197" s="15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O198" s="15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O199" s="15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O200" s="15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O201" s="15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O202" s="15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O203" s="15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O204" s="15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O205" s="15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O206" s="15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O207" s="15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O208" s="15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O209" s="15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O210" s="15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O211" s="15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O212" s="15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O213" s="15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O214" s="15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O215" s="15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O216" s="15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O217" s="15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O218" s="15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O219" s="15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O220" s="15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O221" s="15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O222" s="15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O223" s="15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O224" s="15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O225" s="15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O226" s="15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O227" s="15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O228" s="15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O229" s="15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O230" s="15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O231" s="15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O232" s="15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O233" s="15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O234" s="15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O235" s="15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O236" s="15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O237" s="15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O238" s="15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O239" s="15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O240" s="15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O241" s="15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O242" s="15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O243" s="15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O244" s="15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O245" s="15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O246" s="15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O247" s="15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O248" s="15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O249" s="15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O250" s="15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O251" s="15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O252" s="15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O253" s="15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O254" s="15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O255" s="15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O256" s="15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O257" s="15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O258" s="15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O259" s="15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O260" s="15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O261" s="15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O262" s="15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O263" s="15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O264" s="15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O265" s="15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O266" s="15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O267" s="15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O268" s="15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O269" s="15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O270" s="15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O271" s="15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O272" s="15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O273" s="15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O274" s="15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O275" s="15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O276" s="15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O277" s="15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O278" s="15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O279" s="15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O280" s="15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O281" s="15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O282" s="15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7.13"/>
    <col customWidth="1" min="3" max="3" width="18.88"/>
    <col customWidth="1" min="4" max="6" width="12.63"/>
  </cols>
  <sheetData>
    <row r="1">
      <c r="A1" s="17" t="s">
        <v>181</v>
      </c>
      <c r="B1" s="18">
        <f>MAX(Principal!O9)</f>
        <v>4762926995</v>
      </c>
      <c r="C1" s="10" t="str">
        <f>VLOOKUP(B1,Principal!O:R,3,0)</f>
        <v>Vale</v>
      </c>
    </row>
    <row r="2">
      <c r="A2" s="17" t="s">
        <v>182</v>
      </c>
      <c r="B2" s="18">
        <f>MIN(Principal!O:O)</f>
        <v>-1807432634</v>
      </c>
      <c r="C2" s="10" t="str">
        <f>VLOOKUP(B2,Principal!O:R,3,0)</f>
        <v>Localiza</v>
      </c>
    </row>
    <row r="3">
      <c r="A3" s="17" t="s">
        <v>183</v>
      </c>
      <c r="B3" s="18">
        <f>AVERAGE(Principal!O:O)</f>
        <v>165190210.5</v>
      </c>
    </row>
    <row r="4">
      <c r="A4" s="17" t="s">
        <v>184</v>
      </c>
      <c r="B4" s="19">
        <f>AVERAGEIF(Principal!P:P,"sUBIU",Principal!O:O)</f>
        <v>448164250.2</v>
      </c>
    </row>
    <row r="5">
      <c r="A5" s="17" t="s">
        <v>185</v>
      </c>
      <c r="B5" s="19">
        <f>AVERAGEIF(Principal!P:P,"Desceu",Principal!O:O)</f>
        <v>-181109141.8</v>
      </c>
    </row>
    <row r="6">
      <c r="A6" s="17"/>
    </row>
    <row r="7">
      <c r="A7" s="17"/>
    </row>
    <row r="8">
      <c r="A8" s="17"/>
    </row>
    <row r="9">
      <c r="A9" s="20" t="str">
        <f>IFERROR(__xludf.DUMMYFUNCTION("UNIQUE(Principal!R:R)"),"Segmento")</f>
        <v>Segmento</v>
      </c>
      <c r="B9" s="17" t="s">
        <v>186</v>
      </c>
      <c r="C9" s="17" t="s">
        <v>187</v>
      </c>
    </row>
    <row r="10">
      <c r="A10" s="10" t="str">
        <f>IFERROR(__xludf.DUMMYFUNCTION("""COMPUTED_VALUE"""),"Siderurgia")</f>
        <v>Siderurgia</v>
      </c>
      <c r="B10" s="19">
        <f>SUMIF(Principal!R:R,A10,Principal!O:O)</f>
        <v>489935930.9</v>
      </c>
      <c r="C10" s="19">
        <f>SUMIFS(Principal!O:O,Principal!R:R,A10,Principal!P:P,"Subiu")</f>
        <v>489935930.9</v>
      </c>
    </row>
    <row r="11">
      <c r="A11" s="10" t="str">
        <f>IFERROR(__xludf.DUMMYFUNCTION("""COMPUTED_VALUE"""),"Mineração")</f>
        <v>Mineração</v>
      </c>
      <c r="B11" s="19">
        <f>SUMIF(Principal!R:R,A11,Principal!O:O)</f>
        <v>4940442966</v>
      </c>
      <c r="C11" s="19">
        <f>SUMIFS(Principal!O:O,Principal!R:R,A11,Principal!P:P,"Subiu")</f>
        <v>4940442966</v>
      </c>
    </row>
    <row r="12">
      <c r="A12" s="10" t="str">
        <f>IFERROR(__xludf.DUMMYFUNCTION("""COMPUTED_VALUE"""),"Petróleo e Gás")</f>
        <v>Petróleo e Gás</v>
      </c>
      <c r="B12" s="19">
        <f>SUMIF(Principal!R:R,A12,Principal!O:O)</f>
        <v>6093288832</v>
      </c>
      <c r="C12" s="19">
        <f>SUMIFS(Principal!O:O,Principal!R:R,A12,Principal!P:P,"Subiu")</f>
        <v>6093288832</v>
      </c>
    </row>
    <row r="13">
      <c r="A13" s="10" t="str">
        <f>IFERROR(__xludf.DUMMYFUNCTION("""COMPUTED_VALUE"""),"Papel e Celulose")</f>
        <v>Papel e Celulose</v>
      </c>
      <c r="B13" s="19">
        <f>SUMIF(Principal!R:R,A13,Principal!O:O)</f>
        <v>722946282.7</v>
      </c>
      <c r="C13" s="19">
        <f>SUMIFS(Principal!O:O,Principal!R:R,A13,Principal!P:P,"Subiu")</f>
        <v>722946282.7</v>
      </c>
    </row>
    <row r="14">
      <c r="A14" s="10" t="str">
        <f>IFERROR(__xludf.DUMMYFUNCTION("""COMPUTED_VALUE"""),"Energia")</f>
        <v>Energia</v>
      </c>
      <c r="B14" s="19">
        <f>SUMIF(Principal!R:R,A14,Principal!O:O)</f>
        <v>-138670340</v>
      </c>
      <c r="C14" s="19">
        <f>SUMIFS(Principal!O:O,Principal!R:R,A14,Principal!P:P,"Subiu")</f>
        <v>821116399.6</v>
      </c>
    </row>
    <row r="15">
      <c r="A15" s="10" t="str">
        <f>IFERROR(__xludf.DUMMYFUNCTION("""COMPUTED_VALUE"""),"Imobiliário")</f>
        <v>Imobiliário</v>
      </c>
      <c r="B15" s="19">
        <f>SUMIF(Principal!R:R,A15,Principal!O:O)</f>
        <v>117732680.1</v>
      </c>
      <c r="C15" s="19">
        <f>SUMIFS(Principal!O:O,Principal!R:R,A15,Principal!P:P,"Subiu")</f>
        <v>117732680.1</v>
      </c>
    </row>
    <row r="16">
      <c r="A16" s="10" t="str">
        <f>IFERROR(__xludf.DUMMYFUNCTION("""COMPUTED_VALUE"""),"Financeiro")</f>
        <v>Financeiro</v>
      </c>
      <c r="B16" s="19">
        <f>SUMIF(Principal!R:R,A16,Principal!O:O)</f>
        <v>2982818597</v>
      </c>
      <c r="C16" s="19">
        <f>SUMIFS(Principal!O:O,Principal!R:R,A16,Principal!P:P,"Subiu")</f>
        <v>4156604263</v>
      </c>
    </row>
    <row r="17">
      <c r="A17" s="10" t="str">
        <f>IFERROR(__xludf.DUMMYFUNCTION("""COMPUTED_VALUE"""),"Saúde")</f>
        <v>Saúde</v>
      </c>
      <c r="B17" s="19">
        <f>SUMIF(Principal!R:R,A17,Principal!O:O)</f>
        <v>60321469.88</v>
      </c>
      <c r="C17" s="19">
        <f>SUMIFS(Principal!O:O,Principal!R:R,A17,Principal!P:P,"Subiu")</f>
        <v>453917907</v>
      </c>
    </row>
    <row r="18">
      <c r="A18" s="10" t="str">
        <f>IFERROR(__xludf.DUMMYFUNCTION("""COMPUTED_VALUE"""),"Químico")</f>
        <v>Químico</v>
      </c>
      <c r="B18" s="19">
        <f>SUMIF(Principal!R:R,A18,Principal!O:O)</f>
        <v>457759541.6</v>
      </c>
      <c r="C18" s="19">
        <f>SUMIFS(Principal!O:O,Principal!R:R,A18,Principal!P:P,"Subiu")</f>
        <v>457759541.6</v>
      </c>
    </row>
    <row r="19">
      <c r="A19" s="10" t="str">
        <f>IFERROR(__xludf.DUMMYFUNCTION("""COMPUTED_VALUE"""),"Transporte Aéreo")</f>
        <v>Transporte Aéreo</v>
      </c>
      <c r="B19" s="19">
        <f>SUMIF(Principal!R:R,A19,Principal!O:O)</f>
        <v>-37540997.06</v>
      </c>
      <c r="C19" s="19">
        <f>SUMIFS(Principal!O:O,Principal!R:R,A19,Principal!P:P,"Subiu")</f>
        <v>65452205.55</v>
      </c>
    </row>
    <row r="20">
      <c r="A20" s="10" t="str">
        <f>IFERROR(__xludf.DUMMYFUNCTION("""COMPUTED_VALUE"""),"Educação")</f>
        <v>Educação</v>
      </c>
      <c r="B20" s="19">
        <f>SUMIF(Principal!R:R,A20,Principal!O:O)</f>
        <v>54641872.47</v>
      </c>
      <c r="C20" s="19">
        <f>SUMIFS(Principal!O:O,Principal!R:R,A20,Principal!P:P,"Subiu")</f>
        <v>72295838.99</v>
      </c>
    </row>
    <row r="21" ht="15.75" customHeight="1">
      <c r="A21" s="10" t="str">
        <f>IFERROR(__xludf.DUMMYFUNCTION("""COMPUTED_VALUE"""),"Construção Civil")</f>
        <v>Construção Civil</v>
      </c>
      <c r="B21" s="19">
        <f>SUMIF(Principal!R:R,A21,Principal!O:O)</f>
        <v>-61087401.61</v>
      </c>
      <c r="C21" s="19">
        <f>SUMIFS(Principal!O:O,Principal!R:R,A21,Principal!P:P,"Subiu")</f>
        <v>37525872.38</v>
      </c>
    </row>
    <row r="22" ht="15.75" customHeight="1">
      <c r="A22" s="10" t="str">
        <f>IFERROR(__xludf.DUMMYFUNCTION("""COMPUTED_VALUE"""),"Varejo")</f>
        <v>Varejo</v>
      </c>
      <c r="B22" s="19">
        <f>SUMIF(Principal!R:R,A22,Principal!O:O)</f>
        <v>-515511735.5</v>
      </c>
      <c r="C22" s="19">
        <f>SUMIFS(Principal!O:O,Principal!R:R,A22,Principal!P:P,"Subiu")</f>
        <v>278208801.3</v>
      </c>
    </row>
    <row r="23" ht="15.75" customHeight="1">
      <c r="A23" s="10" t="str">
        <f>IFERROR(__xludf.DUMMYFUNCTION("""COMPUTED_VALUE"""),"Alimentos")</f>
        <v>Alimentos</v>
      </c>
      <c r="B23" s="19">
        <f>SUMIF(Principal!R:R,A23,Principal!O:O)</f>
        <v>407833683.1</v>
      </c>
      <c r="C23" s="19">
        <f>SUMIFS(Principal!O:O,Principal!R:R,A23,Principal!P:P,"Subiu")</f>
        <v>407833683.1</v>
      </c>
    </row>
    <row r="24" ht="15.75" customHeight="1">
      <c r="A24" s="10" t="str">
        <f>IFERROR(__xludf.DUMMYFUNCTION("""COMPUTED_VALUE"""),"Telecomunicações")</f>
        <v>Telecomunicações</v>
      </c>
      <c r="B24" s="19">
        <f>SUMIF(Principal!R:R,A24,Principal!O:O)</f>
        <v>292938114.4</v>
      </c>
      <c r="C24" s="19">
        <f>SUMIFS(Principal!O:O,Principal!R:R,A24,Principal!P:P,"Subiu")</f>
        <v>292938114.4</v>
      </c>
    </row>
    <row r="25" ht="15.75" customHeight="1">
      <c r="A25" s="10" t="str">
        <f>IFERROR(__xludf.DUMMYFUNCTION("""COMPUTED_VALUE"""),"Logística")</f>
        <v>Logística</v>
      </c>
      <c r="B25" s="19">
        <f>SUMIF(Principal!R:R,A25,Principal!O:O)</f>
        <v>233902674.8</v>
      </c>
      <c r="C25" s="19">
        <f>SUMIFS(Principal!O:O,Principal!R:R,A25,Principal!P:P,"Subiu")</f>
        <v>233902674.8</v>
      </c>
    </row>
    <row r="26" ht="15.75" customHeight="1">
      <c r="A26" s="10" t="str">
        <f>IFERROR(__xludf.DUMMYFUNCTION("""COMPUTED_VALUE"""),"Serviços Financeiros")</f>
        <v>Serviços Financeiros</v>
      </c>
      <c r="B26" s="19">
        <f>SUMIF(Principal!R:R,A26,Principal!O:O)</f>
        <v>43657683.38</v>
      </c>
      <c r="C26" s="19">
        <f>SUMIFS(Principal!O:O,Principal!R:R,A26,Principal!P:P,"Subiu")</f>
        <v>43657683.38</v>
      </c>
    </row>
    <row r="27" ht="15.75" customHeight="1">
      <c r="A27" s="10" t="str">
        <f>IFERROR(__xludf.DUMMYFUNCTION("""COMPUTED_VALUE"""),"Diversificado")</f>
        <v>Diversificado</v>
      </c>
      <c r="B27" s="19">
        <f>SUMIF(Principal!R:R,A27,Principal!O:O)</f>
        <v>-26276823.36</v>
      </c>
      <c r="C27" s="19">
        <f>SUMIFS(Principal!O:O,Principal!R:R,A27,Principal!P:P,"Subiu")</f>
        <v>18068446.61</v>
      </c>
    </row>
    <row r="28" ht="15.75" customHeight="1">
      <c r="A28" s="10" t="str">
        <f>IFERROR(__xludf.DUMMYFUNCTION("""COMPUTED_VALUE"""),"Tecnologia")</f>
        <v>Tecnologia</v>
      </c>
      <c r="B28" s="19">
        <f>SUMIF(Principal!R:R,A28,Principal!O:O)</f>
        <v>-30752043.43</v>
      </c>
      <c r="C28" s="19">
        <f>SUMIFS(Principal!O:O,Principal!R:R,A28,Principal!P:P,"Subiu")</f>
        <v>15598886.65</v>
      </c>
    </row>
    <row r="29" ht="15.75" customHeight="1">
      <c r="A29" s="10" t="str">
        <f>IFERROR(__xludf.DUMMYFUNCTION("""COMPUTED_VALUE"""),"Bebidas")</f>
        <v>Bebidas</v>
      </c>
      <c r="B29" s="19">
        <f>SUMIF(Principal!R:R,A29,Principal!O:O)</f>
        <v>0</v>
      </c>
      <c r="C29" s="19">
        <f>SUMIFS(Principal!O:O,Principal!R:R,A29,Principal!P:P,"Subiu")</f>
        <v>0</v>
      </c>
    </row>
    <row r="30" ht="15.75" customHeight="1">
      <c r="A30" s="10" t="str">
        <f>IFERROR(__xludf.DUMMYFUNCTION("""COMPUTED_VALUE"""),"Seguros")</f>
        <v>Seguros</v>
      </c>
      <c r="B30" s="19">
        <f>SUMIF(Principal!R:R,A30,Principal!O:O)</f>
        <v>-26297880.21</v>
      </c>
      <c r="C30" s="19">
        <f>SUMIFS(Principal!O:O,Principal!R:R,A30,Principal!P:P,"Subiu")</f>
        <v>0</v>
      </c>
    </row>
    <row r="31" ht="15.75" customHeight="1">
      <c r="A31" s="10" t="str">
        <f>IFERROR(__xludf.DUMMYFUNCTION("""COMPUTED_VALUE"""),"Saneamento")</f>
        <v>Saneamento</v>
      </c>
      <c r="B31" s="19">
        <f>SUMIF(Principal!R:R,A31,Principal!O:O)</f>
        <v>-15725678.56</v>
      </c>
      <c r="C31" s="19">
        <f>SUMIFS(Principal!O:O,Principal!R:R,A31,Principal!P:P,"Subiu")</f>
        <v>0</v>
      </c>
    </row>
    <row r="32" ht="15.75" customHeight="1">
      <c r="A32" s="10" t="str">
        <f>IFERROR(__xludf.DUMMYFUNCTION("""COMPUTED_VALUE"""),"Agronegócio")</f>
        <v>Agronegócio</v>
      </c>
      <c r="B32" s="19">
        <f>SUMIF(Principal!R:R,A32,Principal!O:O)</f>
        <v>-88901449.42</v>
      </c>
      <c r="C32" s="19">
        <f>SUMIFS(Principal!O:O,Principal!R:R,A32,Principal!P:P,"Subiu")</f>
        <v>0</v>
      </c>
    </row>
    <row r="33" ht="15.75" customHeight="1">
      <c r="A33" s="10" t="str">
        <f>IFERROR(__xludf.DUMMYFUNCTION("""COMPUTED_VALUE"""),"Infraestrutura")</f>
        <v>Infraestrutura</v>
      </c>
      <c r="B33" s="19">
        <f>SUMIF(Principal!R:R,A33,Principal!O:O)</f>
        <v>-39743554.31</v>
      </c>
      <c r="C33" s="19">
        <f>SUMIFS(Principal!O:O,Principal!R:R,A33,Principal!P:P,"Subiu")</f>
        <v>0</v>
      </c>
    </row>
    <row r="34" ht="15.75" customHeight="1">
      <c r="A34" s="10" t="str">
        <f>IFERROR(__xludf.DUMMYFUNCTION("""COMPUTED_VALUE"""),"Vestuário")</f>
        <v>Vestuário</v>
      </c>
      <c r="B34" s="19">
        <f>SUMIF(Principal!R:R,A34,Principal!O:O)</f>
        <v>-21126374.33</v>
      </c>
      <c r="C34" s="19">
        <f>SUMIFS(Principal!O:O,Principal!R:R,A34,Principal!P:P,"Subiu")</f>
        <v>0</v>
      </c>
    </row>
    <row r="35" ht="15.75" customHeight="1">
      <c r="A35" s="10" t="str">
        <f>IFERROR(__xludf.DUMMYFUNCTION("""COMPUTED_VALUE"""),"Aeroespacial")</f>
        <v>Aeroespacial</v>
      </c>
      <c r="B35" s="19">
        <f>SUMIF(Principal!R:R,A35,Principal!O:O)</f>
        <v>-233651943.5</v>
      </c>
      <c r="C35" s="19">
        <f>SUMIFS(Principal!O:O,Principal!R:R,A35,Principal!P:P,"Subiu")</f>
        <v>0</v>
      </c>
    </row>
    <row r="36" ht="15.75" customHeight="1">
      <c r="A36" s="10" t="str">
        <f>IFERROR(__xludf.DUMMYFUNCTION("""COMPUTED_VALUE"""),"Cosméticos")</f>
        <v>Cosméticos</v>
      </c>
      <c r="B36" s="19">
        <f>SUMIF(Principal!R:R,A36,Principal!O:O)</f>
        <v>-193280001.2</v>
      </c>
      <c r="C36" s="19">
        <f>SUMIFS(Principal!O:O,Principal!R:R,A36,Principal!P:P,"Subiu")</f>
        <v>0</v>
      </c>
    </row>
    <row r="37" ht="15.75" customHeight="1">
      <c r="A37" s="10" t="str">
        <f>IFERROR(__xludf.DUMMYFUNCTION("""COMPUTED_VALUE"""),"Farmacêutico")</f>
        <v>Farmacêutico</v>
      </c>
      <c r="B37" s="19">
        <f>SUMIF(Principal!R:R,A37,Principal!O:O)</f>
        <v>-208257014.2</v>
      </c>
      <c r="C37" s="19">
        <f>SUMIFS(Principal!O:O,Principal!R:R,A37,Principal!P:P,"Subiu")</f>
        <v>0</v>
      </c>
    </row>
    <row r="38" ht="15.75" customHeight="1">
      <c r="A38" s="10" t="str">
        <f>IFERROR(__xludf.DUMMYFUNCTION("""COMPUTED_VALUE"""),"Aluguel de Carros")</f>
        <v>Aluguel de Carros</v>
      </c>
      <c r="B38" s="19">
        <f>SUMIF(Principal!R:R,A38,Principal!O:O)</f>
        <v>-1807432634</v>
      </c>
      <c r="C38" s="19">
        <f>SUMIFS(Principal!O:O,Principal!R:R,A38,Principal!P:P,"Subiu")</f>
        <v>0</v>
      </c>
    </row>
    <row r="39" ht="15.75" customHeight="1">
      <c r="A39" s="10" t="str">
        <f>IFERROR(__xludf.DUMMYFUNCTION("""COMPUTED_VALUE"""),"Turismo")</f>
        <v>Turismo</v>
      </c>
      <c r="B39" s="19">
        <f>SUMIF(Principal!R:R,A39,Principal!O:O)</f>
        <v>-73557408.06</v>
      </c>
      <c r="C39" s="19">
        <f>SUMIFS(Principal!O:O,Principal!R:R,A39,Principal!P:P,"Subiu")</f>
        <v>0</v>
      </c>
    </row>
    <row r="40" ht="15.75" customHeight="1">
      <c r="A40" s="17"/>
    </row>
    <row r="41" ht="15.75" customHeight="1">
      <c r="A41" s="17"/>
    </row>
    <row r="42" ht="15.75" customHeight="1">
      <c r="A42" s="17"/>
    </row>
    <row r="43" ht="15.75" customHeight="1">
      <c r="A43" s="17"/>
    </row>
    <row r="44" ht="15.75" customHeight="1">
      <c r="A44" s="17"/>
    </row>
    <row r="45" ht="15.75" customHeight="1">
      <c r="A45" s="17"/>
    </row>
    <row r="46" ht="15.75" customHeight="1">
      <c r="A46" s="17"/>
    </row>
    <row r="47" ht="15.75" customHeight="1">
      <c r="A47" s="17"/>
    </row>
    <row r="48" ht="15.75" customHeight="1">
      <c r="A48" s="17"/>
    </row>
    <row r="49" ht="15.75" customHeight="1">
      <c r="A49" s="17"/>
    </row>
    <row r="50" ht="15.75" customHeight="1">
      <c r="A50" s="17" t="str">
        <f>IFERROR(__xludf.DUMMYFUNCTION("UNIQUE(Principal!P:P)"),"Resultado")</f>
        <v>Resultado</v>
      </c>
      <c r="B50" s="17" t="s">
        <v>14</v>
      </c>
    </row>
    <row r="51" ht="15.75" customHeight="1">
      <c r="A51" s="10" t="str">
        <f>IFERROR(__xludf.DUMMYFUNCTION("""COMPUTED_VALUE"""),"Subiu")</f>
        <v>Subiu</v>
      </c>
      <c r="B51" s="19">
        <f>SUMIF(Principal!P:P,A51,Principal!O:O)</f>
        <v>19719227010</v>
      </c>
    </row>
    <row r="52" ht="15.75" customHeight="1">
      <c r="A52" s="10" t="str">
        <f>IFERROR(__xludf.DUMMYFUNCTION("""COMPUTED_VALUE"""),"Estável")</f>
        <v>Estável</v>
      </c>
      <c r="B52" s="19">
        <f>SUMIF(Principal!P:P,A52,Principal!O:O)</f>
        <v>0</v>
      </c>
    </row>
    <row r="53" ht="15.75" customHeight="1">
      <c r="A53" s="10" t="str">
        <f>IFERROR(__xludf.DUMMYFUNCTION("""COMPUTED_VALUE"""),"Desceu")</f>
        <v>Desceu</v>
      </c>
      <c r="B53" s="19">
        <f>SUMIF(Principal!P:P,A53,Principal!O:O)</f>
        <v>-6338819961</v>
      </c>
    </row>
    <row r="54" ht="15.75" customHeight="1">
      <c r="A54" s="17"/>
    </row>
    <row r="55" ht="15.75" customHeight="1">
      <c r="A55" s="17"/>
    </row>
    <row r="56" ht="15.75" customHeight="1">
      <c r="A56" s="17"/>
    </row>
    <row r="57" ht="15.75" customHeight="1">
      <c r="A57" s="17"/>
    </row>
    <row r="58" ht="15.75" customHeight="1">
      <c r="A58" s="17" t="s">
        <v>188</v>
      </c>
      <c r="B58" s="17" t="s">
        <v>14</v>
      </c>
      <c r="C58" s="17" t="s">
        <v>189</v>
      </c>
    </row>
    <row r="59" ht="15.75" customHeight="1">
      <c r="A59" s="10" t="str">
        <f>IFERROR(__xludf.DUMMYFUNCTION("UNIQUE(Principal!T2:T82)"),"entre 50 e 100")</f>
        <v>entre 50 e 100</v>
      </c>
      <c r="B59" s="19">
        <f>SUMIF(Principal!T:T,A59,Principal!O:O)</f>
        <v>12402456047</v>
      </c>
      <c r="C59" s="10">
        <f>COUNTIF(Principal!T:T,A59)</f>
        <v>30</v>
      </c>
    </row>
    <row r="60" ht="15.75" customHeight="1">
      <c r="A60" s="10" t="str">
        <f>IFERROR(__xludf.DUMMYFUNCTION("""COMPUTED_VALUE"""),"Menos de 50")</f>
        <v>Menos de 50</v>
      </c>
      <c r="B60" s="19">
        <f>SUMIF(Principal!T:T,A60,Principal!O:O)</f>
        <v>1532190678</v>
      </c>
      <c r="C60" s="10">
        <f>COUNTIF(Principal!T:T,A60)</f>
        <v>43</v>
      </c>
    </row>
    <row r="61" ht="15.75" customHeight="1">
      <c r="A61" s="10" t="str">
        <f>IFERROR(__xludf.DUMMYFUNCTION("""COMPUTED_VALUE"""),"Mais de 100 anos")</f>
        <v>Mais de 100 anos</v>
      </c>
      <c r="B61" s="19">
        <f>SUMIF(Principal!T:T,A61,Principal!O:O)</f>
        <v>-554239676.5</v>
      </c>
      <c r="C61" s="10">
        <f>COUNTIF(Principal!T:T,A61)</f>
        <v>8</v>
      </c>
    </row>
    <row r="62" ht="15.75" customHeight="1">
      <c r="A62" s="17"/>
    </row>
    <row r="63" ht="15.75" customHeight="1">
      <c r="A63" s="17"/>
    </row>
    <row r="64" ht="15.75" customHeight="1">
      <c r="A64" s="17"/>
    </row>
    <row r="65" ht="15.75" customHeight="1">
      <c r="A65" s="17"/>
    </row>
    <row r="66" ht="15.75" customHeight="1">
      <c r="A66" s="17"/>
    </row>
    <row r="67" ht="15.75" customHeight="1">
      <c r="A67" s="17"/>
    </row>
    <row r="68" ht="15.75" customHeight="1">
      <c r="A68" s="17"/>
    </row>
    <row r="69" ht="15.75" customHeight="1">
      <c r="A69" s="17"/>
    </row>
    <row r="70" ht="15.75" customHeight="1">
      <c r="A70" s="17"/>
    </row>
    <row r="71" ht="15.75" customHeight="1">
      <c r="A71" s="17"/>
    </row>
    <row r="72" ht="15.75" customHeight="1">
      <c r="A72" s="17"/>
    </row>
    <row r="73" ht="15.75" customHeight="1">
      <c r="A73" s="17"/>
    </row>
    <row r="74" ht="15.75" customHeight="1">
      <c r="A74" s="17"/>
    </row>
    <row r="75" ht="15.75" customHeight="1">
      <c r="A75" s="17"/>
    </row>
    <row r="76" ht="15.75" customHeight="1">
      <c r="A76" s="17"/>
    </row>
    <row r="77" ht="15.75" customHeight="1">
      <c r="A77" s="17"/>
    </row>
    <row r="78" ht="15.75" customHeight="1">
      <c r="A78" s="17"/>
    </row>
    <row r="79" ht="15.75" customHeight="1">
      <c r="A79" s="17"/>
    </row>
    <row r="80" ht="15.75" customHeight="1">
      <c r="A80" s="17"/>
    </row>
    <row r="81" ht="15.75" customHeight="1">
      <c r="A81" s="17"/>
    </row>
    <row r="82" ht="15.75" customHeight="1">
      <c r="A82" s="17"/>
    </row>
    <row r="83" ht="15.75" customHeight="1">
      <c r="A83" s="17"/>
    </row>
    <row r="84" ht="15.75" customHeight="1">
      <c r="A84" s="17"/>
    </row>
    <row r="85" ht="15.75" customHeight="1">
      <c r="A85" s="17"/>
    </row>
    <row r="86" ht="15.75" customHeight="1">
      <c r="A86" s="17"/>
    </row>
    <row r="87" ht="15.75" customHeight="1">
      <c r="A87" s="17"/>
    </row>
    <row r="88" ht="15.75" customHeight="1">
      <c r="A88" s="17"/>
    </row>
    <row r="89" ht="15.75" customHeight="1">
      <c r="A89" s="17"/>
    </row>
    <row r="90" ht="15.75" customHeight="1">
      <c r="A90" s="17"/>
    </row>
    <row r="91" ht="15.75" customHeight="1">
      <c r="A91" s="17"/>
    </row>
    <row r="92" ht="15.75" customHeight="1">
      <c r="A92" s="17"/>
    </row>
    <row r="93" ht="15.75" customHeight="1">
      <c r="A93" s="17"/>
    </row>
    <row r="94" ht="15.75" customHeight="1">
      <c r="A94" s="17"/>
    </row>
    <row r="95" ht="15.75" customHeight="1">
      <c r="A95" s="17"/>
    </row>
    <row r="96" ht="15.75" customHeight="1">
      <c r="A96" s="17"/>
    </row>
    <row r="97" ht="15.75" customHeight="1">
      <c r="A97" s="17"/>
    </row>
    <row r="98" ht="15.75" customHeight="1">
      <c r="A98" s="17"/>
    </row>
    <row r="99" ht="15.75" customHeight="1">
      <c r="A99" s="17"/>
    </row>
    <row r="100" ht="15.75" customHeight="1">
      <c r="A100" s="17"/>
    </row>
    <row r="101" ht="15.75" customHeight="1">
      <c r="A101" s="17"/>
    </row>
    <row r="102" ht="15.75" customHeight="1">
      <c r="A102" s="17"/>
    </row>
    <row r="103" ht="15.75" customHeight="1">
      <c r="A103" s="17"/>
    </row>
    <row r="104" ht="15.75" customHeight="1">
      <c r="A104" s="17"/>
    </row>
    <row r="105" ht="15.75" customHeight="1">
      <c r="A105" s="17"/>
    </row>
    <row r="106" ht="15.75" customHeight="1">
      <c r="A106" s="17"/>
    </row>
    <row r="107" ht="15.75" customHeight="1">
      <c r="A107" s="17"/>
    </row>
    <row r="108" ht="15.75" customHeight="1">
      <c r="A108" s="17"/>
    </row>
    <row r="109" ht="15.75" customHeight="1">
      <c r="A109" s="17"/>
    </row>
    <row r="110" ht="15.75" customHeight="1">
      <c r="A110" s="17"/>
    </row>
    <row r="111" ht="15.75" customHeight="1">
      <c r="A111" s="17"/>
    </row>
    <row r="112" ht="15.75" customHeight="1">
      <c r="A112" s="17"/>
    </row>
    <row r="113" ht="15.75" customHeight="1">
      <c r="A113" s="17"/>
    </row>
    <row r="114" ht="15.75" customHeight="1">
      <c r="A114" s="17"/>
    </row>
    <row r="115" ht="15.75" customHeight="1">
      <c r="A115" s="17"/>
    </row>
    <row r="116" ht="15.75" customHeight="1">
      <c r="A116" s="17"/>
    </row>
    <row r="117" ht="15.75" customHeight="1">
      <c r="A117" s="17"/>
    </row>
    <row r="118" ht="15.75" customHeight="1">
      <c r="A118" s="17"/>
    </row>
    <row r="119" ht="15.75" customHeight="1">
      <c r="A119" s="17"/>
    </row>
    <row r="120" ht="15.75" customHeight="1">
      <c r="A120" s="17"/>
    </row>
    <row r="121" ht="15.75" customHeight="1">
      <c r="A121" s="17"/>
    </row>
    <row r="122" ht="15.75" customHeight="1">
      <c r="A122" s="17"/>
    </row>
    <row r="123" ht="15.75" customHeight="1">
      <c r="A123" s="17"/>
    </row>
    <row r="124" ht="15.75" customHeight="1">
      <c r="A124" s="17"/>
    </row>
    <row r="125" ht="15.75" customHeight="1">
      <c r="A125" s="17"/>
    </row>
    <row r="126" ht="15.75" customHeight="1">
      <c r="A126" s="17"/>
    </row>
    <row r="127" ht="15.75" customHeight="1">
      <c r="A127" s="17"/>
    </row>
    <row r="128" ht="15.75" customHeight="1">
      <c r="A128" s="17"/>
    </row>
    <row r="129" ht="15.75" customHeight="1">
      <c r="A129" s="17"/>
    </row>
    <row r="130" ht="15.75" customHeight="1">
      <c r="A130" s="17"/>
    </row>
    <row r="131" ht="15.75" customHeight="1">
      <c r="A131" s="17"/>
    </row>
    <row r="132" ht="15.75" customHeight="1">
      <c r="A132" s="17"/>
    </row>
    <row r="133" ht="15.75" customHeight="1">
      <c r="A133" s="17"/>
    </row>
    <row r="134" ht="15.75" customHeight="1">
      <c r="A134" s="17"/>
    </row>
    <row r="135" ht="15.75" customHeight="1">
      <c r="A135" s="17"/>
    </row>
    <row r="136" ht="15.75" customHeight="1">
      <c r="A136" s="17"/>
    </row>
    <row r="137" ht="15.75" customHeight="1">
      <c r="A137" s="17"/>
    </row>
    <row r="138" ht="15.75" customHeight="1">
      <c r="A138" s="17"/>
    </row>
    <row r="139" ht="15.75" customHeight="1">
      <c r="A139" s="17"/>
    </row>
    <row r="140" ht="15.75" customHeight="1">
      <c r="A140" s="17"/>
    </row>
    <row r="141" ht="15.75" customHeight="1">
      <c r="A141" s="17"/>
    </row>
    <row r="142" ht="15.75" customHeight="1">
      <c r="A142" s="17"/>
    </row>
    <row r="143" ht="15.75" customHeight="1">
      <c r="A143" s="17"/>
    </row>
    <row r="144" ht="15.75" customHeight="1">
      <c r="A144" s="17"/>
    </row>
    <row r="145" ht="15.75" customHeight="1">
      <c r="A145" s="17"/>
    </row>
    <row r="146" ht="15.75" customHeight="1">
      <c r="A146" s="17"/>
    </row>
    <row r="147" ht="15.75" customHeight="1">
      <c r="A147" s="17"/>
    </row>
    <row r="148" ht="15.75" customHeight="1">
      <c r="A148" s="17"/>
    </row>
    <row r="149" ht="15.75" customHeight="1">
      <c r="A149" s="17"/>
    </row>
    <row r="150" ht="15.75" customHeight="1">
      <c r="A150" s="17"/>
    </row>
    <row r="151" ht="15.75" customHeight="1">
      <c r="A151" s="17"/>
    </row>
    <row r="152" ht="15.75" customHeight="1">
      <c r="A152" s="17"/>
    </row>
    <row r="153" ht="15.75" customHeight="1">
      <c r="A153" s="17"/>
    </row>
    <row r="154" ht="15.75" customHeight="1">
      <c r="A154" s="17"/>
    </row>
    <row r="155" ht="15.75" customHeight="1">
      <c r="A155" s="17"/>
    </row>
    <row r="156" ht="15.75" customHeight="1">
      <c r="A156" s="17"/>
    </row>
    <row r="157" ht="15.75" customHeight="1">
      <c r="A157" s="17"/>
    </row>
    <row r="158" ht="15.75" customHeight="1">
      <c r="A158" s="17"/>
    </row>
    <row r="159" ht="15.75" customHeight="1">
      <c r="A159" s="17"/>
    </row>
    <row r="160" ht="15.75" customHeight="1">
      <c r="A160" s="17"/>
    </row>
    <row r="161" ht="15.75" customHeight="1">
      <c r="A161" s="17"/>
    </row>
    <row r="162" ht="15.75" customHeight="1">
      <c r="A162" s="17"/>
    </row>
    <row r="163" ht="15.75" customHeight="1">
      <c r="A163" s="17"/>
    </row>
    <row r="164" ht="15.75" customHeight="1">
      <c r="A164" s="17"/>
    </row>
    <row r="165" ht="15.75" customHeight="1">
      <c r="A165" s="17"/>
    </row>
    <row r="166" ht="15.75" customHeight="1">
      <c r="A166" s="17"/>
    </row>
    <row r="167" ht="15.75" customHeight="1">
      <c r="A167" s="17"/>
    </row>
    <row r="168" ht="15.75" customHeight="1">
      <c r="A168" s="17"/>
    </row>
    <row r="169" ht="15.75" customHeight="1">
      <c r="A169" s="17"/>
    </row>
    <row r="170" ht="15.75" customHeight="1">
      <c r="A170" s="17"/>
    </row>
    <row r="171" ht="15.75" customHeight="1">
      <c r="A171" s="17"/>
    </row>
    <row r="172" ht="15.75" customHeight="1">
      <c r="A172" s="17"/>
    </row>
    <row r="173" ht="15.75" customHeight="1">
      <c r="A173" s="17"/>
    </row>
    <row r="174" ht="15.75" customHeight="1">
      <c r="A174" s="17"/>
    </row>
    <row r="175" ht="15.75" customHeight="1">
      <c r="A175" s="17"/>
    </row>
    <row r="176" ht="15.75" customHeight="1">
      <c r="A176" s="17"/>
    </row>
    <row r="177" ht="15.75" customHeight="1">
      <c r="A177" s="17"/>
    </row>
    <row r="178" ht="15.75" customHeight="1">
      <c r="A178" s="17"/>
    </row>
    <row r="179" ht="15.75" customHeight="1">
      <c r="A179" s="17"/>
    </row>
    <row r="180" ht="15.75" customHeight="1">
      <c r="A180" s="17"/>
    </row>
    <row r="181" ht="15.75" customHeight="1">
      <c r="A181" s="17"/>
    </row>
    <row r="182" ht="15.75" customHeight="1">
      <c r="A182" s="17"/>
    </row>
    <row r="183" ht="15.75" customHeight="1">
      <c r="A183" s="17"/>
    </row>
    <row r="184" ht="15.75" customHeight="1">
      <c r="A184" s="17"/>
    </row>
    <row r="185" ht="15.75" customHeight="1">
      <c r="A185" s="17"/>
    </row>
    <row r="186" ht="15.75" customHeight="1">
      <c r="A186" s="17"/>
    </row>
    <row r="187" ht="15.75" customHeight="1">
      <c r="A187" s="17"/>
    </row>
    <row r="188" ht="15.75" customHeight="1">
      <c r="A188" s="17"/>
    </row>
    <row r="189" ht="15.75" customHeight="1">
      <c r="A189" s="17"/>
    </row>
    <row r="190" ht="15.75" customHeight="1">
      <c r="A190" s="17"/>
    </row>
    <row r="191" ht="15.75" customHeight="1">
      <c r="A191" s="17"/>
    </row>
    <row r="192" ht="15.75" customHeight="1">
      <c r="A192" s="17"/>
    </row>
    <row r="193" ht="15.75" customHeight="1">
      <c r="A193" s="17"/>
    </row>
    <row r="194" ht="15.75" customHeight="1">
      <c r="A194" s="17"/>
    </row>
    <row r="195" ht="15.75" customHeight="1">
      <c r="A195" s="17"/>
    </row>
    <row r="196" ht="15.75" customHeight="1">
      <c r="A196" s="17"/>
    </row>
    <row r="197" ht="15.75" customHeight="1">
      <c r="A197" s="17"/>
    </row>
    <row r="198" ht="15.75" customHeight="1">
      <c r="A198" s="17"/>
    </row>
    <row r="199" ht="15.75" customHeight="1">
      <c r="A199" s="17"/>
    </row>
    <row r="200" ht="15.75" customHeight="1">
      <c r="A200" s="17"/>
    </row>
    <row r="201" ht="15.75" customHeight="1">
      <c r="A201" s="17"/>
    </row>
    <row r="202" ht="15.75" customHeight="1">
      <c r="A202" s="17"/>
    </row>
    <row r="203" ht="15.75" customHeight="1">
      <c r="A203" s="17"/>
    </row>
    <row r="204" ht="15.75" customHeight="1">
      <c r="A204" s="17"/>
    </row>
    <row r="205" ht="15.75" customHeight="1">
      <c r="A205" s="17"/>
    </row>
    <row r="206" ht="15.75" customHeight="1">
      <c r="A206" s="17"/>
    </row>
    <row r="207" ht="15.75" customHeight="1">
      <c r="A207" s="17"/>
    </row>
    <row r="208" ht="15.75" customHeight="1">
      <c r="A208" s="17"/>
    </row>
    <row r="209" ht="15.75" customHeight="1">
      <c r="A209" s="17"/>
    </row>
    <row r="210" ht="15.75" customHeight="1">
      <c r="A210" s="17"/>
    </row>
    <row r="211" ht="15.75" customHeight="1">
      <c r="A211" s="17"/>
    </row>
    <row r="212" ht="15.75" customHeight="1">
      <c r="A212" s="17"/>
    </row>
    <row r="213" ht="15.75" customHeight="1">
      <c r="A213" s="17"/>
    </row>
    <row r="214" ht="15.75" customHeight="1">
      <c r="A214" s="17"/>
    </row>
    <row r="215" ht="15.75" customHeight="1">
      <c r="A215" s="17"/>
    </row>
    <row r="216" ht="15.75" customHeight="1">
      <c r="A216" s="17"/>
    </row>
    <row r="217" ht="15.75" customHeight="1">
      <c r="A217" s="17"/>
    </row>
    <row r="218" ht="15.75" customHeight="1">
      <c r="A218" s="17"/>
    </row>
    <row r="219" ht="15.75" customHeight="1">
      <c r="A219" s="17"/>
    </row>
    <row r="220" ht="15.75" customHeight="1">
      <c r="A220" s="17"/>
    </row>
    <row r="221" ht="15.75" customHeight="1">
      <c r="A221" s="17"/>
    </row>
    <row r="222" ht="15.75" customHeight="1">
      <c r="A222" s="17"/>
    </row>
    <row r="223" ht="15.75" customHeight="1">
      <c r="A223" s="17"/>
    </row>
    <row r="224" ht="15.75" customHeight="1">
      <c r="A224" s="17"/>
    </row>
    <row r="225" ht="15.75" customHeight="1">
      <c r="A225" s="17"/>
    </row>
    <row r="226" ht="15.75" customHeight="1">
      <c r="A226" s="17"/>
    </row>
    <row r="227" ht="15.75" customHeight="1">
      <c r="A227" s="17"/>
    </row>
    <row r="228" ht="15.75" customHeight="1">
      <c r="A228" s="17"/>
    </row>
    <row r="229" ht="15.75" customHeight="1">
      <c r="A229" s="17"/>
    </row>
    <row r="230" ht="15.75" customHeight="1">
      <c r="A230" s="17"/>
    </row>
    <row r="231" ht="15.75" customHeight="1">
      <c r="A231" s="17"/>
    </row>
    <row r="232" ht="15.75" customHeight="1">
      <c r="A232" s="17"/>
    </row>
    <row r="233" ht="15.75" customHeight="1">
      <c r="A233" s="17"/>
    </row>
    <row r="234" ht="15.75" customHeight="1">
      <c r="A234" s="17"/>
    </row>
    <row r="235" ht="15.75" customHeight="1">
      <c r="A235" s="17"/>
    </row>
    <row r="236" ht="15.75" customHeight="1">
      <c r="A236" s="17"/>
    </row>
    <row r="237" ht="15.75" customHeight="1">
      <c r="A237" s="17"/>
    </row>
    <row r="238" ht="15.75" customHeight="1">
      <c r="A238" s="17"/>
    </row>
    <row r="239" ht="15.75" customHeight="1">
      <c r="A239" s="17"/>
    </row>
    <row r="240" ht="15.75" customHeight="1">
      <c r="A240" s="17"/>
    </row>
    <row r="241" ht="15.75" customHeight="1">
      <c r="A241" s="17"/>
    </row>
    <row r="242" ht="15.75" customHeight="1">
      <c r="A242" s="17"/>
    </row>
    <row r="243" ht="15.75" customHeight="1">
      <c r="A243" s="17"/>
    </row>
    <row r="244" ht="15.75" customHeight="1">
      <c r="A244" s="17"/>
    </row>
    <row r="245" ht="15.75" customHeight="1">
      <c r="A245" s="17"/>
    </row>
    <row r="246" ht="15.75" customHeight="1">
      <c r="A246" s="17"/>
    </row>
    <row r="247" ht="15.75" customHeight="1">
      <c r="A247" s="17"/>
    </row>
    <row r="248" ht="15.75" customHeight="1">
      <c r="A248" s="17"/>
    </row>
    <row r="249" ht="15.75" customHeight="1">
      <c r="A249" s="17"/>
    </row>
    <row r="250" ht="15.75" customHeight="1">
      <c r="A250" s="17"/>
    </row>
    <row r="251" ht="15.75" customHeight="1">
      <c r="A251" s="17"/>
    </row>
    <row r="252" ht="15.75" customHeight="1">
      <c r="A252" s="17"/>
    </row>
    <row r="253" ht="15.75" customHeight="1">
      <c r="A253" s="17"/>
    </row>
    <row r="254" ht="15.75" customHeight="1">
      <c r="A254" s="17"/>
    </row>
    <row r="255" ht="15.75" customHeight="1">
      <c r="A255" s="17"/>
    </row>
    <row r="256" ht="15.75" customHeight="1">
      <c r="A256" s="17"/>
    </row>
    <row r="257" ht="15.75" customHeight="1">
      <c r="A257" s="17"/>
    </row>
    <row r="258" ht="15.75" customHeight="1">
      <c r="A258" s="17"/>
    </row>
    <row r="259" ht="15.75" customHeight="1">
      <c r="A259" s="17"/>
    </row>
    <row r="260" ht="15.75" customHeight="1">
      <c r="A260" s="17"/>
    </row>
    <row r="261" ht="15.75" customHeight="1">
      <c r="A261" s="17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21" t="s">
        <v>190</v>
      </c>
      <c r="B1" s="21" t="s">
        <v>17</v>
      </c>
      <c r="C1" s="22" t="s">
        <v>191</v>
      </c>
    </row>
    <row r="2" ht="12.75" customHeight="1">
      <c r="A2" s="23" t="s">
        <v>192</v>
      </c>
      <c r="B2" s="23" t="s">
        <v>193</v>
      </c>
      <c r="C2" s="24">
        <v>60.0</v>
      </c>
    </row>
    <row r="3" ht="12.75" customHeight="1">
      <c r="A3" s="23" t="s">
        <v>194</v>
      </c>
      <c r="B3" s="23" t="s">
        <v>195</v>
      </c>
      <c r="C3" s="24">
        <v>11.0</v>
      </c>
    </row>
    <row r="4" ht="12.75" customHeight="1">
      <c r="A4" s="23" t="s">
        <v>196</v>
      </c>
      <c r="B4" s="23" t="s">
        <v>197</v>
      </c>
      <c r="C4" s="24">
        <v>69.0</v>
      </c>
    </row>
    <row r="5" ht="12.75" customHeight="1">
      <c r="A5" s="23" t="s">
        <v>198</v>
      </c>
      <c r="B5" s="23" t="s">
        <v>199</v>
      </c>
      <c r="C5" s="24">
        <v>97.0</v>
      </c>
    </row>
    <row r="6" ht="12.75" customHeight="1">
      <c r="A6" s="23" t="s">
        <v>200</v>
      </c>
      <c r="B6" s="23" t="s">
        <v>201</v>
      </c>
      <c r="C6" s="24">
        <v>109.0</v>
      </c>
    </row>
    <row r="7" ht="12.75" customHeight="1">
      <c r="A7" s="23" t="s">
        <v>202</v>
      </c>
      <c r="B7" s="23" t="s">
        <v>197</v>
      </c>
      <c r="C7" s="24">
        <v>11.0</v>
      </c>
    </row>
    <row r="8" ht="12.75" customHeight="1">
      <c r="A8" s="23" t="s">
        <v>196</v>
      </c>
      <c r="B8" s="23" t="s">
        <v>197</v>
      </c>
      <c r="C8" s="24">
        <v>69.0</v>
      </c>
    </row>
    <row r="9" ht="12.75" customHeight="1">
      <c r="A9" s="23" t="s">
        <v>203</v>
      </c>
      <c r="B9" s="23" t="s">
        <v>195</v>
      </c>
      <c r="C9" s="24">
        <v>79.0</v>
      </c>
    </row>
    <row r="10" ht="12.75" customHeight="1">
      <c r="A10" s="23" t="s">
        <v>204</v>
      </c>
      <c r="B10" s="23" t="s">
        <v>205</v>
      </c>
      <c r="C10" s="24">
        <v>49.0</v>
      </c>
    </row>
    <row r="11" ht="12.75" customHeight="1">
      <c r="A11" s="23" t="s">
        <v>206</v>
      </c>
      <c r="B11" s="23" t="s">
        <v>207</v>
      </c>
      <c r="C11" s="24">
        <v>13.0</v>
      </c>
    </row>
    <row r="12" ht="12.75" customHeight="1">
      <c r="A12" s="23" t="s">
        <v>208</v>
      </c>
      <c r="B12" s="23" t="s">
        <v>209</v>
      </c>
      <c r="C12" s="24">
        <v>50.0</v>
      </c>
    </row>
    <row r="13" ht="12.75" customHeight="1">
      <c r="A13" s="23" t="s">
        <v>210</v>
      </c>
      <c r="B13" s="23" t="s">
        <v>211</v>
      </c>
      <c r="C13" s="24">
        <v>21.0</v>
      </c>
    </row>
    <row r="14" ht="12.75" customHeight="1">
      <c r="A14" s="23" t="s">
        <v>212</v>
      </c>
      <c r="B14" s="23" t="s">
        <v>213</v>
      </c>
      <c r="C14" s="24">
        <v>14.0</v>
      </c>
    </row>
    <row r="15" ht="12.75" customHeight="1">
      <c r="A15" s="23" t="s">
        <v>214</v>
      </c>
      <c r="B15" s="23" t="s">
        <v>197</v>
      </c>
      <c r="C15" s="24">
        <v>9.0</v>
      </c>
    </row>
    <row r="16" ht="12.75" customHeight="1">
      <c r="A16" s="23" t="s">
        <v>215</v>
      </c>
      <c r="B16" s="23" t="s">
        <v>201</v>
      </c>
      <c r="C16" s="24">
        <v>24.0</v>
      </c>
    </row>
    <row r="17" ht="12.75" customHeight="1">
      <c r="A17" s="23" t="s">
        <v>216</v>
      </c>
      <c r="B17" s="23" t="s">
        <v>193</v>
      </c>
      <c r="C17" s="24">
        <v>79.0</v>
      </c>
    </row>
    <row r="18" ht="12.75" customHeight="1">
      <c r="A18" s="23" t="s">
        <v>217</v>
      </c>
      <c r="B18" s="23" t="s">
        <v>218</v>
      </c>
      <c r="C18" s="24">
        <v>52.0</v>
      </c>
    </row>
    <row r="19" ht="12.75" customHeight="1">
      <c r="A19" s="23" t="s">
        <v>219</v>
      </c>
      <c r="B19" s="23" t="s">
        <v>211</v>
      </c>
      <c r="C19" s="24">
        <v>84.0</v>
      </c>
    </row>
    <row r="20" ht="12.75" customHeight="1">
      <c r="A20" s="23" t="s">
        <v>220</v>
      </c>
      <c r="B20" s="23" t="s">
        <v>221</v>
      </c>
      <c r="C20" s="24">
        <v>41.0</v>
      </c>
    </row>
    <row r="21" ht="12.75" customHeight="1">
      <c r="A21" s="23" t="s">
        <v>222</v>
      </c>
      <c r="B21" s="23" t="s">
        <v>223</v>
      </c>
      <c r="C21" s="24">
        <v>50.0</v>
      </c>
    </row>
    <row r="22" ht="12.75" customHeight="1">
      <c r="A22" s="23" t="s">
        <v>224</v>
      </c>
      <c r="B22" s="23" t="s">
        <v>207</v>
      </c>
      <c r="C22" s="24">
        <v>79.0</v>
      </c>
    </row>
    <row r="23" ht="12.75" customHeight="1">
      <c r="A23" s="23" t="s">
        <v>225</v>
      </c>
      <c r="B23" s="23" t="s">
        <v>226</v>
      </c>
      <c r="C23" s="24">
        <v>30.0</v>
      </c>
    </row>
    <row r="24" ht="12.75" customHeight="1">
      <c r="A24" s="23" t="s">
        <v>227</v>
      </c>
      <c r="B24" s="23" t="s">
        <v>223</v>
      </c>
      <c r="C24" s="24">
        <v>72.0</v>
      </c>
    </row>
    <row r="25" ht="12.75" customHeight="1">
      <c r="A25" s="23" t="s">
        <v>228</v>
      </c>
      <c r="B25" s="23" t="s">
        <v>226</v>
      </c>
      <c r="C25" s="24">
        <v>85.0</v>
      </c>
    </row>
    <row r="26" ht="12.75" customHeight="1">
      <c r="A26" s="23" t="s">
        <v>229</v>
      </c>
      <c r="B26" s="23" t="s">
        <v>230</v>
      </c>
      <c r="C26" s="24">
        <v>21.0</v>
      </c>
    </row>
    <row r="27" ht="12.75" customHeight="1">
      <c r="A27" s="23" t="s">
        <v>231</v>
      </c>
      <c r="B27" s="23" t="s">
        <v>232</v>
      </c>
      <c r="C27" s="24">
        <v>14.0</v>
      </c>
    </row>
    <row r="28" ht="12.75" customHeight="1">
      <c r="A28" s="23" t="s">
        <v>233</v>
      </c>
      <c r="B28" s="23" t="s">
        <v>234</v>
      </c>
      <c r="C28" s="24">
        <v>23.0</v>
      </c>
    </row>
    <row r="29" ht="12.75" customHeight="1">
      <c r="A29" s="23" t="s">
        <v>235</v>
      </c>
      <c r="B29" s="23" t="s">
        <v>236</v>
      </c>
      <c r="C29" s="24">
        <v>32.0</v>
      </c>
    </row>
    <row r="30" ht="12.75" customHeight="1">
      <c r="A30" s="23" t="s">
        <v>237</v>
      </c>
      <c r="B30" s="23" t="s">
        <v>230</v>
      </c>
      <c r="C30" s="24">
        <v>27.0</v>
      </c>
    </row>
    <row r="31" ht="12.75" customHeight="1">
      <c r="A31" s="23" t="s">
        <v>238</v>
      </c>
      <c r="B31" s="23" t="s">
        <v>207</v>
      </c>
      <c r="C31" s="24">
        <v>16.0</v>
      </c>
    </row>
    <row r="32" ht="12.75" customHeight="1">
      <c r="A32" s="23" t="s">
        <v>239</v>
      </c>
      <c r="B32" s="23" t="s">
        <v>240</v>
      </c>
      <c r="C32" s="24">
        <v>24.0</v>
      </c>
    </row>
    <row r="33" ht="12.75" customHeight="1">
      <c r="A33" s="23" t="s">
        <v>241</v>
      </c>
      <c r="B33" s="23" t="s">
        <v>197</v>
      </c>
      <c r="C33" s="24">
        <v>15.0</v>
      </c>
    </row>
    <row r="34" ht="12.75" customHeight="1">
      <c r="A34" s="23" t="s">
        <v>242</v>
      </c>
      <c r="B34" s="23" t="s">
        <v>207</v>
      </c>
      <c r="C34" s="24">
        <v>55.0</v>
      </c>
    </row>
    <row r="35" ht="12.75" customHeight="1">
      <c r="A35" s="23" t="s">
        <v>243</v>
      </c>
      <c r="B35" s="23" t="s">
        <v>207</v>
      </c>
      <c r="C35" s="24">
        <v>211.0</v>
      </c>
    </row>
    <row r="36" ht="12.75" customHeight="1">
      <c r="A36" s="23" t="s">
        <v>244</v>
      </c>
      <c r="B36" s="23" t="s">
        <v>223</v>
      </c>
      <c r="C36" s="24">
        <v>118.0</v>
      </c>
    </row>
    <row r="37" ht="12.75" customHeight="1">
      <c r="A37" s="23" t="s">
        <v>245</v>
      </c>
      <c r="B37" s="23" t="s">
        <v>193</v>
      </c>
      <c r="C37" s="24">
        <v>120.0</v>
      </c>
    </row>
    <row r="38" ht="12.75" customHeight="1">
      <c r="A38" s="23" t="s">
        <v>246</v>
      </c>
      <c r="B38" s="23" t="s">
        <v>201</v>
      </c>
      <c r="C38" s="24">
        <v>24.0</v>
      </c>
    </row>
    <row r="39" ht="12.75" customHeight="1">
      <c r="A39" s="23" t="s">
        <v>247</v>
      </c>
      <c r="B39" s="23" t="s">
        <v>226</v>
      </c>
      <c r="C39" s="24">
        <v>68.0</v>
      </c>
    </row>
    <row r="40" ht="12.75" customHeight="1">
      <c r="A40" s="23" t="s">
        <v>248</v>
      </c>
      <c r="B40" s="23" t="s">
        <v>223</v>
      </c>
      <c r="C40" s="24">
        <v>66.0</v>
      </c>
    </row>
    <row r="41" ht="12.75" customHeight="1">
      <c r="A41" s="23" t="s">
        <v>224</v>
      </c>
      <c r="B41" s="23" t="s">
        <v>207</v>
      </c>
      <c r="C41" s="24">
        <v>79.0</v>
      </c>
    </row>
    <row r="42" ht="12.75" customHeight="1">
      <c r="A42" s="23" t="s">
        <v>249</v>
      </c>
      <c r="B42" s="23" t="s">
        <v>193</v>
      </c>
      <c r="C42" s="24">
        <v>120.0</v>
      </c>
    </row>
    <row r="43" ht="12.75" customHeight="1">
      <c r="A43" s="23" t="s">
        <v>250</v>
      </c>
      <c r="B43" s="23" t="s">
        <v>201</v>
      </c>
      <c r="C43" s="24">
        <v>10.0</v>
      </c>
    </row>
    <row r="44" ht="12.75" customHeight="1">
      <c r="A44" s="23" t="s">
        <v>251</v>
      </c>
      <c r="B44" s="23" t="s">
        <v>201</v>
      </c>
      <c r="C44" s="24">
        <v>67.0</v>
      </c>
    </row>
    <row r="45" ht="12.75" customHeight="1">
      <c r="A45" s="23" t="s">
        <v>252</v>
      </c>
      <c r="B45" s="23" t="s">
        <v>232</v>
      </c>
      <c r="C45" s="24">
        <v>15.0</v>
      </c>
    </row>
    <row r="46" ht="12.75" customHeight="1">
      <c r="A46" s="23" t="s">
        <v>253</v>
      </c>
      <c r="B46" s="23" t="s">
        <v>226</v>
      </c>
      <c r="C46" s="24">
        <v>17.0</v>
      </c>
    </row>
    <row r="47" ht="12.75" customHeight="1">
      <c r="A47" s="23" t="s">
        <v>254</v>
      </c>
      <c r="B47" s="23" t="s">
        <v>255</v>
      </c>
      <c r="C47" s="24">
        <v>31.0</v>
      </c>
    </row>
    <row r="48" ht="12.75" customHeight="1">
      <c r="A48" s="23" t="s">
        <v>256</v>
      </c>
      <c r="B48" s="23" t="s">
        <v>257</v>
      </c>
      <c r="C48" s="24">
        <v>8.0</v>
      </c>
    </row>
    <row r="49" ht="12.75" customHeight="1">
      <c r="A49" s="23" t="s">
        <v>258</v>
      </c>
      <c r="B49" s="23" t="s">
        <v>259</v>
      </c>
      <c r="C49" s="24">
        <v>49.0</v>
      </c>
    </row>
    <row r="50" ht="12.75" customHeight="1">
      <c r="A50" s="23" t="s">
        <v>260</v>
      </c>
      <c r="B50" s="23" t="s">
        <v>240</v>
      </c>
      <c r="C50" s="24">
        <v>39.0</v>
      </c>
    </row>
    <row r="51" ht="12.75" customHeight="1">
      <c r="A51" s="23" t="s">
        <v>261</v>
      </c>
      <c r="B51" s="23" t="s">
        <v>201</v>
      </c>
      <c r="C51" s="24">
        <v>70.0</v>
      </c>
    </row>
    <row r="52" ht="12.75" customHeight="1">
      <c r="A52" s="23" t="s">
        <v>262</v>
      </c>
      <c r="B52" s="23" t="s">
        <v>201</v>
      </c>
      <c r="C52" s="24">
        <v>59.0</v>
      </c>
    </row>
    <row r="53" ht="12.75" customHeight="1">
      <c r="A53" s="23" t="s">
        <v>263</v>
      </c>
      <c r="B53" s="23" t="s">
        <v>201</v>
      </c>
      <c r="C53" s="24">
        <v>11.0</v>
      </c>
    </row>
    <row r="54" ht="12.75" customHeight="1">
      <c r="A54" s="23" t="s">
        <v>264</v>
      </c>
      <c r="B54" s="23" t="s">
        <v>201</v>
      </c>
      <c r="C54" s="24">
        <v>60.0</v>
      </c>
    </row>
    <row r="55" ht="12.75" customHeight="1">
      <c r="A55" s="23" t="s">
        <v>265</v>
      </c>
      <c r="B55" s="23" t="s">
        <v>266</v>
      </c>
      <c r="C55" s="24">
        <v>42.0</v>
      </c>
    </row>
    <row r="56" ht="12.75" customHeight="1">
      <c r="A56" s="23" t="s">
        <v>128</v>
      </c>
      <c r="B56" s="23" t="s">
        <v>240</v>
      </c>
      <c r="C56" s="24">
        <v>15.0</v>
      </c>
    </row>
    <row r="57" ht="12.75" customHeight="1">
      <c r="A57" s="23" t="s">
        <v>267</v>
      </c>
      <c r="B57" s="23" t="s">
        <v>268</v>
      </c>
      <c r="C57" s="24">
        <v>24.0</v>
      </c>
    </row>
    <row r="58" ht="12.75" customHeight="1">
      <c r="A58" s="23" t="s">
        <v>269</v>
      </c>
      <c r="B58" s="23" t="s">
        <v>218</v>
      </c>
      <c r="C58" s="24">
        <v>53.0</v>
      </c>
    </row>
    <row r="59" ht="12.75" customHeight="1">
      <c r="A59" s="23" t="s">
        <v>270</v>
      </c>
      <c r="B59" s="23" t="s">
        <v>201</v>
      </c>
      <c r="C59" s="24">
        <v>22.0</v>
      </c>
    </row>
    <row r="60" ht="12.75" customHeight="1">
      <c r="A60" s="23" t="s">
        <v>271</v>
      </c>
      <c r="B60" s="23" t="s">
        <v>201</v>
      </c>
      <c r="C60" s="24">
        <v>24.0</v>
      </c>
    </row>
    <row r="61" ht="12.75" customHeight="1">
      <c r="A61" s="23" t="s">
        <v>272</v>
      </c>
      <c r="B61" s="23" t="s">
        <v>201</v>
      </c>
      <c r="C61" s="24">
        <v>10.0</v>
      </c>
    </row>
    <row r="62" ht="12.75" customHeight="1">
      <c r="A62" s="23" t="s">
        <v>273</v>
      </c>
      <c r="B62" s="23" t="s">
        <v>257</v>
      </c>
      <c r="C62" s="24">
        <v>83.0</v>
      </c>
    </row>
    <row r="63" ht="12.75" customHeight="1">
      <c r="A63" s="23" t="s">
        <v>262</v>
      </c>
      <c r="B63" s="23" t="s">
        <v>201</v>
      </c>
      <c r="C63" s="24">
        <v>59.0</v>
      </c>
    </row>
    <row r="64" ht="12.75" customHeight="1">
      <c r="A64" s="23" t="s">
        <v>274</v>
      </c>
      <c r="B64" s="23" t="s">
        <v>223</v>
      </c>
      <c r="C64" s="24">
        <v>8.0</v>
      </c>
    </row>
    <row r="65" ht="12.75" customHeight="1">
      <c r="A65" s="23" t="s">
        <v>275</v>
      </c>
      <c r="B65" s="23" t="s">
        <v>221</v>
      </c>
      <c r="C65" s="24">
        <v>43.0</v>
      </c>
    </row>
    <row r="66" ht="12.75" customHeight="1">
      <c r="A66" s="23" t="s">
        <v>276</v>
      </c>
      <c r="B66" s="23" t="s">
        <v>209</v>
      </c>
      <c r="C66" s="24">
        <v>95.0</v>
      </c>
    </row>
    <row r="67" ht="12.75" customHeight="1">
      <c r="A67" s="23" t="s">
        <v>277</v>
      </c>
      <c r="B67" s="23" t="s">
        <v>236</v>
      </c>
      <c r="C67" s="24">
        <v>46.0</v>
      </c>
    </row>
    <row r="68" ht="12.75" customHeight="1">
      <c r="A68" s="23" t="s">
        <v>278</v>
      </c>
      <c r="B68" s="23" t="s">
        <v>279</v>
      </c>
      <c r="C68" s="24">
        <v>103.0</v>
      </c>
    </row>
    <row r="69" ht="12.75" customHeight="1">
      <c r="A69" s="23" t="s">
        <v>280</v>
      </c>
      <c r="B69" s="23" t="s">
        <v>221</v>
      </c>
      <c r="C69" s="24">
        <v>59.0</v>
      </c>
    </row>
    <row r="70" ht="12.75" customHeight="1">
      <c r="A70" s="23" t="s">
        <v>281</v>
      </c>
      <c r="B70" s="23" t="s">
        <v>282</v>
      </c>
      <c r="C70" s="24">
        <v>53.0</v>
      </c>
    </row>
    <row r="71" ht="12.75" customHeight="1">
      <c r="A71" s="23" t="s">
        <v>283</v>
      </c>
      <c r="B71" s="23" t="s">
        <v>284</v>
      </c>
      <c r="C71" s="24">
        <v>56.0</v>
      </c>
    </row>
    <row r="72" ht="12.75" customHeight="1">
      <c r="A72" s="23" t="s">
        <v>285</v>
      </c>
      <c r="B72" s="23" t="s">
        <v>223</v>
      </c>
      <c r="C72" s="24">
        <v>12.0</v>
      </c>
    </row>
    <row r="73" ht="12.75" customHeight="1">
      <c r="A73" s="23" t="s">
        <v>286</v>
      </c>
      <c r="B73" s="23" t="s">
        <v>207</v>
      </c>
      <c r="C73" s="24">
        <v>182.0</v>
      </c>
    </row>
    <row r="74" ht="12.75" customHeight="1">
      <c r="A74" s="23" t="s">
        <v>287</v>
      </c>
      <c r="B74" s="23" t="s">
        <v>288</v>
      </c>
      <c r="C74" s="24">
        <v>20.0</v>
      </c>
    </row>
    <row r="75" ht="12.75" customHeight="1">
      <c r="A75" s="23" t="s">
        <v>289</v>
      </c>
      <c r="B75" s="23" t="s">
        <v>266</v>
      </c>
      <c r="C75" s="24">
        <v>89.0</v>
      </c>
    </row>
    <row r="76" ht="12.75" customHeight="1">
      <c r="A76" s="23" t="s">
        <v>290</v>
      </c>
      <c r="B76" s="23" t="s">
        <v>209</v>
      </c>
      <c r="C76" s="24">
        <v>44.0</v>
      </c>
    </row>
    <row r="77" ht="12.75" customHeight="1">
      <c r="A77" s="23" t="s">
        <v>291</v>
      </c>
      <c r="B77" s="23" t="s">
        <v>223</v>
      </c>
      <c r="C77" s="24">
        <v>104.0</v>
      </c>
    </row>
    <row r="78" ht="12.75" customHeight="1">
      <c r="A78" s="23" t="s">
        <v>292</v>
      </c>
      <c r="B78" s="23" t="s">
        <v>223</v>
      </c>
      <c r="C78" s="24">
        <v>44.0</v>
      </c>
    </row>
    <row r="79" ht="12.75" customHeight="1">
      <c r="A79" s="23" t="s">
        <v>293</v>
      </c>
      <c r="B79" s="23" t="s">
        <v>223</v>
      </c>
      <c r="C79" s="24">
        <v>69.0</v>
      </c>
    </row>
    <row r="80" ht="12.75" customHeight="1">
      <c r="A80" s="23" t="s">
        <v>294</v>
      </c>
      <c r="B80" s="23" t="s">
        <v>295</v>
      </c>
      <c r="C80" s="24">
        <v>48.0</v>
      </c>
    </row>
    <row r="81" ht="12.75" customHeight="1">
      <c r="A81" s="23" t="s">
        <v>296</v>
      </c>
      <c r="B81" s="23" t="s">
        <v>297</v>
      </c>
      <c r="C81" s="24">
        <v>48.0</v>
      </c>
    </row>
    <row r="82" ht="12.75" customHeight="1">
      <c r="A82" s="23" t="s">
        <v>298</v>
      </c>
      <c r="B82" s="23" t="s">
        <v>213</v>
      </c>
      <c r="C82" s="24">
        <v>21.0</v>
      </c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25" t="s">
        <v>299</v>
      </c>
      <c r="B1" s="25" t="s">
        <v>300</v>
      </c>
    </row>
    <row r="2" ht="15.75" customHeight="1">
      <c r="A2" s="26" t="s">
        <v>46</v>
      </c>
      <c r="B2" s="27">
        <v>2.35665566E8</v>
      </c>
    </row>
    <row r="3" ht="15.75" customHeight="1">
      <c r="A3" s="26" t="s">
        <v>128</v>
      </c>
      <c r="B3" s="27">
        <v>5.32616595E8</v>
      </c>
    </row>
    <row r="4" ht="15.75" customHeight="1">
      <c r="A4" s="26" t="s">
        <v>151</v>
      </c>
      <c r="B4" s="27">
        <v>1.76733968E8</v>
      </c>
    </row>
    <row r="5" ht="15.75" customHeight="1">
      <c r="A5" s="26" t="s">
        <v>110</v>
      </c>
      <c r="B5" s="27">
        <v>4.394245879E9</v>
      </c>
    </row>
    <row r="6" ht="15.75" customHeight="1">
      <c r="A6" s="26" t="s">
        <v>58</v>
      </c>
      <c r="B6" s="27">
        <v>6.2305891E7</v>
      </c>
    </row>
    <row r="7" ht="15.75" customHeight="1">
      <c r="A7" s="26" t="s">
        <v>159</v>
      </c>
      <c r="B7" s="27">
        <v>1.349217892E9</v>
      </c>
    </row>
    <row r="8" ht="15.75" customHeight="1">
      <c r="A8" s="26" t="s">
        <v>44</v>
      </c>
      <c r="B8" s="27">
        <v>3.27593725E8</v>
      </c>
    </row>
    <row r="9" ht="15.75" customHeight="1">
      <c r="A9" s="26" t="s">
        <v>161</v>
      </c>
      <c r="B9" s="27">
        <v>5.60279011E9</v>
      </c>
    </row>
    <row r="10" ht="15.75" customHeight="1">
      <c r="A10" s="26" t="s">
        <v>112</v>
      </c>
      <c r="B10" s="27">
        <v>6.71750768E8</v>
      </c>
    </row>
    <row r="11" ht="15.75" customHeight="1">
      <c r="A11" s="26" t="s">
        <v>98</v>
      </c>
      <c r="B11" s="27">
        <v>1.500728902E9</v>
      </c>
    </row>
    <row r="12" ht="15.75" customHeight="1">
      <c r="A12" s="26" t="s">
        <v>60</v>
      </c>
      <c r="B12" s="27">
        <v>5.146576868E9</v>
      </c>
    </row>
    <row r="13" ht="15.75" customHeight="1">
      <c r="A13" s="26" t="s">
        <v>78</v>
      </c>
      <c r="B13" s="27">
        <v>2.51003438E8</v>
      </c>
    </row>
    <row r="14" ht="15.75" customHeight="1">
      <c r="A14" s="26" t="s">
        <v>86</v>
      </c>
      <c r="B14" s="27">
        <v>1.420949112E9</v>
      </c>
    </row>
    <row r="15" ht="15.75" customHeight="1">
      <c r="A15" s="26" t="s">
        <v>42</v>
      </c>
      <c r="B15" s="27">
        <v>2.65877867E8</v>
      </c>
    </row>
    <row r="16" ht="15.75" customHeight="1">
      <c r="A16" s="26" t="s">
        <v>66</v>
      </c>
      <c r="B16" s="27">
        <v>1.677525446E9</v>
      </c>
    </row>
    <row r="17" ht="15.75" customHeight="1">
      <c r="A17" s="26" t="s">
        <v>301</v>
      </c>
      <c r="B17" s="27">
        <v>1.150645866E9</v>
      </c>
    </row>
    <row r="18" ht="15.75" customHeight="1">
      <c r="A18" s="26" t="s">
        <v>171</v>
      </c>
      <c r="B18" s="27">
        <v>5.33990587E8</v>
      </c>
    </row>
    <row r="19" ht="15.75" customHeight="1">
      <c r="A19" s="26" t="s">
        <v>173</v>
      </c>
      <c r="B19" s="27">
        <v>9.4843047E7</v>
      </c>
    </row>
    <row r="20" ht="15.75" customHeight="1">
      <c r="A20" s="26" t="s">
        <v>130</v>
      </c>
      <c r="B20" s="27">
        <v>9.95335937E8</v>
      </c>
    </row>
    <row r="21" ht="15.75" customHeight="1">
      <c r="A21" s="26" t="s">
        <v>118</v>
      </c>
      <c r="B21" s="27">
        <v>1.437415777E9</v>
      </c>
    </row>
    <row r="22" ht="15.75" customHeight="1">
      <c r="A22" s="26" t="s">
        <v>72</v>
      </c>
      <c r="B22" s="27">
        <v>1.095462329E9</v>
      </c>
    </row>
    <row r="23" ht="15.75" customHeight="1">
      <c r="A23" s="26" t="s">
        <v>132</v>
      </c>
      <c r="B23" s="27">
        <v>1.81492098E9</v>
      </c>
    </row>
    <row r="24" ht="15.75" customHeight="1">
      <c r="A24" s="26" t="s">
        <v>104</v>
      </c>
      <c r="B24" s="27">
        <v>1.67933529E9</v>
      </c>
    </row>
    <row r="25" ht="15.75" customHeight="1">
      <c r="A25" s="26" t="s">
        <v>92</v>
      </c>
      <c r="B25" s="27">
        <v>1.168097881E9</v>
      </c>
    </row>
    <row r="26" ht="15.75" customHeight="1">
      <c r="A26" s="26" t="s">
        <v>28</v>
      </c>
      <c r="B26" s="27">
        <v>1.87732538E8</v>
      </c>
    </row>
    <row r="27" ht="15.75" customHeight="1">
      <c r="A27" s="26" t="s">
        <v>22</v>
      </c>
      <c r="B27" s="27">
        <v>1.110559345E9</v>
      </c>
    </row>
    <row r="28" ht="15.75" customHeight="1">
      <c r="A28" s="26" t="s">
        <v>177</v>
      </c>
      <c r="B28" s="27">
        <v>5.25582771E8</v>
      </c>
    </row>
    <row r="29" ht="15.75" customHeight="1">
      <c r="A29" s="26" t="s">
        <v>153</v>
      </c>
      <c r="B29" s="27">
        <v>2.65784616E8</v>
      </c>
    </row>
    <row r="30" ht="15.75" customHeight="1">
      <c r="A30" s="26" t="s">
        <v>74</v>
      </c>
      <c r="B30" s="27">
        <v>3.0276824E8</v>
      </c>
    </row>
    <row r="31" ht="15.75" customHeight="1">
      <c r="A31" s="26" t="s">
        <v>142</v>
      </c>
      <c r="B31" s="27">
        <v>1.980568384E9</v>
      </c>
    </row>
    <row r="32" ht="15.75" customHeight="1">
      <c r="A32" s="26" t="s">
        <v>120</v>
      </c>
      <c r="B32" s="27">
        <v>2.68544014E8</v>
      </c>
    </row>
    <row r="33" ht="15.75" customHeight="1">
      <c r="A33" s="26" t="s">
        <v>155</v>
      </c>
      <c r="B33" s="27">
        <v>7.34632705E8</v>
      </c>
    </row>
    <row r="34" ht="15.75" customHeight="1">
      <c r="A34" s="26" t="s">
        <v>302</v>
      </c>
      <c r="B34" s="27">
        <v>2.90386402E8</v>
      </c>
    </row>
    <row r="35" ht="15.75" customHeight="1">
      <c r="A35" s="26" t="s">
        <v>122</v>
      </c>
      <c r="B35" s="27">
        <v>1.579130168E9</v>
      </c>
    </row>
    <row r="36" ht="15.75" customHeight="1">
      <c r="A36" s="26" t="s">
        <v>136</v>
      </c>
      <c r="B36" s="27">
        <v>2.55236961E8</v>
      </c>
    </row>
    <row r="37" ht="15.75" customHeight="1">
      <c r="A37" s="26" t="s">
        <v>48</v>
      </c>
      <c r="B37" s="27">
        <v>1.095587251E9</v>
      </c>
    </row>
    <row r="38" ht="15.75" customHeight="1">
      <c r="A38" s="26" t="s">
        <v>146</v>
      </c>
      <c r="B38" s="27">
        <v>9.1514307E7</v>
      </c>
    </row>
    <row r="39" ht="15.75" customHeight="1">
      <c r="A39" s="26" t="s">
        <v>148</v>
      </c>
      <c r="B39" s="27">
        <v>2.40822651E8</v>
      </c>
    </row>
    <row r="40" ht="15.75" customHeight="1">
      <c r="A40" s="26" t="s">
        <v>100</v>
      </c>
      <c r="B40" s="27">
        <v>1.118525506E9</v>
      </c>
    </row>
    <row r="41" ht="15.75" customHeight="1">
      <c r="A41" s="26" t="s">
        <v>90</v>
      </c>
      <c r="B41" s="27">
        <v>6.60411219E8</v>
      </c>
    </row>
    <row r="42" ht="15.75" customHeight="1">
      <c r="A42" s="26" t="s">
        <v>179</v>
      </c>
      <c r="B42" s="27">
        <v>1.98184909E8</v>
      </c>
    </row>
    <row r="43" ht="15.75" customHeight="1">
      <c r="A43" s="26" t="s">
        <v>157</v>
      </c>
      <c r="B43" s="27">
        <v>8.46244302E8</v>
      </c>
    </row>
    <row r="44" ht="15.75" customHeight="1">
      <c r="A44" s="26" t="s">
        <v>149</v>
      </c>
      <c r="B44" s="27">
        <v>4.96029967E8</v>
      </c>
    </row>
    <row r="45" ht="15.75" customHeight="1">
      <c r="A45" s="26" t="s">
        <v>167</v>
      </c>
      <c r="B45" s="27">
        <v>4.394332306E9</v>
      </c>
    </row>
    <row r="46" ht="15.75" customHeight="1">
      <c r="A46" s="26" t="s">
        <v>163</v>
      </c>
      <c r="B46" s="27">
        <v>4.09490388E8</v>
      </c>
    </row>
    <row r="47" ht="15.75" customHeight="1">
      <c r="A47" s="26" t="s">
        <v>303</v>
      </c>
      <c r="B47" s="27">
        <v>2.17622138E8</v>
      </c>
    </row>
    <row r="48" ht="15.75" customHeight="1">
      <c r="A48" s="26" t="s">
        <v>140</v>
      </c>
      <c r="B48" s="27">
        <v>8.1838843E7</v>
      </c>
    </row>
    <row r="49" ht="15.75" customHeight="1">
      <c r="A49" s="26" t="s">
        <v>84</v>
      </c>
      <c r="B49" s="27">
        <v>5.372783971E9</v>
      </c>
    </row>
    <row r="50" ht="15.75" customHeight="1">
      <c r="A50" s="26" t="s">
        <v>38</v>
      </c>
      <c r="B50" s="27">
        <v>4.801593832E9</v>
      </c>
    </row>
    <row r="51" ht="15.75" customHeight="1">
      <c r="A51" s="26" t="s">
        <v>94</v>
      </c>
      <c r="B51" s="27">
        <v>1.134986472E9</v>
      </c>
    </row>
    <row r="52" ht="15.75" customHeight="1">
      <c r="A52" s="26" t="s">
        <v>304</v>
      </c>
      <c r="B52" s="27">
        <v>7.06747385E8</v>
      </c>
    </row>
    <row r="53" ht="15.75" customHeight="1">
      <c r="A53" s="26" t="s">
        <v>175</v>
      </c>
      <c r="B53" s="27">
        <v>8.53202347E8</v>
      </c>
    </row>
    <row r="54" ht="15.75" customHeight="1">
      <c r="A54" s="26" t="s">
        <v>169</v>
      </c>
      <c r="B54" s="27">
        <v>9.5132977E8</v>
      </c>
    </row>
    <row r="55" ht="15.75" customHeight="1">
      <c r="A55" s="26" t="s">
        <v>80</v>
      </c>
      <c r="B55" s="27">
        <v>3.93173139E8</v>
      </c>
    </row>
    <row r="56" ht="15.75" customHeight="1">
      <c r="A56" s="26" t="s">
        <v>96</v>
      </c>
      <c r="B56" s="27">
        <v>2.867627068E9</v>
      </c>
    </row>
    <row r="57" ht="15.75" customHeight="1">
      <c r="A57" s="26" t="s">
        <v>108</v>
      </c>
      <c r="B57" s="27">
        <v>3.31799687E8</v>
      </c>
    </row>
    <row r="58" ht="15.75" customHeight="1">
      <c r="A58" s="26" t="s">
        <v>62</v>
      </c>
      <c r="B58" s="27">
        <v>2.61036182E8</v>
      </c>
    </row>
    <row r="59" ht="15.75" customHeight="1">
      <c r="A59" s="26" t="s">
        <v>56</v>
      </c>
      <c r="B59" s="27">
        <v>3.76187582E8</v>
      </c>
    </row>
    <row r="60" ht="15.75" customHeight="1">
      <c r="A60" s="26" t="s">
        <v>36</v>
      </c>
      <c r="B60" s="27">
        <v>2.68505432E8</v>
      </c>
    </row>
    <row r="61" ht="15.75" customHeight="1">
      <c r="A61" s="26" t="s">
        <v>64</v>
      </c>
      <c r="B61" s="27">
        <v>1.59430826E8</v>
      </c>
    </row>
    <row r="62" ht="15.75" customHeight="1">
      <c r="A62" s="26" t="s">
        <v>24</v>
      </c>
      <c r="B62" s="27">
        <v>2.379877655E9</v>
      </c>
    </row>
    <row r="63" ht="15.75" customHeight="1">
      <c r="A63" s="26" t="s">
        <v>32</v>
      </c>
      <c r="B63" s="27">
        <v>4.566445852E9</v>
      </c>
    </row>
    <row r="64" ht="15.75" customHeight="1">
      <c r="A64" s="26" t="s">
        <v>82</v>
      </c>
      <c r="B64" s="27">
        <v>2.75005663E8</v>
      </c>
    </row>
    <row r="65" ht="15.75" customHeight="1">
      <c r="A65" s="26" t="s">
        <v>30</v>
      </c>
      <c r="B65" s="27">
        <v>8.00010734E8</v>
      </c>
    </row>
    <row r="66" ht="15.75" customHeight="1">
      <c r="A66" s="26" t="s">
        <v>144</v>
      </c>
      <c r="B66" s="27">
        <v>3.09729428E8</v>
      </c>
    </row>
    <row r="67" ht="15.75" customHeight="1">
      <c r="A67" s="26" t="s">
        <v>88</v>
      </c>
      <c r="B67" s="27">
        <v>1.275798515E9</v>
      </c>
    </row>
    <row r="68" ht="15.75" customHeight="1">
      <c r="A68" s="26" t="s">
        <v>102</v>
      </c>
      <c r="B68" s="27">
        <v>1.193047233E9</v>
      </c>
    </row>
    <row r="69" ht="15.75" customHeight="1">
      <c r="A69" s="26" t="s">
        <v>40</v>
      </c>
      <c r="B69" s="27">
        <v>1.168230366E9</v>
      </c>
    </row>
    <row r="70" ht="15.75" customHeight="1">
      <c r="A70" s="26" t="s">
        <v>70</v>
      </c>
      <c r="B70" s="27">
        <v>1.218352541E9</v>
      </c>
    </row>
    <row r="71" ht="15.75" customHeight="1">
      <c r="A71" s="26" t="s">
        <v>114</v>
      </c>
      <c r="B71" s="27">
        <v>3.40001799E8</v>
      </c>
    </row>
    <row r="72" ht="15.75" customHeight="1">
      <c r="A72" s="26" t="s">
        <v>305</v>
      </c>
      <c r="B72" s="27">
        <v>3.42918449E8</v>
      </c>
    </row>
    <row r="73" ht="15.75" customHeight="1">
      <c r="A73" s="26" t="s">
        <v>165</v>
      </c>
      <c r="B73" s="27">
        <v>1.4237733E8</v>
      </c>
    </row>
    <row r="74" ht="15.75" customHeight="1">
      <c r="A74" s="26" t="s">
        <v>50</v>
      </c>
      <c r="B74" s="27">
        <v>6.00865451E8</v>
      </c>
    </row>
    <row r="75" ht="15.75" customHeight="1">
      <c r="A75" s="26" t="s">
        <v>126</v>
      </c>
      <c r="B75" s="27">
        <v>1.9575113E8</v>
      </c>
    </row>
    <row r="76" ht="15.75" customHeight="1">
      <c r="A76" s="26" t="s">
        <v>26</v>
      </c>
      <c r="B76" s="27">
        <v>6.83452836E8</v>
      </c>
    </row>
    <row r="77" ht="15.75" customHeight="1">
      <c r="A77" s="26" t="s">
        <v>306</v>
      </c>
      <c r="B77" s="27">
        <v>2.18568234E8</v>
      </c>
    </row>
    <row r="78" ht="15.75" customHeight="1">
      <c r="A78" s="26" t="s">
        <v>68</v>
      </c>
      <c r="B78" s="27">
        <v>4.23091712E8</v>
      </c>
    </row>
    <row r="79" ht="15.75" customHeight="1">
      <c r="A79" s="26" t="s">
        <v>76</v>
      </c>
      <c r="B79" s="27">
        <v>8.07896814E8</v>
      </c>
    </row>
    <row r="80" ht="15.75" customHeight="1">
      <c r="A80" s="26" t="s">
        <v>116</v>
      </c>
      <c r="B80" s="27">
        <v>5.14122351E8</v>
      </c>
    </row>
    <row r="81" ht="15.75" customHeight="1">
      <c r="A81" s="26" t="s">
        <v>134</v>
      </c>
      <c r="B81" s="27">
        <v>3.95801044E8</v>
      </c>
    </row>
    <row r="82" ht="15.75" customHeight="1">
      <c r="A82" s="26" t="s">
        <v>54</v>
      </c>
      <c r="B82" s="27">
        <v>1.086411192E9</v>
      </c>
    </row>
    <row r="83" ht="15.75" customHeight="1">
      <c r="A83" s="26" t="s">
        <v>20</v>
      </c>
      <c r="B83" s="27">
        <v>5.15117391E8</v>
      </c>
    </row>
    <row r="84" ht="15.75" customHeight="1">
      <c r="A84" s="26" t="s">
        <v>34</v>
      </c>
      <c r="B84" s="27">
        <v>4.196924316E9</v>
      </c>
    </row>
    <row r="85" ht="15.75" customHeight="1">
      <c r="A85" s="26" t="s">
        <v>106</v>
      </c>
      <c r="B85" s="27">
        <v>4.2138333E8</v>
      </c>
    </row>
    <row r="86" ht="15.75" customHeight="1">
      <c r="A86" s="26" t="s">
        <v>138</v>
      </c>
      <c r="B86" s="27">
        <v>1.114412532E9</v>
      </c>
    </row>
    <row r="87" ht="15.75" customHeight="1">
      <c r="A87" s="26" t="s">
        <v>124</v>
      </c>
      <c r="B87" s="27">
        <v>1.481593024E9</v>
      </c>
    </row>
    <row r="88" ht="15.75" customHeight="1">
      <c r="A88" s="26" t="s">
        <v>52</v>
      </c>
      <c r="B88" s="27">
        <v>2.89347914E8</v>
      </c>
    </row>
    <row r="89" ht="15.75" customHeight="1">
      <c r="A89" s="26" t="s">
        <v>307</v>
      </c>
      <c r="B89" s="27">
        <v>9.6372098181E10</v>
      </c>
    </row>
    <row r="90" ht="15.75" customHeight="1">
      <c r="A90" s="26" t="s">
        <v>308</v>
      </c>
      <c r="B90" s="28">
        <v>1.70478507866643E7</v>
      </c>
    </row>
    <row r="91" ht="15.75" customHeight="1">
      <c r="A91" s="29"/>
      <c r="B91" s="29"/>
    </row>
    <row r="92" ht="15.75" customHeight="1">
      <c r="A92" s="29"/>
      <c r="B92" s="29"/>
    </row>
    <row r="93" ht="15.75" customHeight="1">
      <c r="A93" s="29"/>
      <c r="B93" s="29"/>
    </row>
    <row r="94" ht="15.75" customHeight="1">
      <c r="A94" s="29"/>
      <c r="B94" s="29"/>
    </row>
    <row r="95" ht="15.75" customHeight="1">
      <c r="A95" s="29"/>
      <c r="B95" s="29"/>
    </row>
    <row r="96" ht="15.75" customHeight="1">
      <c r="A96" s="29"/>
      <c r="B96" s="29"/>
    </row>
    <row r="97" ht="15.75" customHeight="1">
      <c r="A97" s="29"/>
      <c r="B97" s="29"/>
    </row>
    <row r="98" ht="15.75" customHeight="1">
      <c r="A98" s="29"/>
      <c r="B98" s="29"/>
    </row>
    <row r="99" ht="15.75" customHeight="1">
      <c r="A99" s="29"/>
      <c r="B99" s="29"/>
    </row>
    <row r="100" ht="15.75" customHeight="1">
      <c r="A100" s="29"/>
      <c r="B100" s="29"/>
    </row>
    <row r="101" ht="15.75" customHeight="1">
      <c r="A101" s="29"/>
      <c r="B101" s="29"/>
    </row>
    <row r="102" ht="15.75" customHeight="1">
      <c r="A102" s="29"/>
      <c r="B102" s="29"/>
    </row>
    <row r="103" ht="15.75" customHeight="1">
      <c r="A103" s="29"/>
      <c r="B103" s="29"/>
    </row>
    <row r="104" ht="15.75" customHeight="1">
      <c r="A104" s="29"/>
      <c r="B104" s="29"/>
    </row>
    <row r="105" ht="15.75" customHeight="1">
      <c r="A105" s="29"/>
      <c r="B105" s="29"/>
    </row>
    <row r="106" ht="15.75" customHeight="1">
      <c r="A106" s="29"/>
      <c r="B106" s="29"/>
    </row>
    <row r="107" ht="15.75" customHeight="1">
      <c r="A107" s="29"/>
      <c r="B107" s="29"/>
    </row>
    <row r="108" ht="15.75" customHeight="1">
      <c r="A108" s="29"/>
      <c r="B108" s="29"/>
    </row>
    <row r="109" ht="15.75" customHeight="1">
      <c r="A109" s="29"/>
      <c r="B109" s="29"/>
    </row>
    <row r="110" ht="15.75" customHeight="1">
      <c r="A110" s="29"/>
      <c r="B110" s="29"/>
    </row>
    <row r="111" ht="15.75" customHeight="1">
      <c r="A111" s="29"/>
      <c r="B111" s="29"/>
    </row>
    <row r="112" ht="15.75" customHeight="1">
      <c r="A112" s="29"/>
      <c r="B112" s="29"/>
    </row>
    <row r="113" ht="15.75" customHeight="1">
      <c r="A113" s="29"/>
      <c r="B113" s="29"/>
    </row>
    <row r="114" ht="15.75" customHeight="1">
      <c r="A114" s="29"/>
      <c r="B114" s="29"/>
    </row>
    <row r="115" ht="15.75" customHeight="1">
      <c r="A115" s="29"/>
      <c r="B115" s="29"/>
    </row>
    <row r="116" ht="15.75" customHeight="1">
      <c r="A116" s="29"/>
      <c r="B116" s="29"/>
    </row>
    <row r="117" ht="15.75" customHeight="1">
      <c r="A117" s="29"/>
      <c r="B117" s="29"/>
    </row>
    <row r="118" ht="15.75" customHeight="1">
      <c r="A118" s="29"/>
      <c r="B118" s="29"/>
    </row>
    <row r="119" ht="15.75" customHeight="1">
      <c r="A119" s="29"/>
      <c r="B119" s="29"/>
    </row>
    <row r="120" ht="15.75" customHeight="1">
      <c r="A120" s="29"/>
      <c r="B120" s="29"/>
    </row>
    <row r="121" ht="15.75" customHeight="1">
      <c r="A121" s="29"/>
      <c r="B121" s="29"/>
    </row>
    <row r="122" ht="15.75" customHeight="1">
      <c r="A122" s="29"/>
      <c r="B122" s="29"/>
    </row>
    <row r="123" ht="15.75" customHeight="1">
      <c r="A123" s="29"/>
      <c r="B123" s="29"/>
    </row>
    <row r="124" ht="15.75" customHeight="1">
      <c r="A124" s="29"/>
      <c r="B124" s="29"/>
    </row>
    <row r="125" ht="15.75" customHeight="1">
      <c r="A125" s="29"/>
      <c r="B125" s="29"/>
    </row>
    <row r="126" ht="15.75" customHeight="1">
      <c r="A126" s="29"/>
      <c r="B126" s="29"/>
    </row>
    <row r="127" ht="15.75" customHeight="1">
      <c r="A127" s="29"/>
      <c r="B127" s="29"/>
    </row>
    <row r="128" ht="15.75" customHeight="1">
      <c r="A128" s="29"/>
      <c r="B128" s="29"/>
    </row>
    <row r="129" ht="15.75" customHeight="1">
      <c r="A129" s="29"/>
      <c r="B129" s="29"/>
    </row>
    <row r="130" ht="15.75" customHeight="1">
      <c r="A130" s="29"/>
      <c r="B130" s="29"/>
    </row>
    <row r="131" ht="15.75" customHeight="1">
      <c r="A131" s="29"/>
      <c r="B131" s="29"/>
    </row>
    <row r="132" ht="15.75" customHeight="1">
      <c r="A132" s="29"/>
      <c r="B132" s="29"/>
    </row>
    <row r="133" ht="15.75" customHeight="1">
      <c r="A133" s="29"/>
      <c r="B133" s="29"/>
    </row>
    <row r="134" ht="15.75" customHeight="1">
      <c r="A134" s="29"/>
      <c r="B134" s="29"/>
    </row>
    <row r="135" ht="15.75" customHeight="1">
      <c r="A135" s="29"/>
      <c r="B135" s="29"/>
    </row>
    <row r="136" ht="15.75" customHeight="1">
      <c r="A136" s="29"/>
      <c r="B136" s="29"/>
    </row>
    <row r="137" ht="15.75" customHeight="1">
      <c r="A137" s="29"/>
      <c r="B137" s="29"/>
    </row>
    <row r="138" ht="15.75" customHeight="1">
      <c r="A138" s="29"/>
      <c r="B138" s="29"/>
    </row>
    <row r="139" ht="15.75" customHeight="1">
      <c r="A139" s="29"/>
      <c r="B139" s="29"/>
    </row>
    <row r="140" ht="15.75" customHeight="1">
      <c r="A140" s="29"/>
      <c r="B140" s="29"/>
    </row>
    <row r="141" ht="15.75" customHeight="1">
      <c r="A141" s="29"/>
      <c r="B141" s="29"/>
    </row>
    <row r="142" ht="15.75" customHeight="1">
      <c r="A142" s="29"/>
      <c r="B142" s="29"/>
    </row>
    <row r="143" ht="15.75" customHeight="1">
      <c r="A143" s="29"/>
      <c r="B143" s="29"/>
    </row>
    <row r="144" ht="15.75" customHeight="1">
      <c r="A144" s="29"/>
      <c r="B144" s="29"/>
    </row>
    <row r="145" ht="15.75" customHeight="1">
      <c r="A145" s="29"/>
      <c r="B145" s="29"/>
    </row>
    <row r="146" ht="15.75" customHeight="1">
      <c r="A146" s="29"/>
      <c r="B146" s="29"/>
    </row>
    <row r="147" ht="15.75" customHeight="1">
      <c r="A147" s="29"/>
      <c r="B147" s="29"/>
    </row>
    <row r="148" ht="15.75" customHeight="1">
      <c r="A148" s="29"/>
      <c r="B148" s="29"/>
    </row>
    <row r="149" ht="15.75" customHeight="1">
      <c r="A149" s="29"/>
      <c r="B149" s="29"/>
    </row>
    <row r="150" ht="15.75" customHeight="1">
      <c r="A150" s="29"/>
      <c r="B150" s="29"/>
    </row>
    <row r="151" ht="15.75" customHeight="1">
      <c r="A151" s="29"/>
      <c r="B151" s="29"/>
    </row>
    <row r="152" ht="15.75" customHeight="1">
      <c r="A152" s="29"/>
      <c r="B152" s="29"/>
    </row>
    <row r="153" ht="15.75" customHeight="1">
      <c r="A153" s="29"/>
      <c r="B153" s="29"/>
    </row>
    <row r="154" ht="15.75" customHeight="1">
      <c r="A154" s="29"/>
      <c r="B154" s="29"/>
    </row>
    <row r="155" ht="15.75" customHeight="1">
      <c r="A155" s="29"/>
      <c r="B155" s="29"/>
    </row>
    <row r="156" ht="15.75" customHeight="1">
      <c r="A156" s="29"/>
      <c r="B156" s="29"/>
    </row>
    <row r="157" ht="15.75" customHeight="1">
      <c r="A157" s="29"/>
      <c r="B157" s="29"/>
    </row>
    <row r="158" ht="15.75" customHeight="1">
      <c r="A158" s="29"/>
      <c r="B158" s="29"/>
    </row>
    <row r="159" ht="15.75" customHeight="1">
      <c r="A159" s="29"/>
      <c r="B159" s="29"/>
    </row>
    <row r="160" ht="15.75" customHeight="1">
      <c r="A160" s="29"/>
      <c r="B160" s="29"/>
    </row>
    <row r="161" ht="15.75" customHeight="1">
      <c r="A161" s="29"/>
      <c r="B161" s="29"/>
    </row>
    <row r="162" ht="15.75" customHeight="1">
      <c r="A162" s="29"/>
      <c r="B162" s="29"/>
    </row>
    <row r="163" ht="15.75" customHeight="1">
      <c r="A163" s="29"/>
      <c r="B163" s="29"/>
    </row>
    <row r="164" ht="15.75" customHeight="1">
      <c r="A164" s="29"/>
      <c r="B164" s="29"/>
    </row>
    <row r="165" ht="15.75" customHeight="1">
      <c r="A165" s="29"/>
      <c r="B165" s="29"/>
    </row>
    <row r="166" ht="15.75" customHeight="1">
      <c r="A166" s="29"/>
      <c r="B166" s="29"/>
    </row>
    <row r="167" ht="15.75" customHeight="1">
      <c r="A167" s="29"/>
      <c r="B167" s="29"/>
    </row>
    <row r="168" ht="15.75" customHeight="1">
      <c r="A168" s="29"/>
      <c r="B168" s="29"/>
    </row>
    <row r="169" ht="15.75" customHeight="1">
      <c r="A169" s="29"/>
      <c r="B169" s="29"/>
    </row>
    <row r="170" ht="15.75" customHeight="1">
      <c r="A170" s="29"/>
      <c r="B170" s="29"/>
    </row>
    <row r="171" ht="15.75" customHeight="1">
      <c r="A171" s="29"/>
      <c r="B171" s="29"/>
    </row>
    <row r="172" ht="15.75" customHeight="1">
      <c r="A172" s="29"/>
      <c r="B172" s="29"/>
    </row>
    <row r="173" ht="15.75" customHeight="1">
      <c r="A173" s="29"/>
      <c r="B173" s="29"/>
    </row>
    <row r="174" ht="15.75" customHeight="1">
      <c r="A174" s="29"/>
      <c r="B174" s="29"/>
    </row>
    <row r="175" ht="15.75" customHeight="1">
      <c r="A175" s="29"/>
      <c r="B175" s="29"/>
    </row>
    <row r="176" ht="15.75" customHeight="1">
      <c r="A176" s="29"/>
      <c r="B176" s="29"/>
    </row>
    <row r="177" ht="15.75" customHeight="1">
      <c r="A177" s="29"/>
      <c r="B177" s="29"/>
    </row>
    <row r="178" ht="15.75" customHeight="1">
      <c r="A178" s="29"/>
      <c r="B178" s="29"/>
    </row>
    <row r="179" ht="15.75" customHeight="1">
      <c r="A179" s="29"/>
      <c r="B179" s="29"/>
    </row>
    <row r="180" ht="15.75" customHeight="1">
      <c r="A180" s="29"/>
      <c r="B180" s="29"/>
    </row>
    <row r="181" ht="15.75" customHeight="1">
      <c r="A181" s="29"/>
      <c r="B181" s="29"/>
    </row>
    <row r="182" ht="15.75" customHeight="1">
      <c r="A182" s="29"/>
      <c r="B182" s="29"/>
    </row>
    <row r="183" ht="15.75" customHeight="1">
      <c r="A183" s="29"/>
      <c r="B183" s="29"/>
    </row>
    <row r="184" ht="15.75" customHeight="1">
      <c r="A184" s="29"/>
      <c r="B184" s="29"/>
    </row>
    <row r="185" ht="15.75" customHeight="1">
      <c r="A185" s="29"/>
      <c r="B185" s="29"/>
    </row>
    <row r="186" ht="15.75" customHeight="1">
      <c r="A186" s="29"/>
      <c r="B186" s="29"/>
    </row>
    <row r="187" ht="15.75" customHeight="1">
      <c r="A187" s="29"/>
      <c r="B187" s="29"/>
    </row>
    <row r="188" ht="15.75" customHeight="1">
      <c r="A188" s="29"/>
      <c r="B188" s="29"/>
    </row>
    <row r="189" ht="15.75" customHeight="1">
      <c r="A189" s="29"/>
      <c r="B189" s="29"/>
    </row>
    <row r="190" ht="15.75" customHeight="1">
      <c r="A190" s="29"/>
      <c r="B190" s="29"/>
    </row>
    <row r="191" ht="15.75" customHeight="1">
      <c r="A191" s="29"/>
      <c r="B191" s="29"/>
    </row>
    <row r="192" ht="15.75" customHeight="1">
      <c r="A192" s="29"/>
      <c r="B192" s="29"/>
    </row>
    <row r="193" ht="15.75" customHeight="1">
      <c r="A193" s="29"/>
      <c r="B193" s="29"/>
    </row>
    <row r="194" ht="15.75" customHeight="1">
      <c r="A194" s="29"/>
      <c r="B194" s="29"/>
    </row>
    <row r="195" ht="15.75" customHeight="1">
      <c r="A195" s="29"/>
      <c r="B195" s="29"/>
    </row>
    <row r="196" ht="15.75" customHeight="1">
      <c r="A196" s="29"/>
      <c r="B196" s="29"/>
    </row>
    <row r="197" ht="15.75" customHeight="1">
      <c r="A197" s="29"/>
      <c r="B197" s="29"/>
    </row>
    <row r="198" ht="15.75" customHeight="1">
      <c r="A198" s="29"/>
      <c r="B198" s="29"/>
    </row>
    <row r="199" ht="15.75" customHeight="1">
      <c r="A199" s="29"/>
      <c r="B199" s="29"/>
    </row>
    <row r="200" ht="15.75" customHeight="1">
      <c r="A200" s="29"/>
      <c r="B200" s="29"/>
    </row>
    <row r="201" ht="15.75" customHeight="1">
      <c r="A201" s="29"/>
      <c r="B201" s="29"/>
    </row>
    <row r="202" ht="15.75" customHeight="1">
      <c r="A202" s="29"/>
      <c r="B202" s="29"/>
    </row>
    <row r="203" ht="15.75" customHeight="1">
      <c r="A203" s="29"/>
      <c r="B203" s="29"/>
    </row>
    <row r="204" ht="15.75" customHeight="1">
      <c r="A204" s="29"/>
      <c r="B204" s="29"/>
    </row>
    <row r="205" ht="15.75" customHeight="1">
      <c r="A205" s="29"/>
      <c r="B205" s="29"/>
    </row>
    <row r="206" ht="15.75" customHeight="1">
      <c r="A206" s="29"/>
      <c r="B206" s="29"/>
    </row>
    <row r="207" ht="15.75" customHeight="1">
      <c r="A207" s="29"/>
      <c r="B207" s="29"/>
    </row>
    <row r="208" ht="15.75" customHeight="1">
      <c r="A208" s="29"/>
      <c r="B208" s="29"/>
    </row>
    <row r="209" ht="15.75" customHeight="1">
      <c r="A209" s="29"/>
      <c r="B209" s="29"/>
    </row>
    <row r="210" ht="15.75" customHeight="1">
      <c r="A210" s="29"/>
      <c r="B210" s="29"/>
    </row>
    <row r="211" ht="15.75" customHeight="1">
      <c r="A211" s="29"/>
      <c r="B211" s="29"/>
    </row>
    <row r="212" ht="15.75" customHeight="1">
      <c r="A212" s="29"/>
      <c r="B212" s="29"/>
    </row>
    <row r="213" ht="15.75" customHeight="1">
      <c r="A213" s="29"/>
      <c r="B213" s="29"/>
    </row>
    <row r="214" ht="15.75" customHeight="1">
      <c r="A214" s="29"/>
      <c r="B214" s="29"/>
    </row>
    <row r="215" ht="15.75" customHeight="1">
      <c r="A215" s="29"/>
      <c r="B215" s="29"/>
    </row>
    <row r="216" ht="15.75" customHeight="1">
      <c r="A216" s="29"/>
      <c r="B216" s="29"/>
    </row>
    <row r="217" ht="15.75" customHeight="1">
      <c r="A217" s="29"/>
      <c r="B217" s="29"/>
    </row>
    <row r="218" ht="15.75" customHeight="1">
      <c r="A218" s="29"/>
      <c r="B218" s="29"/>
    </row>
    <row r="219" ht="15.75" customHeight="1">
      <c r="A219" s="29"/>
      <c r="B219" s="29"/>
    </row>
    <row r="220" ht="15.75" customHeight="1">
      <c r="A220" s="29"/>
      <c r="B220" s="29"/>
    </row>
    <row r="221" ht="15.75" customHeight="1">
      <c r="A221" s="29"/>
      <c r="B221" s="29"/>
    </row>
    <row r="222" ht="15.75" customHeight="1">
      <c r="A222" s="29"/>
      <c r="B222" s="29"/>
    </row>
    <row r="223" ht="15.75" customHeight="1">
      <c r="A223" s="29"/>
      <c r="B223" s="29"/>
    </row>
    <row r="224" ht="15.75" customHeight="1">
      <c r="A224" s="29"/>
      <c r="B224" s="29"/>
    </row>
    <row r="225" ht="15.75" customHeight="1">
      <c r="A225" s="29"/>
      <c r="B225" s="29"/>
    </row>
    <row r="226" ht="15.75" customHeight="1">
      <c r="A226" s="29"/>
      <c r="B226" s="29"/>
    </row>
    <row r="227" ht="15.75" customHeight="1">
      <c r="A227" s="29"/>
      <c r="B227" s="29"/>
    </row>
    <row r="228" ht="15.75" customHeight="1">
      <c r="A228" s="29"/>
      <c r="B228" s="29"/>
    </row>
    <row r="229" ht="15.75" customHeight="1">
      <c r="A229" s="29"/>
      <c r="B229" s="29"/>
    </row>
    <row r="230" ht="15.75" customHeight="1">
      <c r="A230" s="29"/>
      <c r="B230" s="29"/>
    </row>
    <row r="231" ht="15.75" customHeight="1">
      <c r="A231" s="29"/>
      <c r="B231" s="29"/>
    </row>
    <row r="232" ht="15.75" customHeight="1">
      <c r="A232" s="29"/>
      <c r="B232" s="29"/>
    </row>
    <row r="233" ht="15.75" customHeight="1">
      <c r="A233" s="29"/>
      <c r="B233" s="29"/>
    </row>
    <row r="234" ht="15.75" customHeight="1">
      <c r="A234" s="29"/>
      <c r="B234" s="29"/>
    </row>
    <row r="235" ht="15.75" customHeight="1">
      <c r="A235" s="29"/>
      <c r="B235" s="29"/>
    </row>
    <row r="236" ht="15.75" customHeight="1">
      <c r="A236" s="29"/>
      <c r="B236" s="29"/>
    </row>
    <row r="237" ht="15.75" customHeight="1">
      <c r="A237" s="29"/>
      <c r="B237" s="29"/>
    </row>
    <row r="238" ht="15.75" customHeight="1">
      <c r="A238" s="29"/>
      <c r="B238" s="29"/>
    </row>
    <row r="239" ht="15.75" customHeight="1">
      <c r="A239" s="29"/>
      <c r="B239" s="29"/>
    </row>
    <row r="240" ht="15.75" customHeight="1">
      <c r="A240" s="29"/>
      <c r="B240" s="29"/>
    </row>
    <row r="241" ht="15.75" customHeight="1">
      <c r="A241" s="29"/>
      <c r="B241" s="29"/>
    </row>
    <row r="242" ht="15.75" customHeight="1">
      <c r="A242" s="29"/>
      <c r="B242" s="29"/>
    </row>
    <row r="243" ht="15.75" customHeight="1">
      <c r="A243" s="29"/>
      <c r="B243" s="29"/>
    </row>
    <row r="244" ht="15.75" customHeight="1">
      <c r="A244" s="29"/>
      <c r="B244" s="29"/>
    </row>
    <row r="245" ht="15.75" customHeight="1">
      <c r="A245" s="29"/>
      <c r="B245" s="29"/>
    </row>
    <row r="246" ht="15.75" customHeight="1">
      <c r="A246" s="29"/>
      <c r="B246" s="29"/>
    </row>
    <row r="247" ht="15.75" customHeight="1">
      <c r="A247" s="29"/>
      <c r="B247" s="29"/>
    </row>
    <row r="248" ht="15.75" customHeight="1">
      <c r="A248" s="29"/>
      <c r="B248" s="29"/>
    </row>
    <row r="249" ht="15.75" customHeight="1">
      <c r="A249" s="29"/>
      <c r="B249" s="29"/>
    </row>
    <row r="250" ht="15.75" customHeight="1">
      <c r="A250" s="29"/>
      <c r="B250" s="29"/>
    </row>
    <row r="251" ht="15.75" customHeight="1">
      <c r="A251" s="29"/>
      <c r="B251" s="29"/>
    </row>
    <row r="252" ht="15.75" customHeight="1">
      <c r="A252" s="29"/>
      <c r="B252" s="29"/>
    </row>
    <row r="253" ht="15.75" customHeight="1">
      <c r="A253" s="29"/>
      <c r="B253" s="29"/>
    </row>
    <row r="254" ht="15.75" customHeight="1">
      <c r="A254" s="29"/>
      <c r="B254" s="29"/>
    </row>
    <row r="255" ht="15.75" customHeight="1">
      <c r="A255" s="29"/>
      <c r="B255" s="29"/>
    </row>
    <row r="256" ht="15.75" customHeight="1">
      <c r="A256" s="29"/>
      <c r="B256" s="29"/>
    </row>
    <row r="257" ht="15.75" customHeight="1">
      <c r="A257" s="29"/>
      <c r="B257" s="29"/>
    </row>
    <row r="258" ht="15.75" customHeight="1">
      <c r="A258" s="29"/>
      <c r="B258" s="29"/>
    </row>
    <row r="259" ht="15.75" customHeight="1">
      <c r="A259" s="29"/>
      <c r="B259" s="29"/>
    </row>
    <row r="260" ht="15.75" customHeight="1">
      <c r="A260" s="29"/>
      <c r="B260" s="29"/>
    </row>
    <row r="261" ht="15.75" customHeight="1">
      <c r="A261" s="29"/>
      <c r="B261" s="29"/>
    </row>
    <row r="262" ht="15.75" customHeight="1">
      <c r="A262" s="29"/>
      <c r="B262" s="29"/>
    </row>
    <row r="263" ht="15.75" customHeight="1">
      <c r="A263" s="29"/>
      <c r="B263" s="29"/>
    </row>
    <row r="264" ht="15.75" customHeight="1">
      <c r="A264" s="29"/>
      <c r="B264" s="29"/>
    </row>
    <row r="265" ht="15.75" customHeight="1">
      <c r="A265" s="29"/>
      <c r="B265" s="29"/>
    </row>
    <row r="266" ht="15.75" customHeight="1">
      <c r="A266" s="29"/>
      <c r="B266" s="29"/>
    </row>
    <row r="267" ht="15.75" customHeight="1">
      <c r="A267" s="29"/>
      <c r="B267" s="29"/>
    </row>
    <row r="268" ht="15.75" customHeight="1">
      <c r="A268" s="29"/>
      <c r="B268" s="29"/>
    </row>
    <row r="269" ht="15.75" customHeight="1">
      <c r="A269" s="29"/>
      <c r="B269" s="29"/>
    </row>
    <row r="270" ht="15.75" customHeight="1">
      <c r="A270" s="29"/>
      <c r="B270" s="29"/>
    </row>
    <row r="271" ht="15.75" customHeight="1">
      <c r="A271" s="29"/>
      <c r="B271" s="29"/>
    </row>
    <row r="272" ht="15.75" customHeight="1">
      <c r="A272" s="29"/>
      <c r="B272" s="29"/>
    </row>
    <row r="273" ht="15.75" customHeight="1">
      <c r="A273" s="29"/>
      <c r="B273" s="29"/>
    </row>
    <row r="274" ht="15.75" customHeight="1">
      <c r="A274" s="29"/>
      <c r="B274" s="29"/>
    </row>
    <row r="275" ht="15.75" customHeight="1">
      <c r="A275" s="29"/>
      <c r="B275" s="29"/>
    </row>
    <row r="276" ht="15.75" customHeight="1">
      <c r="A276" s="29"/>
      <c r="B276" s="29"/>
    </row>
    <row r="277" ht="15.75" customHeight="1">
      <c r="A277" s="29"/>
      <c r="B277" s="29"/>
    </row>
    <row r="278" ht="15.75" customHeight="1">
      <c r="A278" s="29"/>
      <c r="B278" s="29"/>
    </row>
    <row r="279" ht="15.75" customHeight="1">
      <c r="A279" s="29"/>
      <c r="B279" s="29"/>
    </row>
    <row r="280" ht="15.75" customHeight="1">
      <c r="A280" s="29"/>
      <c r="B280" s="29"/>
    </row>
    <row r="281" ht="15.75" customHeight="1">
      <c r="A281" s="29"/>
      <c r="B281" s="29"/>
    </row>
    <row r="282" ht="15.75" customHeight="1">
      <c r="A282" s="29"/>
      <c r="B282" s="29"/>
    </row>
    <row r="283" ht="15.75" customHeight="1">
      <c r="A283" s="29"/>
      <c r="B283" s="29"/>
    </row>
    <row r="284" ht="15.75" customHeight="1">
      <c r="A284" s="29"/>
      <c r="B284" s="29"/>
    </row>
    <row r="285" ht="15.75" customHeight="1">
      <c r="A285" s="29"/>
      <c r="B285" s="29"/>
    </row>
    <row r="286" ht="15.75" customHeight="1">
      <c r="A286" s="29"/>
      <c r="B286" s="29"/>
    </row>
    <row r="287" ht="15.75" customHeight="1">
      <c r="A287" s="29"/>
      <c r="B287" s="29"/>
    </row>
    <row r="288" ht="15.75" customHeight="1">
      <c r="A288" s="29"/>
      <c r="B288" s="29"/>
    </row>
    <row r="289" ht="15.75" customHeight="1">
      <c r="A289" s="29"/>
      <c r="B289" s="29"/>
    </row>
    <row r="290" ht="15.75" customHeight="1">
      <c r="A290" s="29"/>
      <c r="B290" s="29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30" t="s">
        <v>309</v>
      </c>
      <c r="B1" s="30" t="s">
        <v>310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3" t="s">
        <v>96</v>
      </c>
      <c r="B2" s="3" t="s">
        <v>248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" t="s">
        <v>167</v>
      </c>
      <c r="B3" s="11" t="s">
        <v>290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3" t="s">
        <v>32</v>
      </c>
      <c r="B4" s="3" t="s">
        <v>196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1" t="s">
        <v>161</v>
      </c>
      <c r="B5" s="11" t="s">
        <v>286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3" t="s">
        <v>20</v>
      </c>
      <c r="B6" s="3" t="s">
        <v>192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1" t="s">
        <v>177</v>
      </c>
      <c r="B7" s="11" t="s">
        <v>296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3" t="s">
        <v>72</v>
      </c>
      <c r="B8" s="3" t="s">
        <v>233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11" t="s">
        <v>34</v>
      </c>
      <c r="B9" s="11" t="s">
        <v>203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3" t="s">
        <v>179</v>
      </c>
      <c r="B10" s="3" t="s">
        <v>298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1" t="s">
        <v>60</v>
      </c>
      <c r="B11" s="11" t="s">
        <v>224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3" t="s">
        <v>44</v>
      </c>
      <c r="B12" s="3" t="s">
        <v>212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11" t="s">
        <v>132</v>
      </c>
      <c r="B13" s="11" t="s">
        <v>269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3" t="s">
        <v>84</v>
      </c>
      <c r="B14" s="3" t="s">
        <v>242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11" t="s">
        <v>38</v>
      </c>
      <c r="B15" s="11" t="s">
        <v>206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3" t="s">
        <v>144</v>
      </c>
      <c r="B16" s="3" t="s">
        <v>274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11" t="s">
        <v>56</v>
      </c>
      <c r="B17" s="11" t="s">
        <v>220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3" t="s">
        <v>157</v>
      </c>
      <c r="B18" s="3" t="s">
        <v>283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11" t="s">
        <v>169</v>
      </c>
      <c r="B19" s="11" t="s">
        <v>291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3" t="s">
        <v>48</v>
      </c>
      <c r="B20" s="3" t="s">
        <v>215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11" t="s">
        <v>175</v>
      </c>
      <c r="B21" s="11" t="s">
        <v>294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3" t="s">
        <v>311</v>
      </c>
      <c r="B22" s="3" t="s">
        <v>312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1" t="s">
        <v>313</v>
      </c>
      <c r="B23" s="11" t="s">
        <v>314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3" t="s">
        <v>24</v>
      </c>
      <c r="B24" s="3" t="s">
        <v>196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1" t="s">
        <v>80</v>
      </c>
      <c r="B25" s="11" t="s">
        <v>239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3" t="s">
        <v>104</v>
      </c>
      <c r="B26" s="3" t="s">
        <v>251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1" t="s">
        <v>315</v>
      </c>
      <c r="B27" s="11" t="s">
        <v>316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3" t="s">
        <v>149</v>
      </c>
      <c r="B28" s="3" t="s">
        <v>277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1" t="s">
        <v>86</v>
      </c>
      <c r="B29" s="11" t="s">
        <v>243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3" t="s">
        <v>317</v>
      </c>
      <c r="B30" s="3" t="s">
        <v>318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1" t="s">
        <v>70</v>
      </c>
      <c r="B31" s="11" t="s">
        <v>231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3" t="s">
        <v>30</v>
      </c>
      <c r="B32" s="3" t="s">
        <v>202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11" t="s">
        <v>319</v>
      </c>
      <c r="B33" s="11" t="s">
        <v>251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3" t="s">
        <v>66</v>
      </c>
      <c r="B34" s="3" t="s">
        <v>228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11" t="s">
        <v>110</v>
      </c>
      <c r="B35" s="11" t="s">
        <v>254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3" t="s">
        <v>320</v>
      </c>
      <c r="B36" s="3" t="s">
        <v>321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1" t="s">
        <v>322</v>
      </c>
      <c r="B37" s="11" t="s">
        <v>323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3" t="s">
        <v>324</v>
      </c>
      <c r="B38" s="3" t="s">
        <v>325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1" t="s">
        <v>50</v>
      </c>
      <c r="B39" s="11" t="s">
        <v>216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3" t="s">
        <v>62</v>
      </c>
      <c r="B40" s="3" t="s">
        <v>225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11" t="s">
        <v>159</v>
      </c>
      <c r="B41" s="11" t="s">
        <v>285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3" t="s">
        <v>118</v>
      </c>
      <c r="B42" s="3" t="s">
        <v>261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1" t="s">
        <v>326</v>
      </c>
      <c r="B43" s="11" t="s">
        <v>327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3" t="s">
        <v>102</v>
      </c>
      <c r="B44" s="3" t="s">
        <v>250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11" t="s">
        <v>64</v>
      </c>
      <c r="B45" s="11" t="s">
        <v>227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3" t="s">
        <v>106</v>
      </c>
      <c r="B46" s="3" t="s">
        <v>252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11" t="s">
        <v>100</v>
      </c>
      <c r="B47" s="11" t="s">
        <v>249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3" t="s">
        <v>328</v>
      </c>
      <c r="B48" s="3" t="s">
        <v>329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11" t="s">
        <v>22</v>
      </c>
      <c r="B49" s="11" t="s">
        <v>194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3" t="s">
        <v>330</v>
      </c>
      <c r="B50" s="3" t="s">
        <v>331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11" t="s">
        <v>332</v>
      </c>
      <c r="B51" s="11" t="s">
        <v>333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3" t="s">
        <v>153</v>
      </c>
      <c r="B52" s="3" t="s">
        <v>280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11" t="s">
        <v>334</v>
      </c>
      <c r="B53" s="11" t="s">
        <v>335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3" t="s">
        <v>336</v>
      </c>
      <c r="B54" s="3" t="s">
        <v>323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11" t="s">
        <v>108</v>
      </c>
      <c r="B55" s="11" t="s">
        <v>253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3" t="s">
        <v>337</v>
      </c>
      <c r="B56" s="3" t="s">
        <v>338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11" t="s">
        <v>88</v>
      </c>
      <c r="B57" s="11" t="s">
        <v>244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3" t="s">
        <v>124</v>
      </c>
      <c r="B58" s="3" t="s">
        <v>264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11" t="s">
        <v>54</v>
      </c>
      <c r="B59" s="11" t="s">
        <v>219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3" t="s">
        <v>36</v>
      </c>
      <c r="B60" s="3" t="s">
        <v>204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11" t="s">
        <v>90</v>
      </c>
      <c r="B61" s="11" t="s">
        <v>245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3" t="s">
        <v>76</v>
      </c>
      <c r="B62" s="3" t="s">
        <v>237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11" t="s">
        <v>339</v>
      </c>
      <c r="B63" s="11" t="s">
        <v>340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3" t="s">
        <v>171</v>
      </c>
      <c r="B64" s="3" t="s">
        <v>292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11" t="s">
        <v>58</v>
      </c>
      <c r="B65" s="11" t="s">
        <v>222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3" t="s">
        <v>341</v>
      </c>
      <c r="B66" s="3" t="s">
        <v>342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11" t="s">
        <v>163</v>
      </c>
      <c r="B67" s="11" t="s">
        <v>287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3" t="s">
        <v>343</v>
      </c>
      <c r="B68" s="3" t="s">
        <v>344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11" t="s">
        <v>98</v>
      </c>
      <c r="B69" s="11" t="s">
        <v>224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3" t="s">
        <v>52</v>
      </c>
      <c r="B70" s="3" t="s">
        <v>217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11" t="s">
        <v>345</v>
      </c>
      <c r="B71" s="11" t="s">
        <v>346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3" t="s">
        <v>173</v>
      </c>
      <c r="B72" s="3" t="s">
        <v>293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11" t="s">
        <v>26</v>
      </c>
      <c r="B73" s="11" t="s">
        <v>198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3" t="s">
        <v>347</v>
      </c>
      <c r="B74" s="3" t="s">
        <v>348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11" t="s">
        <v>78</v>
      </c>
      <c r="B75" s="11" t="s">
        <v>238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3" t="s">
        <v>349</v>
      </c>
      <c r="B76" s="3" t="s">
        <v>350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11" t="s">
        <v>112</v>
      </c>
      <c r="B77" s="11" t="s">
        <v>256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3" t="s">
        <v>351</v>
      </c>
      <c r="B78" s="3" t="s">
        <v>352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11" t="s">
        <v>353</v>
      </c>
      <c r="B79" s="11" t="s">
        <v>354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3" t="s">
        <v>355</v>
      </c>
      <c r="B80" s="3" t="s">
        <v>356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11" t="s">
        <v>357</v>
      </c>
      <c r="B81" s="11" t="s">
        <v>358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3" t="s">
        <v>74</v>
      </c>
      <c r="B82" s="3" t="s">
        <v>235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11" t="s">
        <v>46</v>
      </c>
      <c r="B83" s="11" t="s">
        <v>214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3" t="s">
        <v>155</v>
      </c>
      <c r="B84" s="3" t="s">
        <v>281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11" t="s">
        <v>142</v>
      </c>
      <c r="B85" s="11" t="s">
        <v>262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3" t="s">
        <v>40</v>
      </c>
      <c r="B86" s="3" t="s">
        <v>208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11" t="s">
        <v>165</v>
      </c>
      <c r="B87" s="11" t="s">
        <v>289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3" t="s">
        <v>359</v>
      </c>
      <c r="B88" s="3" t="s">
        <v>360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11" t="s">
        <v>361</v>
      </c>
      <c r="B89" s="11" t="s">
        <v>362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3" t="s">
        <v>138</v>
      </c>
      <c r="B90" s="3" t="s">
        <v>272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11" t="s">
        <v>363</v>
      </c>
      <c r="B91" s="11" t="s">
        <v>364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3" t="s">
        <v>122</v>
      </c>
      <c r="B92" s="3" t="s">
        <v>263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11" t="s">
        <v>82</v>
      </c>
      <c r="B93" s="11" t="s">
        <v>241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3" t="s">
        <v>365</v>
      </c>
      <c r="B94" s="3" t="s">
        <v>366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11" t="s">
        <v>130</v>
      </c>
      <c r="B95" s="11" t="s">
        <v>267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3" t="s">
        <v>92</v>
      </c>
      <c r="B96" s="3" t="s">
        <v>246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11" t="s">
        <v>42</v>
      </c>
      <c r="B97" s="11" t="s">
        <v>210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3" t="s">
        <v>367</v>
      </c>
      <c r="B98" s="3" t="s">
        <v>368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11" t="s">
        <v>148</v>
      </c>
      <c r="B99" s="11" t="s">
        <v>276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3" t="s">
        <v>369</v>
      </c>
      <c r="B100" s="3" t="s">
        <v>370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11" t="s">
        <v>371</v>
      </c>
      <c r="B101" s="11" t="s">
        <v>372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3" t="s">
        <v>28</v>
      </c>
      <c r="B102" s="3" t="s">
        <v>200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11" t="s">
        <v>373</v>
      </c>
      <c r="B103" s="11" t="s">
        <v>374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3" t="s">
        <v>375</v>
      </c>
      <c r="B104" s="3" t="s">
        <v>192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11" t="s">
        <v>140</v>
      </c>
      <c r="B105" s="11" t="s">
        <v>273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3" t="s">
        <v>376</v>
      </c>
      <c r="B106" s="3" t="s">
        <v>377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11" t="s">
        <v>378</v>
      </c>
      <c r="B107" s="11" t="s">
        <v>379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3" t="s">
        <v>94</v>
      </c>
      <c r="B108" s="3" t="s">
        <v>247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11" t="s">
        <v>114</v>
      </c>
      <c r="B109" s="11" t="s">
        <v>258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3" t="s">
        <v>380</v>
      </c>
      <c r="B110" s="3" t="s">
        <v>381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11" t="s">
        <v>151</v>
      </c>
      <c r="B111" s="11" t="s">
        <v>278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3" t="s">
        <v>126</v>
      </c>
      <c r="B112" s="3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11" t="s">
        <v>382</v>
      </c>
      <c r="B113" s="11" t="s">
        <v>383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3" t="s">
        <v>384</v>
      </c>
      <c r="B114" s="3" t="s">
        <v>385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11" t="s">
        <v>128</v>
      </c>
      <c r="B115" s="11" t="s">
        <v>128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3" t="s">
        <v>146</v>
      </c>
      <c r="B116" s="3" t="s">
        <v>275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11" t="s">
        <v>116</v>
      </c>
      <c r="B117" s="11" t="s">
        <v>260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3" t="s">
        <v>386</v>
      </c>
      <c r="B118" s="3" t="s">
        <v>387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11" t="s">
        <v>388</v>
      </c>
      <c r="B119" s="11" t="s">
        <v>389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3" t="s">
        <v>390</v>
      </c>
      <c r="B120" s="3" t="s">
        <v>391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11" t="s">
        <v>68</v>
      </c>
      <c r="B121" s="11" t="s">
        <v>229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3" t="s">
        <v>392</v>
      </c>
      <c r="B122" s="3" t="s">
        <v>393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11" t="s">
        <v>394</v>
      </c>
      <c r="B123" s="11" t="s">
        <v>395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3" t="s">
        <v>396</v>
      </c>
      <c r="B124" s="3" t="s">
        <v>397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11" t="s">
        <v>398</v>
      </c>
      <c r="B125" s="11" t="s">
        <v>399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3" t="s">
        <v>400</v>
      </c>
      <c r="B126" s="3" t="s">
        <v>401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11" t="s">
        <v>402</v>
      </c>
      <c r="B127" s="11" t="s">
        <v>403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3" t="s">
        <v>404</v>
      </c>
      <c r="B128" s="3" t="s">
        <v>405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11" t="s">
        <v>406</v>
      </c>
      <c r="B129" s="11" t="s">
        <v>407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3" t="s">
        <v>134</v>
      </c>
      <c r="B130" s="3" t="s">
        <v>270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11" t="s">
        <v>136</v>
      </c>
      <c r="B131" s="11" t="s">
        <v>271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3" t="s">
        <v>408</v>
      </c>
      <c r="B132" s="3" t="s">
        <v>409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11" t="s">
        <v>410</v>
      </c>
      <c r="B133" s="11" t="s">
        <v>411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3" t="s">
        <v>412</v>
      </c>
      <c r="B134" s="3" t="s">
        <v>413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11" t="s">
        <v>414</v>
      </c>
      <c r="B135" s="11" t="s">
        <v>415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3" t="s">
        <v>416</v>
      </c>
      <c r="B136" s="3" t="s">
        <v>417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11" t="s">
        <v>418</v>
      </c>
      <c r="B137" s="11" t="s">
        <v>419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3" t="s">
        <v>420</v>
      </c>
      <c r="B138" s="3" t="s">
        <v>421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11" t="s">
        <v>422</v>
      </c>
      <c r="B139" s="11" t="s">
        <v>423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3" t="s">
        <v>424</v>
      </c>
      <c r="B140" s="3" t="s">
        <v>425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11" t="s">
        <v>426</v>
      </c>
      <c r="B141" s="11" t="s">
        <v>427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3" t="s">
        <v>428</v>
      </c>
      <c r="B142" s="3" t="s">
        <v>429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11" t="s">
        <v>430</v>
      </c>
      <c r="B143" s="11" t="s">
        <v>431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3" t="s">
        <v>432</v>
      </c>
      <c r="B144" s="3" t="s">
        <v>433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11" t="s">
        <v>434</v>
      </c>
      <c r="B145" s="11" t="s">
        <v>434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3" t="s">
        <v>435</v>
      </c>
      <c r="B146" s="3" t="s">
        <v>436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11" t="s">
        <v>437</v>
      </c>
      <c r="B147" s="11" t="s">
        <v>438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3" t="s">
        <v>439</v>
      </c>
      <c r="B148" s="3" t="s">
        <v>440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11" t="s">
        <v>441</v>
      </c>
      <c r="B149" s="11" t="s">
        <v>206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3" t="s">
        <v>442</v>
      </c>
      <c r="B150" s="3" t="s">
        <v>443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11" t="s">
        <v>444</v>
      </c>
      <c r="B151" s="11" t="s">
        <v>445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3" t="s">
        <v>446</v>
      </c>
      <c r="B152" s="3" t="s">
        <v>447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11" t="s">
        <v>448</v>
      </c>
      <c r="B153" s="11" t="s">
        <v>449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3" t="s">
        <v>450</v>
      </c>
      <c r="B154" s="3" t="s">
        <v>451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11" t="s">
        <v>452</v>
      </c>
      <c r="B155" s="11" t="s">
        <v>453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3" t="s">
        <v>454</v>
      </c>
      <c r="B156" s="3" t="s">
        <v>455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11" t="s">
        <v>456</v>
      </c>
      <c r="B157" s="11" t="s">
        <v>457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3" t="s">
        <v>458</v>
      </c>
      <c r="B158" s="3" t="s">
        <v>459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11" t="s">
        <v>460</v>
      </c>
      <c r="B159" s="11" t="s">
        <v>461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3" t="s">
        <v>462</v>
      </c>
      <c r="B160" s="3" t="s">
        <v>463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11" t="s">
        <v>464</v>
      </c>
      <c r="B161" s="11" t="s">
        <v>465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3" t="s">
        <v>466</v>
      </c>
      <c r="B162" s="3" t="s">
        <v>467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11" t="s">
        <v>468</v>
      </c>
      <c r="B163" s="11" t="s">
        <v>469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3" t="s">
        <v>470</v>
      </c>
      <c r="B164" s="3" t="s">
        <v>471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11" t="s">
        <v>472</v>
      </c>
      <c r="B165" s="11" t="s">
        <v>473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3" t="s">
        <v>474</v>
      </c>
      <c r="B166" s="3" t="s">
        <v>475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11" t="s">
        <v>476</v>
      </c>
      <c r="B167" s="11" t="s">
        <v>477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3" t="s">
        <v>478</v>
      </c>
      <c r="B168" s="3" t="s">
        <v>479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11" t="s">
        <v>480</v>
      </c>
      <c r="B169" s="11" t="s">
        <v>481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3" t="s">
        <v>482</v>
      </c>
      <c r="B170" s="3" t="s">
        <v>483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11" t="s">
        <v>484</v>
      </c>
      <c r="B171" s="11" t="s">
        <v>485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3" t="s">
        <v>486</v>
      </c>
      <c r="B172" s="3" t="s">
        <v>261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11" t="s">
        <v>120</v>
      </c>
      <c r="B173" s="11" t="s">
        <v>262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3" t="s">
        <v>487</v>
      </c>
      <c r="B174" s="3" t="s">
        <v>488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11" t="s">
        <v>489</v>
      </c>
      <c r="B175" s="11" t="s">
        <v>490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3" t="s">
        <v>491</v>
      </c>
      <c r="B176" s="3" t="s">
        <v>492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11" t="s">
        <v>493</v>
      </c>
      <c r="B177" s="11" t="s">
        <v>494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3" t="s">
        <v>495</v>
      </c>
      <c r="B178" s="3" t="s">
        <v>496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11" t="s">
        <v>497</v>
      </c>
      <c r="B179" s="11" t="s">
        <v>498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3" t="s">
        <v>499</v>
      </c>
      <c r="B180" s="3" t="s">
        <v>381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11" t="s">
        <v>500</v>
      </c>
      <c r="B181" s="11" t="s">
        <v>501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3" t="s">
        <v>502</v>
      </c>
      <c r="B182" s="3" t="s">
        <v>503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11" t="s">
        <v>504</v>
      </c>
      <c r="B183" s="11" t="s">
        <v>505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3" t="s">
        <v>506</v>
      </c>
      <c r="B184" s="3" t="s">
        <v>507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11" t="s">
        <v>508</v>
      </c>
      <c r="B185" s="11" t="s">
        <v>509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3" t="s">
        <v>510</v>
      </c>
      <c r="B186" s="3" t="s">
        <v>511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11" t="s">
        <v>512</v>
      </c>
      <c r="B187" s="11" t="s">
        <v>513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3" t="s">
        <v>514</v>
      </c>
      <c r="B188" s="3" t="s">
        <v>515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11" t="s">
        <v>516</v>
      </c>
      <c r="B189" s="11" t="s">
        <v>517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3" t="s">
        <v>518</v>
      </c>
      <c r="B190" s="3" t="s">
        <v>519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11" t="s">
        <v>520</v>
      </c>
      <c r="B191" s="11" t="s">
        <v>399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3" t="s">
        <v>521</v>
      </c>
      <c r="B192" s="3" t="s">
        <v>431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11" t="s">
        <v>522</v>
      </c>
      <c r="B193" s="11" t="s">
        <v>523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3" t="s">
        <v>524</v>
      </c>
      <c r="B194" s="3" t="s">
        <v>525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11" t="s">
        <v>526</v>
      </c>
      <c r="B195" s="11" t="s">
        <v>527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3" t="s">
        <v>528</v>
      </c>
      <c r="B196" s="3" t="s">
        <v>529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11" t="s">
        <v>530</v>
      </c>
      <c r="B197" s="11" t="s">
        <v>531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3" t="s">
        <v>532</v>
      </c>
      <c r="B198" s="3" t="s">
        <v>533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11" t="s">
        <v>534</v>
      </c>
      <c r="B199" s="11" t="s">
        <v>535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3" t="s">
        <v>536</v>
      </c>
      <c r="B200" s="3" t="s">
        <v>537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11" t="s">
        <v>538</v>
      </c>
      <c r="B201" s="11" t="s">
        <v>539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3" t="s">
        <v>540</v>
      </c>
      <c r="B202" s="3" t="s">
        <v>541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11" t="s">
        <v>542</v>
      </c>
      <c r="B203" s="11" t="s">
        <v>543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3" t="s">
        <v>544</v>
      </c>
      <c r="B204" s="3" t="s">
        <v>545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11" t="s">
        <v>546</v>
      </c>
      <c r="B205" s="11" t="s">
        <v>547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3" t="s">
        <v>548</v>
      </c>
      <c r="B206" s="3" t="s">
        <v>549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11" t="s">
        <v>550</v>
      </c>
      <c r="B207" s="11" t="s">
        <v>551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3" t="s">
        <v>552</v>
      </c>
      <c r="B208" s="3" t="s">
        <v>312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11" t="s">
        <v>553</v>
      </c>
      <c r="B209" s="11" t="s">
        <v>554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3" t="s">
        <v>555</v>
      </c>
      <c r="B210" s="3" t="s">
        <v>556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11" t="s">
        <v>557</v>
      </c>
      <c r="B211" s="11" t="s">
        <v>558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3" t="s">
        <v>559</v>
      </c>
      <c r="B212" s="3" t="s">
        <v>560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11" t="s">
        <v>561</v>
      </c>
      <c r="B213" s="11" t="s">
        <v>562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3" t="s">
        <v>563</v>
      </c>
      <c r="B214" s="3" t="s">
        <v>564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11" t="s">
        <v>565</v>
      </c>
      <c r="B215" s="11" t="s">
        <v>329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3" t="s">
        <v>566</v>
      </c>
      <c r="B216" s="3" t="s">
        <v>567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11" t="s">
        <v>568</v>
      </c>
      <c r="B217" s="11" t="s">
        <v>569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3" t="s">
        <v>570</v>
      </c>
      <c r="B218" s="3" t="s">
        <v>571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11" t="s">
        <v>572</v>
      </c>
      <c r="B219" s="11" t="s">
        <v>242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3" t="s">
        <v>573</v>
      </c>
      <c r="B220" s="3" t="s">
        <v>574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11" t="s">
        <v>575</v>
      </c>
      <c r="B221" s="11" t="s">
        <v>576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3" t="s">
        <v>575</v>
      </c>
      <c r="B222" s="3" t="s">
        <v>577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11" t="s">
        <v>578</v>
      </c>
      <c r="B223" s="11" t="s">
        <v>579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3" t="s">
        <v>580</v>
      </c>
      <c r="B224" s="3" t="s">
        <v>581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11" t="s">
        <v>582</v>
      </c>
      <c r="B225" s="11" t="s">
        <v>583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3" t="s">
        <v>584</v>
      </c>
      <c r="B226" s="3" t="s">
        <v>585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11" t="s">
        <v>586</v>
      </c>
      <c r="B227" s="11" t="s">
        <v>587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3" t="s">
        <v>588</v>
      </c>
      <c r="B228" s="3" t="s">
        <v>589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11" t="s">
        <v>590</v>
      </c>
      <c r="B229" s="11" t="s">
        <v>591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3" t="s">
        <v>592</v>
      </c>
      <c r="B230" s="3" t="s">
        <v>589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11" t="s">
        <v>593</v>
      </c>
      <c r="B231" s="11" t="s">
        <v>594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3" t="s">
        <v>595</v>
      </c>
      <c r="B232" s="3" t="s">
        <v>596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11" t="s">
        <v>597</v>
      </c>
      <c r="B233" s="11" t="s">
        <v>598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3" t="s">
        <v>599</v>
      </c>
      <c r="B234" s="3" t="s">
        <v>600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11" t="s">
        <v>601</v>
      </c>
      <c r="B235" s="11" t="s">
        <v>562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3" t="s">
        <v>602</v>
      </c>
      <c r="B236" s="3" t="s">
        <v>603</v>
      </c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11" t="s">
        <v>604</v>
      </c>
      <c r="B237" s="11" t="s">
        <v>605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3" t="s">
        <v>606</v>
      </c>
      <c r="B238" s="3" t="s">
        <v>249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11" t="s">
        <v>607</v>
      </c>
      <c r="B239" s="11" t="s">
        <v>608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3" t="s">
        <v>609</v>
      </c>
      <c r="B240" s="3" t="s">
        <v>579</v>
      </c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11" t="s">
        <v>610</v>
      </c>
      <c r="B241" s="11" t="s">
        <v>611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3" t="s">
        <v>612</v>
      </c>
      <c r="B242" s="3" t="s">
        <v>613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11" t="s">
        <v>614</v>
      </c>
      <c r="B243" s="11" t="s">
        <v>615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3" t="s">
        <v>616</v>
      </c>
      <c r="B244" s="3" t="s">
        <v>245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11" t="s">
        <v>617</v>
      </c>
      <c r="B245" s="11" t="s">
        <v>618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3" t="s">
        <v>619</v>
      </c>
      <c r="B246" s="3" t="s">
        <v>533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11" t="s">
        <v>620</v>
      </c>
      <c r="B247" s="11" t="s">
        <v>621</v>
      </c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3" t="s">
        <v>622</v>
      </c>
      <c r="B248" s="3" t="s">
        <v>623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11" t="s">
        <v>624</v>
      </c>
      <c r="B249" s="11" t="s">
        <v>625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3" t="s">
        <v>626</v>
      </c>
      <c r="B250" s="3" t="s">
        <v>627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11" t="s">
        <v>628</v>
      </c>
      <c r="B251" s="11" t="s">
        <v>629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3" t="s">
        <v>630</v>
      </c>
      <c r="B252" s="3" t="s">
        <v>385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11" t="s">
        <v>631</v>
      </c>
      <c r="B253" s="11" t="s">
        <v>632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3" t="s">
        <v>633</v>
      </c>
      <c r="B254" s="3" t="s">
        <v>634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11" t="s">
        <v>635</v>
      </c>
      <c r="B255" s="11" t="s">
        <v>636</v>
      </c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3" t="s">
        <v>637</v>
      </c>
      <c r="B256" s="3" t="s">
        <v>238</v>
      </c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11" t="s">
        <v>638</v>
      </c>
      <c r="B257" s="11" t="s">
        <v>210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3" t="s">
        <v>639</v>
      </c>
      <c r="B258" s="3" t="s">
        <v>640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11" t="s">
        <v>641</v>
      </c>
      <c r="B259" s="11" t="s">
        <v>642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3" t="s">
        <v>643</v>
      </c>
      <c r="B260" s="3" t="s">
        <v>634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11" t="s">
        <v>644</v>
      </c>
      <c r="B261" s="11" t="s">
        <v>645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3" t="s">
        <v>646</v>
      </c>
      <c r="B262" s="3" t="s">
        <v>647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11" t="s">
        <v>648</v>
      </c>
      <c r="B263" s="11" t="s">
        <v>649</v>
      </c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3" t="s">
        <v>650</v>
      </c>
      <c r="B264" s="3" t="s">
        <v>651</v>
      </c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11" t="s">
        <v>652</v>
      </c>
      <c r="B265" s="11" t="s">
        <v>653</v>
      </c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3" t="s">
        <v>654</v>
      </c>
      <c r="B266" s="3" t="s">
        <v>655</v>
      </c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11" t="s">
        <v>656</v>
      </c>
      <c r="B267" s="11" t="s">
        <v>657</v>
      </c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3" t="s">
        <v>658</v>
      </c>
      <c r="B268" s="3" t="s">
        <v>558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11" t="s">
        <v>659</v>
      </c>
      <c r="B269" s="11" t="s">
        <v>660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3" t="s">
        <v>661</v>
      </c>
      <c r="B270" s="3" t="s">
        <v>660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11" t="s">
        <v>662</v>
      </c>
      <c r="B271" s="11" t="s">
        <v>663</v>
      </c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3" t="s">
        <v>664</v>
      </c>
      <c r="B272" s="3" t="s">
        <v>665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11" t="s">
        <v>666</v>
      </c>
      <c r="B273" s="11" t="s">
        <v>667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3" t="s">
        <v>668</v>
      </c>
      <c r="B274" s="3" t="s">
        <v>669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11" t="s">
        <v>670</v>
      </c>
      <c r="B275" s="11" t="s">
        <v>671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3" t="s">
        <v>672</v>
      </c>
      <c r="B276" s="3" t="s">
        <v>673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11" t="s">
        <v>674</v>
      </c>
      <c r="B277" s="11" t="s">
        <v>675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3" t="s">
        <v>676</v>
      </c>
      <c r="B278" s="3" t="s">
        <v>677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11" t="s">
        <v>678</v>
      </c>
      <c r="B279" s="11" t="s">
        <v>675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3" t="s">
        <v>679</v>
      </c>
      <c r="B280" s="3" t="s">
        <v>539</v>
      </c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11" t="s">
        <v>680</v>
      </c>
      <c r="B281" s="11" t="s">
        <v>681</v>
      </c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3" t="s">
        <v>682</v>
      </c>
      <c r="B282" s="3" t="s">
        <v>675</v>
      </c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11" t="s">
        <v>683</v>
      </c>
      <c r="B283" s="11" t="s">
        <v>684</v>
      </c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3" t="s">
        <v>685</v>
      </c>
      <c r="B284" s="3" t="s">
        <v>417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11" t="s">
        <v>686</v>
      </c>
      <c r="B285" s="11" t="s">
        <v>687</v>
      </c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3" t="s">
        <v>688</v>
      </c>
      <c r="B286" s="3" t="s">
        <v>649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11" t="s">
        <v>689</v>
      </c>
      <c r="B287" s="11" t="s">
        <v>625</v>
      </c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3" t="s">
        <v>690</v>
      </c>
      <c r="B288" s="3" t="s">
        <v>691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11" t="s">
        <v>692</v>
      </c>
      <c r="B289" s="11" t="s">
        <v>693</v>
      </c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3" t="s">
        <v>694</v>
      </c>
      <c r="B290" s="3" t="s">
        <v>695</v>
      </c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11" t="s">
        <v>696</v>
      </c>
      <c r="B291" s="11" t="s">
        <v>697</v>
      </c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3" t="s">
        <v>698</v>
      </c>
      <c r="B292" s="3" t="s">
        <v>699</v>
      </c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11" t="s">
        <v>700</v>
      </c>
      <c r="B293" s="11" t="s">
        <v>701</v>
      </c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3" t="s">
        <v>702</v>
      </c>
      <c r="B294" s="3" t="s">
        <v>703</v>
      </c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11" t="s">
        <v>704</v>
      </c>
      <c r="B295" s="11" t="s">
        <v>705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3" t="s">
        <v>706</v>
      </c>
      <c r="B296" s="3" t="s">
        <v>707</v>
      </c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11" t="s">
        <v>708</v>
      </c>
      <c r="B297" s="11" t="s">
        <v>709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3" t="s">
        <v>710</v>
      </c>
      <c r="B298" s="3" t="s">
        <v>711</v>
      </c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11" t="s">
        <v>712</v>
      </c>
      <c r="B299" s="11" t="s">
        <v>713</v>
      </c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3" t="s">
        <v>714</v>
      </c>
      <c r="B300" s="3" t="s">
        <v>715</v>
      </c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11" t="s">
        <v>716</v>
      </c>
      <c r="B301" s="11" t="s">
        <v>717</v>
      </c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3" t="s">
        <v>718</v>
      </c>
      <c r="B302" s="3" t="s">
        <v>719</v>
      </c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11" t="s">
        <v>720</v>
      </c>
      <c r="B303" s="11" t="s">
        <v>270</v>
      </c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3" t="s">
        <v>721</v>
      </c>
      <c r="B304" s="3" t="s">
        <v>722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11" t="s">
        <v>723</v>
      </c>
      <c r="B305" s="11" t="s">
        <v>724</v>
      </c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3" t="s">
        <v>725</v>
      </c>
      <c r="B306" s="3" t="s">
        <v>726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11" t="s">
        <v>727</v>
      </c>
      <c r="B307" s="11" t="s">
        <v>728</v>
      </c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3" t="s">
        <v>729</v>
      </c>
      <c r="B308" s="3" t="s">
        <v>730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11" t="s">
        <v>731</v>
      </c>
      <c r="B309" s="11" t="s">
        <v>447</v>
      </c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3" t="s">
        <v>732</v>
      </c>
      <c r="B310" s="3" t="s">
        <v>733</v>
      </c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11" t="s">
        <v>734</v>
      </c>
      <c r="B311" s="11" t="s">
        <v>691</v>
      </c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3" t="s">
        <v>735</v>
      </c>
      <c r="B312" s="3" t="s">
        <v>736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11" t="s">
        <v>737</v>
      </c>
      <c r="B313" s="11" t="s">
        <v>697</v>
      </c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3" t="s">
        <v>738</v>
      </c>
      <c r="B314" s="3" t="s">
        <v>640</v>
      </c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11" t="s">
        <v>739</v>
      </c>
      <c r="B315" s="11" t="s">
        <v>740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3" t="s">
        <v>741</v>
      </c>
      <c r="B316" s="3" t="s">
        <v>742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11" t="s">
        <v>743</v>
      </c>
      <c r="B317" s="11" t="s">
        <v>744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3" t="s">
        <v>745</v>
      </c>
      <c r="B318" s="3" t="s">
        <v>746</v>
      </c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11" t="s">
        <v>747</v>
      </c>
      <c r="B319" s="11" t="s">
        <v>748</v>
      </c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3" t="s">
        <v>749</v>
      </c>
      <c r="B320" s="3" t="s">
        <v>750</v>
      </c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11" t="s">
        <v>751</v>
      </c>
      <c r="B321" s="11" t="s">
        <v>684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3" t="s">
        <v>752</v>
      </c>
      <c r="B322" s="3" t="s">
        <v>753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11" t="s">
        <v>754</v>
      </c>
      <c r="B323" s="11" t="s">
        <v>755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3" t="s">
        <v>756</v>
      </c>
      <c r="B324" s="3" t="s">
        <v>757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11" t="s">
        <v>758</v>
      </c>
      <c r="B325" s="11" t="s">
        <v>759</v>
      </c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3" t="s">
        <v>760</v>
      </c>
      <c r="B326" s="3" t="s">
        <v>705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11" t="s">
        <v>761</v>
      </c>
      <c r="B327" s="11" t="s">
        <v>463</v>
      </c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3" t="s">
        <v>762</v>
      </c>
      <c r="B328" s="3" t="s">
        <v>763</v>
      </c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11" t="s">
        <v>764</v>
      </c>
      <c r="B329" s="11" t="s">
        <v>665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3" t="s">
        <v>765</v>
      </c>
      <c r="B330" s="3" t="s">
        <v>766</v>
      </c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11" t="s">
        <v>767</v>
      </c>
      <c r="B331" s="11" t="s">
        <v>768</v>
      </c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3" t="s">
        <v>769</v>
      </c>
      <c r="B332" s="3" t="s">
        <v>770</v>
      </c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11" t="s">
        <v>771</v>
      </c>
      <c r="B333" s="11" t="s">
        <v>772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3" t="s">
        <v>773</v>
      </c>
      <c r="B334" s="3" t="s">
        <v>774</v>
      </c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11" t="s">
        <v>775</v>
      </c>
      <c r="B335" s="11" t="s">
        <v>667</v>
      </c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3" t="s">
        <v>776</v>
      </c>
      <c r="B336" s="3" t="s">
        <v>777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11" t="s">
        <v>778</v>
      </c>
      <c r="B337" s="11" t="s">
        <v>693</v>
      </c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3" t="s">
        <v>779</v>
      </c>
      <c r="B338" s="3" t="s">
        <v>780</v>
      </c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11" t="s">
        <v>781</v>
      </c>
      <c r="B339" s="11" t="s">
        <v>782</v>
      </c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3" t="s">
        <v>783</v>
      </c>
      <c r="B340" s="3" t="s">
        <v>784</v>
      </c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11" t="s">
        <v>785</v>
      </c>
      <c r="B341" s="11" t="s">
        <v>753</v>
      </c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3" t="s">
        <v>786</v>
      </c>
      <c r="B342" s="3" t="s">
        <v>621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11" t="s">
        <v>787</v>
      </c>
      <c r="B343" s="11" t="s">
        <v>724</v>
      </c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3" t="s">
        <v>788</v>
      </c>
      <c r="B344" s="3" t="s">
        <v>780</v>
      </c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11" t="s">
        <v>789</v>
      </c>
      <c r="B345" s="11" t="s">
        <v>790</v>
      </c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3" t="s">
        <v>791</v>
      </c>
      <c r="B346" s="3" t="s">
        <v>792</v>
      </c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11" t="s">
        <v>793</v>
      </c>
      <c r="B347" s="11" t="s">
        <v>794</v>
      </c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3" t="s">
        <v>795</v>
      </c>
      <c r="B348" s="3" t="s">
        <v>669</v>
      </c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11" t="s">
        <v>796</v>
      </c>
      <c r="B349" s="11" t="s">
        <v>740</v>
      </c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3" t="s">
        <v>797</v>
      </c>
      <c r="B350" s="3" t="s">
        <v>774</v>
      </c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11" t="s">
        <v>798</v>
      </c>
      <c r="B351" s="11" t="s">
        <v>799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3" t="s">
        <v>800</v>
      </c>
      <c r="B352" s="3" t="s">
        <v>801</v>
      </c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11" t="s">
        <v>802</v>
      </c>
      <c r="B353" s="11" t="s">
        <v>251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3" t="s">
        <v>803</v>
      </c>
      <c r="B354" s="3" t="s">
        <v>766</v>
      </c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11" t="s">
        <v>804</v>
      </c>
      <c r="B355" s="11" t="s">
        <v>598</v>
      </c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3" t="s">
        <v>805</v>
      </c>
      <c r="B356" s="3" t="s">
        <v>571</v>
      </c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11" t="s">
        <v>806</v>
      </c>
      <c r="B357" s="11" t="s">
        <v>278</v>
      </c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3" t="s">
        <v>807</v>
      </c>
      <c r="B358" s="3" t="s">
        <v>808</v>
      </c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11" t="s">
        <v>809</v>
      </c>
      <c r="B359" s="11" t="s">
        <v>810</v>
      </c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3" t="s">
        <v>811</v>
      </c>
      <c r="B360" s="3" t="s">
        <v>812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11" t="s">
        <v>813</v>
      </c>
      <c r="B361" s="11" t="s">
        <v>814</v>
      </c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3" t="s">
        <v>815</v>
      </c>
      <c r="B362" s="3" t="s">
        <v>759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11" t="s">
        <v>816</v>
      </c>
      <c r="B363" s="11" t="s">
        <v>726</v>
      </c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3" t="s">
        <v>817</v>
      </c>
      <c r="B364" s="3" t="s">
        <v>709</v>
      </c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11" t="s">
        <v>818</v>
      </c>
      <c r="B365" s="11" t="s">
        <v>819</v>
      </c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3" t="s">
        <v>820</v>
      </c>
      <c r="B366" s="3" t="s">
        <v>794</v>
      </c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11" t="s">
        <v>821</v>
      </c>
      <c r="B367" s="11" t="s">
        <v>822</v>
      </c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3" t="s">
        <v>823</v>
      </c>
      <c r="B368" s="3" t="s">
        <v>824</v>
      </c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11" t="s">
        <v>825</v>
      </c>
      <c r="B369" s="11" t="s">
        <v>826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3" t="s">
        <v>827</v>
      </c>
      <c r="B370" s="3" t="s">
        <v>828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11" t="s">
        <v>829</v>
      </c>
      <c r="B371" s="11" t="s">
        <v>822</v>
      </c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3" t="s">
        <v>830</v>
      </c>
      <c r="B372" s="3" t="s">
        <v>831</v>
      </c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11" t="s">
        <v>832</v>
      </c>
      <c r="B373" s="11" t="s">
        <v>730</v>
      </c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3" t="s">
        <v>833</v>
      </c>
      <c r="B374" s="3" t="s">
        <v>834</v>
      </c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11" t="s">
        <v>835</v>
      </c>
      <c r="B375" s="11" t="s">
        <v>836</v>
      </c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3" t="s">
        <v>837</v>
      </c>
      <c r="B376" s="3" t="s">
        <v>838</v>
      </c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11" t="s">
        <v>839</v>
      </c>
      <c r="B377" s="11" t="s">
        <v>836</v>
      </c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3" t="s">
        <v>840</v>
      </c>
      <c r="B378" s="3" t="s">
        <v>841</v>
      </c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11" t="s">
        <v>842</v>
      </c>
      <c r="B379" s="11" t="s">
        <v>558</v>
      </c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3" t="s">
        <v>843</v>
      </c>
      <c r="B380" s="3" t="s">
        <v>733</v>
      </c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11" t="s">
        <v>844</v>
      </c>
      <c r="B381" s="11" t="s">
        <v>845</v>
      </c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3" t="s">
        <v>846</v>
      </c>
      <c r="B382" s="3" t="s">
        <v>847</v>
      </c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11" t="s">
        <v>848</v>
      </c>
      <c r="B383" s="11" t="s">
        <v>794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3" t="s">
        <v>849</v>
      </c>
      <c r="B384" s="3" t="s">
        <v>577</v>
      </c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11" t="s">
        <v>849</v>
      </c>
      <c r="B385" s="11" t="s">
        <v>576</v>
      </c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3" t="s">
        <v>850</v>
      </c>
      <c r="B386" s="3" t="s">
        <v>851</v>
      </c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11" t="s">
        <v>852</v>
      </c>
      <c r="B387" s="11" t="s">
        <v>801</v>
      </c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3" t="s">
        <v>853</v>
      </c>
      <c r="B388" s="3" t="s">
        <v>709</v>
      </c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11" t="s">
        <v>854</v>
      </c>
      <c r="B389" s="11" t="s">
        <v>855</v>
      </c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3" t="s">
        <v>856</v>
      </c>
      <c r="B390" s="3" t="s">
        <v>857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11" t="s">
        <v>858</v>
      </c>
      <c r="B391" s="11" t="s">
        <v>707</v>
      </c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3" t="s">
        <v>859</v>
      </c>
      <c r="B392" s="3" t="s">
        <v>828</v>
      </c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11" t="s">
        <v>860</v>
      </c>
      <c r="B393" s="11" t="s">
        <v>707</v>
      </c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3" t="s">
        <v>861</v>
      </c>
      <c r="B394" s="3" t="s">
        <v>862</v>
      </c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11" t="s">
        <v>863</v>
      </c>
      <c r="B395" s="11" t="s">
        <v>790</v>
      </c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3" t="s">
        <v>864</v>
      </c>
      <c r="B396" s="3" t="s">
        <v>865</v>
      </c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11" t="s">
        <v>866</v>
      </c>
      <c r="B397" s="11" t="s">
        <v>867</v>
      </c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3" t="s">
        <v>868</v>
      </c>
      <c r="B398" s="3" t="s">
        <v>828</v>
      </c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11" t="s">
        <v>869</v>
      </c>
      <c r="B399" s="11" t="s">
        <v>857</v>
      </c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3" t="s">
        <v>870</v>
      </c>
      <c r="B400" s="3" t="s">
        <v>707</v>
      </c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11" t="s">
        <v>871</v>
      </c>
      <c r="B401" s="11" t="s">
        <v>838</v>
      </c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3" t="s">
        <v>872</v>
      </c>
      <c r="B402" s="3" t="s">
        <v>873</v>
      </c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11" t="s">
        <v>874</v>
      </c>
      <c r="B403" s="11" t="s">
        <v>763</v>
      </c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3" t="s">
        <v>875</v>
      </c>
      <c r="B404" s="3" t="s">
        <v>851</v>
      </c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11" t="s">
        <v>876</v>
      </c>
      <c r="B405" s="11" t="s">
        <v>877</v>
      </c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3" t="s">
        <v>878</v>
      </c>
      <c r="B406" s="3" t="s">
        <v>879</v>
      </c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11" t="s">
        <v>880</v>
      </c>
      <c r="B407" s="11" t="s">
        <v>262</v>
      </c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3" t="s">
        <v>881</v>
      </c>
      <c r="B408" s="3" t="s">
        <v>794</v>
      </c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11" t="s">
        <v>882</v>
      </c>
      <c r="B409" s="11" t="s">
        <v>877</v>
      </c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3" t="s">
        <v>883</v>
      </c>
      <c r="B410" s="3" t="s">
        <v>877</v>
      </c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11" t="s">
        <v>884</v>
      </c>
      <c r="B411" s="11" t="s">
        <v>210</v>
      </c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3" t="s">
        <v>885</v>
      </c>
      <c r="B412" s="3" t="s">
        <v>192</v>
      </c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11" t="s">
        <v>886</v>
      </c>
      <c r="B413" s="11" t="s">
        <v>887</v>
      </c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3" t="s">
        <v>888</v>
      </c>
      <c r="B414" s="3" t="s">
        <v>889</v>
      </c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11" t="s">
        <v>890</v>
      </c>
      <c r="B415" s="11" t="s">
        <v>757</v>
      </c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3" t="s">
        <v>891</v>
      </c>
      <c r="B416" s="3" t="s">
        <v>719</v>
      </c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11" t="s">
        <v>892</v>
      </c>
      <c r="B417" s="11" t="s">
        <v>770</v>
      </c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3" t="s">
        <v>893</v>
      </c>
      <c r="B418" s="3" t="s">
        <v>889</v>
      </c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11" t="s">
        <v>894</v>
      </c>
      <c r="B419" s="11" t="s">
        <v>895</v>
      </c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3" t="s">
        <v>896</v>
      </c>
      <c r="B420" s="3" t="s">
        <v>417</v>
      </c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11" t="s">
        <v>897</v>
      </c>
      <c r="B421" s="11" t="s">
        <v>879</v>
      </c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3" t="s">
        <v>898</v>
      </c>
      <c r="B422" s="3" t="s">
        <v>794</v>
      </c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11" t="s">
        <v>899</v>
      </c>
      <c r="B423" s="11" t="s">
        <v>900</v>
      </c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3" t="s">
        <v>901</v>
      </c>
      <c r="B424" s="3" t="s">
        <v>902</v>
      </c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11" t="s">
        <v>903</v>
      </c>
      <c r="B425" s="11" t="s">
        <v>902</v>
      </c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3" t="s">
        <v>904</v>
      </c>
      <c r="B426" s="3" t="s">
        <v>855</v>
      </c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11" t="s">
        <v>905</v>
      </c>
      <c r="B427" s="11" t="s">
        <v>693</v>
      </c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3" t="s">
        <v>906</v>
      </c>
      <c r="B428" s="3" t="s">
        <v>907</v>
      </c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11" t="s">
        <v>908</v>
      </c>
      <c r="B429" s="11" t="s">
        <v>909</v>
      </c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3" t="s">
        <v>910</v>
      </c>
      <c r="B430" s="3" t="s">
        <v>794</v>
      </c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11" t="s">
        <v>911</v>
      </c>
      <c r="B431" s="11" t="s">
        <v>912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3" t="s">
        <v>913</v>
      </c>
      <c r="B432" s="3" t="s">
        <v>914</v>
      </c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11" t="s">
        <v>915</v>
      </c>
      <c r="B433" s="11" t="s">
        <v>794</v>
      </c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3" t="s">
        <v>916</v>
      </c>
      <c r="B434" s="3" t="s">
        <v>917</v>
      </c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11" t="s">
        <v>918</v>
      </c>
      <c r="B435" s="11" t="s">
        <v>919</v>
      </c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3" t="s">
        <v>920</v>
      </c>
      <c r="B436" s="3" t="s">
        <v>744</v>
      </c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11" t="s">
        <v>921</v>
      </c>
      <c r="B437" s="11" t="s">
        <v>922</v>
      </c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3" t="s">
        <v>923</v>
      </c>
      <c r="B438" s="3" t="s">
        <v>922</v>
      </c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11" t="s">
        <v>924</v>
      </c>
      <c r="B439" s="11" t="s">
        <v>855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3" t="s">
        <v>925</v>
      </c>
      <c r="B440" s="3" t="s">
        <v>925</v>
      </c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11" t="s">
        <v>926</v>
      </c>
      <c r="B441" s="11" t="s">
        <v>867</v>
      </c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3" t="s">
        <v>927</v>
      </c>
      <c r="B442" s="3" t="s">
        <v>772</v>
      </c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11" t="s">
        <v>928</v>
      </c>
      <c r="B443" s="11" t="s">
        <v>929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3" t="s">
        <v>930</v>
      </c>
      <c r="B444" s="3" t="s">
        <v>931</v>
      </c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11" t="s">
        <v>932</v>
      </c>
      <c r="B445" s="11" t="s">
        <v>701</v>
      </c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3" t="s">
        <v>933</v>
      </c>
      <c r="B446" s="3" t="s">
        <v>831</v>
      </c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11" t="s">
        <v>934</v>
      </c>
      <c r="B447" s="11" t="s">
        <v>935</v>
      </c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3" t="s">
        <v>936</v>
      </c>
      <c r="B448" s="3" t="s">
        <v>687</v>
      </c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11" t="s">
        <v>937</v>
      </c>
      <c r="B449" s="11" t="s">
        <v>938</v>
      </c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3" t="s">
        <v>939</v>
      </c>
      <c r="B450" s="3" t="s">
        <v>939</v>
      </c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11" t="s">
        <v>940</v>
      </c>
      <c r="B451" s="11" t="s">
        <v>941</v>
      </c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3" t="s">
        <v>942</v>
      </c>
      <c r="B452" s="3" t="s">
        <v>943</v>
      </c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11" t="s">
        <v>944</v>
      </c>
      <c r="B453" s="11" t="s">
        <v>945</v>
      </c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3" t="s">
        <v>946</v>
      </c>
      <c r="B454" s="3" t="s">
        <v>947</v>
      </c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11" t="s">
        <v>948</v>
      </c>
      <c r="B455" s="11" t="s">
        <v>949</v>
      </c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3" t="s">
        <v>950</v>
      </c>
      <c r="B456" s="3" t="s">
        <v>950</v>
      </c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11" t="s">
        <v>951</v>
      </c>
      <c r="B457" s="11" t="s">
        <v>951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3" t="s">
        <v>952</v>
      </c>
      <c r="B458" s="3" t="s">
        <v>943</v>
      </c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11" t="s">
        <v>953</v>
      </c>
      <c r="B459" s="11" t="s">
        <v>954</v>
      </c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3" t="s">
        <v>955</v>
      </c>
      <c r="B460" s="3" t="s">
        <v>956</v>
      </c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11" t="s">
        <v>957</v>
      </c>
      <c r="B461" s="11" t="s">
        <v>958</v>
      </c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3" t="s">
        <v>959</v>
      </c>
      <c r="B462" s="3" t="s">
        <v>958</v>
      </c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11" t="s">
        <v>960</v>
      </c>
      <c r="B463" s="11" t="s">
        <v>961</v>
      </c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3" t="s">
        <v>962</v>
      </c>
      <c r="B464" s="3" t="s">
        <v>961</v>
      </c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11" t="s">
        <v>963</v>
      </c>
      <c r="B465" s="11" t="s">
        <v>964</v>
      </c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3" t="s">
        <v>965</v>
      </c>
      <c r="B466" s="3" t="s">
        <v>966</v>
      </c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11" t="s">
        <v>967</v>
      </c>
      <c r="B467" s="11" t="s">
        <v>966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3" t="s">
        <v>968</v>
      </c>
      <c r="B468" s="3" t="s">
        <v>964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11" t="s">
        <v>969</v>
      </c>
      <c r="B469" s="11" t="s">
        <v>969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3" t="s">
        <v>970</v>
      </c>
      <c r="B470" s="3" t="s">
        <v>971</v>
      </c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11" t="s">
        <v>972</v>
      </c>
      <c r="B471" s="11" t="s">
        <v>973</v>
      </c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3" t="s">
        <v>974</v>
      </c>
      <c r="B472" s="3" t="s">
        <v>973</v>
      </c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11" t="s">
        <v>975</v>
      </c>
      <c r="B473" s="11" t="s">
        <v>935</v>
      </c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3" t="s">
        <v>976</v>
      </c>
      <c r="B474" s="3" t="s">
        <v>976</v>
      </c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11" t="s">
        <v>977</v>
      </c>
      <c r="B475" s="11" t="s">
        <v>515</v>
      </c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3" t="s">
        <v>978</v>
      </c>
      <c r="B476" s="3" t="s">
        <v>979</v>
      </c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11" t="s">
        <v>980</v>
      </c>
      <c r="B477" s="11" t="s">
        <v>980</v>
      </c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3" t="s">
        <v>981</v>
      </c>
      <c r="B478" s="3" t="s">
        <v>799</v>
      </c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11" t="s">
        <v>982</v>
      </c>
      <c r="B479" s="11" t="s">
        <v>810</v>
      </c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3" t="s">
        <v>983</v>
      </c>
      <c r="B480" s="3" t="s">
        <v>984</v>
      </c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11" t="s">
        <v>985</v>
      </c>
      <c r="B481" s="11" t="s">
        <v>986</v>
      </c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3" t="s">
        <v>987</v>
      </c>
      <c r="B482" s="3" t="s">
        <v>986</v>
      </c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11" t="s">
        <v>988</v>
      </c>
      <c r="B483" s="11" t="s">
        <v>989</v>
      </c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3" t="s">
        <v>990</v>
      </c>
      <c r="B484" s="3" t="s">
        <v>989</v>
      </c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11" t="s">
        <v>991</v>
      </c>
      <c r="B485" s="11" t="s">
        <v>991</v>
      </c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3" t="s">
        <v>992</v>
      </c>
      <c r="B486" s="3" t="s">
        <v>889</v>
      </c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11" t="s">
        <v>993</v>
      </c>
      <c r="B487" s="11" t="s">
        <v>994</v>
      </c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3" t="s">
        <v>995</v>
      </c>
      <c r="B488" s="3" t="s">
        <v>994</v>
      </c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11" t="s">
        <v>996</v>
      </c>
      <c r="B489" s="11" t="s">
        <v>994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3" t="s">
        <v>997</v>
      </c>
      <c r="B490" s="3" t="s">
        <v>998</v>
      </c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11" t="s">
        <v>999</v>
      </c>
      <c r="B491" s="11" t="s">
        <v>1000</v>
      </c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3" t="s">
        <v>1001</v>
      </c>
      <c r="B492" s="3" t="s">
        <v>1002</v>
      </c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11" t="s">
        <v>1003</v>
      </c>
      <c r="B493" s="11" t="s">
        <v>998</v>
      </c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3" t="s">
        <v>1004</v>
      </c>
      <c r="B494" s="3" t="s">
        <v>1005</v>
      </c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11" t="s">
        <v>1006</v>
      </c>
      <c r="B495" s="11" t="s">
        <v>1007</v>
      </c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3" t="s">
        <v>1008</v>
      </c>
      <c r="B496" s="3" t="s">
        <v>1007</v>
      </c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11" t="s">
        <v>1009</v>
      </c>
      <c r="B497" s="11" t="s">
        <v>1010</v>
      </c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3" t="s">
        <v>1011</v>
      </c>
      <c r="B498" s="3" t="s">
        <v>1011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11" t="s">
        <v>1012</v>
      </c>
      <c r="B499" s="11" t="s">
        <v>1012</v>
      </c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3" t="s">
        <v>1013</v>
      </c>
      <c r="B500" s="3" t="s">
        <v>1013</v>
      </c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11" t="s">
        <v>1014</v>
      </c>
      <c r="B501" s="11" t="s">
        <v>1014</v>
      </c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3" t="s">
        <v>1015</v>
      </c>
      <c r="B502" s="3" t="s">
        <v>1015</v>
      </c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11" t="s">
        <v>1016</v>
      </c>
      <c r="B503" s="11" t="s">
        <v>1017</v>
      </c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3" t="s">
        <v>1018</v>
      </c>
      <c r="B504" s="3" t="s">
        <v>1018</v>
      </c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11" t="s">
        <v>1019</v>
      </c>
      <c r="B505" s="11" t="s">
        <v>1019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3" t="s">
        <v>1020</v>
      </c>
      <c r="B506" s="3" t="s">
        <v>1020</v>
      </c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11" t="s">
        <v>1021</v>
      </c>
      <c r="B507" s="11" t="s">
        <v>513</v>
      </c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3" t="s">
        <v>1022</v>
      </c>
      <c r="B508" s="3" t="s">
        <v>618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11" t="s">
        <v>1023</v>
      </c>
      <c r="B509" s="11" t="s">
        <v>1023</v>
      </c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3" t="s">
        <v>1024</v>
      </c>
      <c r="B510" s="3" t="s">
        <v>1025</v>
      </c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11" t="s">
        <v>1026</v>
      </c>
      <c r="B511" s="11" t="s">
        <v>1026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3" t="s">
        <v>1027</v>
      </c>
      <c r="B512" s="3" t="s">
        <v>1027</v>
      </c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11" t="s">
        <v>1028</v>
      </c>
      <c r="B513" s="11" t="s">
        <v>1028</v>
      </c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3" t="s">
        <v>1029</v>
      </c>
      <c r="B514" s="3" t="s">
        <v>1030</v>
      </c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11" t="s">
        <v>1031</v>
      </c>
      <c r="B515" s="11" t="s">
        <v>1032</v>
      </c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3" t="s">
        <v>1033</v>
      </c>
      <c r="B516" s="3" t="s">
        <v>1034</v>
      </c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11" t="s">
        <v>1035</v>
      </c>
      <c r="B517" s="11" t="s">
        <v>1035</v>
      </c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3" t="s">
        <v>1036</v>
      </c>
      <c r="B518" s="3" t="s">
        <v>1037</v>
      </c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11" t="s">
        <v>1038</v>
      </c>
      <c r="B519" s="11" t="s">
        <v>1037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3" t="s">
        <v>1039</v>
      </c>
      <c r="B520" s="3" t="s">
        <v>1040</v>
      </c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11" t="s">
        <v>1041</v>
      </c>
      <c r="B521" s="11" t="s">
        <v>964</v>
      </c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3" t="s">
        <v>1042</v>
      </c>
      <c r="B522" s="3" t="s">
        <v>873</v>
      </c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11" t="s">
        <v>1043</v>
      </c>
      <c r="B523" s="11" t="s">
        <v>634</v>
      </c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3" t="s">
        <v>1044</v>
      </c>
      <c r="B524" s="3" t="s">
        <v>949</v>
      </c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11" t="s">
        <v>1045</v>
      </c>
      <c r="B525" s="11" t="s">
        <v>742</v>
      </c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3" t="s">
        <v>1046</v>
      </c>
      <c r="B526" s="3" t="s">
        <v>1047</v>
      </c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11" t="s">
        <v>1048</v>
      </c>
      <c r="B527" s="11" t="s">
        <v>1049</v>
      </c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3" t="s">
        <v>1050</v>
      </c>
      <c r="B528" s="3" t="s">
        <v>1051</v>
      </c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11" t="s">
        <v>1052</v>
      </c>
      <c r="B529" s="11" t="s">
        <v>971</v>
      </c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3" t="s">
        <v>1053</v>
      </c>
      <c r="B530" s="3" t="s">
        <v>979</v>
      </c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11" t="s">
        <v>1054</v>
      </c>
      <c r="B531" s="11" t="s">
        <v>862</v>
      </c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3" t="s">
        <v>1055</v>
      </c>
      <c r="B532" s="3" t="s">
        <v>824</v>
      </c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11" t="s">
        <v>1056</v>
      </c>
      <c r="B533" s="11" t="s">
        <v>701</v>
      </c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3" t="s">
        <v>1057</v>
      </c>
      <c r="B534" s="3" t="s">
        <v>792</v>
      </c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11" t="s">
        <v>1058</v>
      </c>
      <c r="B535" s="11" t="s">
        <v>625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3" t="s">
        <v>1059</v>
      </c>
      <c r="B536" s="3" t="s">
        <v>1060</v>
      </c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