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mvasi\OneDrive\Рабочий стол\ПОЛИТЕХ\ПРОЕКТЫ\"/>
    </mc:Choice>
  </mc:AlternateContent>
  <xr:revisionPtr revIDLastSave="0" documentId="13_ncr:1_{9EB3B017-AB48-4804-96C8-6E8337493262}" xr6:coauthVersionLast="36" xr6:coauthVersionMax="36" xr10:uidLastSave="{00000000-0000-0000-0000-000000000000}"/>
  <bookViews>
    <workbookView xWindow="0" yWindow="0" windowWidth="23040" windowHeight="9648" tabRatio="599" firstSheet="3" activeTab="7" xr2:uid="{C0FF0023-A9DB-44DE-ABFA-4B5E30CE4ACD}"/>
  </bookViews>
  <sheets>
    <sheet name="Исходные данные" sheetId="5" r:id="rId1"/>
    <sheet name="Показатели изменения уровней" sheetId="1" r:id="rId2"/>
    <sheet name="Периодизация" sheetId="6" r:id="rId3"/>
    <sheet name="Линейный тренд" sheetId="18" r:id="rId4"/>
    <sheet name="Показательный тренд" sheetId="19" r:id="rId5"/>
    <sheet name="Полиномиальный тренд" sheetId="20" r:id="rId6"/>
    <sheet name="Выбор тренда" sheetId="11" r:id="rId7"/>
    <sheet name="Автокорреляция" sheetId="2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46" i="23" l="1"/>
  <c r="D43" i="20"/>
  <c r="G39" i="23"/>
  <c r="I4" i="23"/>
  <c r="M4" i="23" s="1"/>
  <c r="I3" i="23"/>
  <c r="I2" i="23"/>
  <c r="K3" i="23"/>
  <c r="K48" i="18"/>
  <c r="J48" i="18"/>
  <c r="J3" i="23"/>
  <c r="J4" i="23"/>
  <c r="L4" i="23" s="1"/>
  <c r="J2" i="23"/>
  <c r="K2" i="23" s="1"/>
  <c r="M3" i="23"/>
  <c r="I49" i="18"/>
  <c r="M49" i="18" s="1"/>
  <c r="I50" i="18"/>
  <c r="M50" i="18" s="1"/>
  <c r="N4" i="23"/>
  <c r="N3" i="23"/>
  <c r="L3" i="23"/>
  <c r="N2" i="23"/>
  <c r="O2" i="23" s="1"/>
  <c r="L2" i="23"/>
  <c r="D19" i="18"/>
  <c r="D20" i="18"/>
  <c r="I48" i="18"/>
  <c r="N50" i="18"/>
  <c r="N49" i="18"/>
  <c r="N48" i="18"/>
  <c r="O48" i="18" s="1"/>
  <c r="J50" i="18"/>
  <c r="K50" i="18" s="1"/>
  <c r="J49" i="18"/>
  <c r="L49" i="18" s="1"/>
  <c r="G35" i="20"/>
  <c r="D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B43" i="19"/>
  <c r="B42" i="19"/>
  <c r="D42" i="19"/>
  <c r="G35" i="19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42" i="18"/>
  <c r="E20" i="18" s="1"/>
  <c r="G35" i="18"/>
  <c r="F5" i="6"/>
  <c r="F6" i="6"/>
  <c r="F7" i="6"/>
  <c r="F8" i="6"/>
  <c r="F9" i="6"/>
  <c r="F10" i="6"/>
  <c r="F11" i="6"/>
  <c r="F12" i="6"/>
  <c r="F13" i="6"/>
  <c r="F14" i="6"/>
  <c r="F15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C16" i="6"/>
  <c r="C4" i="6"/>
  <c r="C6" i="6"/>
  <c r="D6" i="6"/>
  <c r="C8" i="6"/>
  <c r="D8" i="6"/>
  <c r="C7" i="6"/>
  <c r="D7" i="6"/>
  <c r="C9" i="6"/>
  <c r="D9" i="6"/>
  <c r="C5" i="6"/>
  <c r="D5" i="6"/>
  <c r="C10" i="6"/>
  <c r="D10" i="6"/>
  <c r="D11" i="6"/>
  <c r="D12" i="6"/>
  <c r="D13" i="6"/>
  <c r="D14" i="6"/>
  <c r="D15" i="6"/>
  <c r="C12" i="6"/>
  <c r="C13" i="6"/>
  <c r="C14" i="6"/>
  <c r="C15" i="6"/>
  <c r="F19" i="18" l="1"/>
  <c r="F20" i="18"/>
  <c r="K4" i="23"/>
  <c r="M2" i="23"/>
  <c r="O3" i="23"/>
  <c r="O4" i="23"/>
  <c r="E19" i="18"/>
  <c r="K49" i="18"/>
  <c r="L50" i="18"/>
  <c r="M48" i="18"/>
  <c r="L48" i="18"/>
  <c r="O50" i="18"/>
  <c r="O49" i="18"/>
  <c r="C11" i="6" l="1"/>
  <c r="J26" i="1" l="1"/>
  <c r="G3" i="1" l="1"/>
  <c r="B26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" i="1"/>
  <c r="I7" i="1"/>
  <c r="K7" i="1" s="1"/>
  <c r="I17" i="1"/>
  <c r="K17" i="1" s="1"/>
  <c r="I18" i="1"/>
  <c r="K18" i="1" s="1"/>
  <c r="I3" i="1"/>
  <c r="K3" i="1" s="1"/>
  <c r="H11" i="1"/>
  <c r="J11" i="1" s="1"/>
  <c r="H12" i="1"/>
  <c r="J12" i="1" s="1"/>
  <c r="H17" i="1"/>
  <c r="J17" i="1" s="1"/>
  <c r="G4" i="1"/>
  <c r="I4" i="1" s="1"/>
  <c r="K4" i="1" s="1"/>
  <c r="G5" i="1"/>
  <c r="I5" i="1" s="1"/>
  <c r="K5" i="1" s="1"/>
  <c r="G6" i="1"/>
  <c r="I6" i="1" s="1"/>
  <c r="K6" i="1" s="1"/>
  <c r="G7" i="1"/>
  <c r="G8" i="1"/>
  <c r="I8" i="1" s="1"/>
  <c r="K8" i="1" s="1"/>
  <c r="G9" i="1"/>
  <c r="I9" i="1" s="1"/>
  <c r="K9" i="1" s="1"/>
  <c r="G10" i="1"/>
  <c r="I10" i="1" s="1"/>
  <c r="K10" i="1" s="1"/>
  <c r="G11" i="1"/>
  <c r="I11" i="1" s="1"/>
  <c r="K11" i="1" s="1"/>
  <c r="G12" i="1"/>
  <c r="I12" i="1" s="1"/>
  <c r="K12" i="1" s="1"/>
  <c r="G13" i="1"/>
  <c r="I13" i="1" s="1"/>
  <c r="K13" i="1" s="1"/>
  <c r="G14" i="1"/>
  <c r="I14" i="1" s="1"/>
  <c r="K14" i="1" s="1"/>
  <c r="G15" i="1"/>
  <c r="I15" i="1" s="1"/>
  <c r="K15" i="1" s="1"/>
  <c r="G16" i="1"/>
  <c r="I16" i="1" s="1"/>
  <c r="K16" i="1" s="1"/>
  <c r="G17" i="1"/>
  <c r="G18" i="1"/>
  <c r="G19" i="1"/>
  <c r="I19" i="1" s="1"/>
  <c r="K19" i="1" s="1"/>
  <c r="G20" i="1"/>
  <c r="I20" i="1" s="1"/>
  <c r="K20" i="1" s="1"/>
  <c r="G21" i="1"/>
  <c r="I21" i="1" s="1"/>
  <c r="K21" i="1" s="1"/>
  <c r="G22" i="1"/>
  <c r="I22" i="1" s="1"/>
  <c r="K22" i="1" s="1"/>
  <c r="G23" i="1"/>
  <c r="I23" i="1" s="1"/>
  <c r="K23" i="1" s="1"/>
  <c r="G24" i="1"/>
  <c r="I24" i="1" s="1"/>
  <c r="K24" i="1" s="1"/>
  <c r="F4" i="1"/>
  <c r="H4" i="1" s="1"/>
  <c r="J4" i="1" s="1"/>
  <c r="F5" i="1"/>
  <c r="H5" i="1" s="1"/>
  <c r="J5" i="1" s="1"/>
  <c r="F6" i="1"/>
  <c r="H6" i="1" s="1"/>
  <c r="J6" i="1" s="1"/>
  <c r="F7" i="1"/>
  <c r="H7" i="1" s="1"/>
  <c r="J7" i="1" s="1"/>
  <c r="F8" i="1"/>
  <c r="H8" i="1" s="1"/>
  <c r="J8" i="1" s="1"/>
  <c r="F9" i="1"/>
  <c r="H9" i="1" s="1"/>
  <c r="J9" i="1" s="1"/>
  <c r="F10" i="1"/>
  <c r="H10" i="1" s="1"/>
  <c r="J10" i="1" s="1"/>
  <c r="F11" i="1"/>
  <c r="F12" i="1"/>
  <c r="F13" i="1"/>
  <c r="H13" i="1" s="1"/>
  <c r="J13" i="1" s="1"/>
  <c r="F14" i="1"/>
  <c r="H14" i="1" s="1"/>
  <c r="J14" i="1" s="1"/>
  <c r="F15" i="1"/>
  <c r="H15" i="1" s="1"/>
  <c r="J15" i="1" s="1"/>
  <c r="F16" i="1"/>
  <c r="H16" i="1" s="1"/>
  <c r="J16" i="1" s="1"/>
  <c r="F17" i="1"/>
  <c r="F18" i="1"/>
  <c r="H18" i="1" s="1"/>
  <c r="J18" i="1" s="1"/>
  <c r="F19" i="1"/>
  <c r="H19" i="1" s="1"/>
  <c r="J19" i="1" s="1"/>
  <c r="F20" i="1"/>
  <c r="H20" i="1" s="1"/>
  <c r="J20" i="1" s="1"/>
  <c r="F21" i="1"/>
  <c r="H21" i="1" s="1"/>
  <c r="J21" i="1" s="1"/>
  <c r="F22" i="1"/>
  <c r="H22" i="1" s="1"/>
  <c r="J22" i="1" s="1"/>
  <c r="F23" i="1"/>
  <c r="H23" i="1" s="1"/>
  <c r="J23" i="1" s="1"/>
  <c r="F24" i="1"/>
  <c r="H24" i="1" s="1"/>
  <c r="J24" i="1" s="1"/>
  <c r="F3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B25" i="5"/>
  <c r="F26" i="1" l="1"/>
  <c r="H3" i="1"/>
  <c r="H25" i="1" s="1"/>
  <c r="D26" i="1"/>
  <c r="D25" i="1"/>
  <c r="F25" i="1"/>
  <c r="J3" i="1" l="1"/>
</calcChain>
</file>

<file path=xl/sharedStrings.xml><?xml version="1.0" encoding="utf-8"?>
<sst xmlns="http://schemas.openxmlformats.org/spreadsheetml/2006/main" count="226" uniqueCount="97">
  <si>
    <t>Год</t>
  </si>
  <si>
    <t>Валовый сбор зерна (в весе после доработки) в Еврейской автономной области, тыс. тонн</t>
  </si>
  <si>
    <t>Yt</t>
  </si>
  <si>
    <t>Yt-1</t>
  </si>
  <si>
    <t>Итог</t>
  </si>
  <si>
    <t>APRc</t>
  </si>
  <si>
    <t>APRb</t>
  </si>
  <si>
    <t>Kc</t>
  </si>
  <si>
    <t>Kb</t>
  </si>
  <si>
    <t>TRc</t>
  </si>
  <si>
    <t>TPRc</t>
  </si>
  <si>
    <t>TPRb</t>
  </si>
  <si>
    <t>A1%</t>
  </si>
  <si>
    <t>TRb</t>
  </si>
  <si>
    <t>-</t>
  </si>
  <si>
    <t>Средние:</t>
  </si>
  <si>
    <r>
      <t xml:space="preserve">Выводы: 
1)Средний уровень ряда говорит нам о том, что в период с 2000 по 2022 гг. в Еврейской автономной области в среднем собиралось </t>
    </r>
    <r>
      <rPr>
        <b/>
        <sz val="11"/>
        <color theme="0"/>
        <rFont val="Calibri"/>
        <family val="2"/>
        <charset val="204"/>
        <scheme val="minor"/>
      </rPr>
      <t>17,67 тыс</t>
    </r>
    <r>
      <rPr>
        <sz val="11"/>
        <color theme="0"/>
        <rFont val="Calibri"/>
        <family val="2"/>
        <charset val="204"/>
        <scheme val="minor"/>
      </rPr>
      <t xml:space="preserve">. тонн зерна ежегодно.
2)Цепной темп прироста также показывает, что валовый сбор зерна в Еврейской автономной области 2000 - 2022 гг. в среднем ежегодно снижается на </t>
    </r>
    <r>
      <rPr>
        <b/>
        <sz val="11"/>
        <color theme="0"/>
        <rFont val="Calibri"/>
        <family val="2"/>
        <charset val="204"/>
        <scheme val="minor"/>
      </rPr>
      <t>3,23%</t>
    </r>
    <r>
      <rPr>
        <sz val="11"/>
        <color theme="0"/>
        <rFont val="Calibri"/>
        <family val="2"/>
        <charset val="204"/>
        <scheme val="minor"/>
      </rPr>
      <t>.</t>
    </r>
  </si>
  <si>
    <t>MA5</t>
  </si>
  <si>
    <t>MA7</t>
  </si>
  <si>
    <t>MA5_ПА</t>
  </si>
  <si>
    <t>MA7_ПА</t>
  </si>
  <si>
    <t>Показатели MA5 и MA7 рассчитаны вручную, показатели MA5_ПА и MA7_ПА рассчитаны с помощью пакета "Анализ данных".</t>
  </si>
  <si>
    <t>t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</si>
  <si>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</si>
  <si>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</si>
  <si>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</si>
  <si>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</si>
  <si>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</si>
  <si>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</si>
  <si>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</si>
  <si>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</si>
  <si>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</si>
  <si>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</si>
  <si>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</si>
  <si>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</si>
  <si>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</si>
  <si>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</si>
  <si>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</si>
  <si>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</si>
  <si>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</si>
  <si>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</si>
  <si>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</si>
  <si>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</si>
  <si>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</si>
  <si>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</si>
  <si>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</si>
  <si>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</si>
  <si>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</si>
  <si>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</si>
  <si>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Остатки</t>
  </si>
  <si>
    <t>F табличное</t>
  </si>
  <si>
    <t>Если Fрасч ≥ Fтабл, то делается вывод о статистической значимости уравнения в целом.</t>
  </si>
  <si>
    <t>Параметры признаются
статистически значимыми, т.е. сформированными под воздействием
неслучайных факторов, если tрасч ≥ tтабл.</t>
  </si>
  <si>
    <t>Y</t>
  </si>
  <si>
    <t>ln(Y)</t>
  </si>
  <si>
    <t>a0</t>
  </si>
  <si>
    <t>a1</t>
  </si>
  <si>
    <t>Предсказанное Y</t>
  </si>
  <si>
    <t>Итоговые характеристики построенных уравнений тренда</t>
  </si>
  <si>
    <t>№</t>
  </si>
  <si>
    <t>Модель</t>
  </si>
  <si>
    <t>Уравнение</t>
  </si>
  <si>
    <r>
      <t>R</t>
    </r>
    <r>
      <rPr>
        <sz val="11"/>
        <color theme="1"/>
        <rFont val="Calibri"/>
        <family val="2"/>
        <charset val="204"/>
      </rPr>
      <t>²</t>
    </r>
  </si>
  <si>
    <t>Значимость уравнения</t>
  </si>
  <si>
    <t>Значимость параметров уравнения</t>
  </si>
  <si>
    <t>Линейная</t>
  </si>
  <si>
    <t>Показательная</t>
  </si>
  <si>
    <t>Полиномиальная (полином второй степени)</t>
  </si>
  <si>
    <t>+</t>
  </si>
  <si>
    <t>Переменная X 1</t>
  </si>
  <si>
    <t>Валовый сбор зерна (в весе после доработки) в Еврейской автономной области в 2006 - 2022 гг., тыс. тонн</t>
  </si>
  <si>
    <t>Предсказанное Валовый сбор зерна (в весе после доработки) в Еврейской автономной области в 2006 - 2022 гг., тыс. тонн</t>
  </si>
  <si>
    <t xml:space="preserve"> yt = 29,07 - 1,50*t</t>
  </si>
  <si>
    <t>yt = 28,74 + 0,91*t</t>
  </si>
  <si>
    <t>t²</t>
  </si>
  <si>
    <t>𝑦̂𝑡 = 35,90 - 3,66*𝑡 - 0,12*𝑡^2</t>
  </si>
  <si>
    <t>ŷt = 35,90 - 3,66*t - 0,12*t^2</t>
  </si>
  <si>
    <t xml:space="preserve"> yt = 29,07 - 1,5*t</t>
  </si>
  <si>
    <t>1.	2000 – 2002 гг., 2004 – 2008 гг., в эти года происходил рост валового сбора зерна, связанный с коррекцией сбора в связи с природными катаклизмами в 2003 году и усилением техническим оснащением в 2000 году.
2.	В периоды 2002 – 2003 гг. и 2008 – 2010 гг. наблюдалось сильное и резкое снижение валового сбора зерна, которое можно объяснить финансовым кризисом 2008 года и неблагоприятными природными условиями 2003 года.
3.	Период с 2006 – 2022 гг. является наиболее объективным для рассмотрения, так как в нем явно прослеживается тренд на снижение наблюдаемого показатели при отсутствии влиятельных внешних факторов.</t>
  </si>
  <si>
    <t>Остатки(Et)</t>
  </si>
  <si>
    <t>Et-1</t>
  </si>
  <si>
    <t>Et-2</t>
  </si>
  <si>
    <t>Et-3</t>
  </si>
  <si>
    <t>Лаг</t>
  </si>
  <si>
    <t>АКФ</t>
  </si>
  <si>
    <t>SE</t>
  </si>
  <si>
    <t>LCL</t>
  </si>
  <si>
    <t>UCL</t>
  </si>
  <si>
    <t>tрасч</t>
  </si>
  <si>
    <t>tкрит</t>
  </si>
  <si>
    <t>p-value</t>
  </si>
  <si>
    <t>Yt-2</t>
  </si>
  <si>
    <t>Yt-3</t>
  </si>
  <si>
    <t>Значим</t>
  </si>
  <si>
    <t>НЕ значим</t>
  </si>
  <si>
    <t>y = 5,24 + 0,58*(Y-3)</t>
  </si>
  <si>
    <t>Валовый сбор зерна (в весе после доработки) в Еврейской автономной области, тыс. тонн (Yt)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</si>
</sst>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theme="0"/>
      <name val="Times New Roman"/>
      <family val="1"/>
      <charset val="204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1675E"/>
        <bgColor indexed="64"/>
      </patternFill>
    </fill>
    <fill>
      <patternFill patternType="solid">
        <fgColor rgb="FF396968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0" fillId="0" borderId="15" xfId="0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2" fontId="4" fillId="0" borderId="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0" fontId="0" fillId="0" borderId="2" xfId="0" applyBorder="1"/>
    <xf numFmtId="10" fontId="0" fillId="2" borderId="25" xfId="0" applyNumberFormat="1" applyFill="1" applyBorder="1" applyAlignment="1">
      <alignment horizontal="center"/>
    </xf>
    <xf numFmtId="0" fontId="0" fillId="0" borderId="26" xfId="0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6" fillId="0" borderId="27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Continuous"/>
    </xf>
    <xf numFmtId="0" fontId="2" fillId="4" borderId="25" xfId="0" applyFont="1" applyFill="1" applyBorder="1"/>
    <xf numFmtId="0" fontId="7" fillId="4" borderId="25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/>
    </xf>
    <xf numFmtId="2" fontId="0" fillId="0" borderId="0" xfId="0" applyNumberFormat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4" fillId="5" borderId="28" xfId="0" applyFont="1" applyFill="1" applyBorder="1" applyAlignment="1">
      <alignment horizontal="center" vertical="center" wrapText="1"/>
    </xf>
    <xf numFmtId="2" fontId="4" fillId="5" borderId="29" xfId="0" applyNumberFormat="1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wrapText="1"/>
    </xf>
    <xf numFmtId="0" fontId="6" fillId="0" borderId="27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2" fontId="4" fillId="0" borderId="34" xfId="0" applyNumberFormat="1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 wrapText="1"/>
    </xf>
    <xf numFmtId="2" fontId="4" fillId="5" borderId="15" xfId="0" applyNumberFormat="1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 wrapText="1"/>
    </xf>
    <xf numFmtId="2" fontId="4" fillId="0" borderId="36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11" xfId="0" applyBorder="1"/>
    <xf numFmtId="0" fontId="0" fillId="0" borderId="37" xfId="0" applyBorder="1"/>
    <xf numFmtId="0" fontId="4" fillId="5" borderId="5" xfId="0" applyFont="1" applyFill="1" applyBorder="1" applyAlignment="1">
      <alignment horizontal="center" vertical="center" wrapText="1"/>
    </xf>
    <xf numFmtId="2" fontId="4" fillId="5" borderId="34" xfId="0" applyNumberFormat="1" applyFont="1" applyFill="1" applyBorder="1" applyAlignment="1">
      <alignment horizontal="center" vertical="center"/>
    </xf>
    <xf numFmtId="2" fontId="4" fillId="5" borderId="1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/>
    <xf numFmtId="2" fontId="0" fillId="0" borderId="8" xfId="0" applyNumberFormat="1" applyFill="1" applyBorder="1" applyAlignment="1"/>
    <xf numFmtId="0" fontId="0" fillId="0" borderId="0" xfId="0" applyBorder="1"/>
    <xf numFmtId="0" fontId="8" fillId="0" borderId="0" xfId="0" applyFont="1" applyFill="1" applyBorder="1" applyAlignment="1"/>
    <xf numFmtId="0" fontId="7" fillId="4" borderId="25" xfId="0" applyFont="1" applyFill="1" applyBorder="1" applyAlignment="1">
      <alignment horizontal="center" wrapText="1"/>
    </xf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3" borderId="23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24" xfId="0" applyNumberFormat="1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Обычный" xfId="0" builtinId="0"/>
  </cellStyles>
  <dxfs count="105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rgb="FF000000"/>
        </left>
        <right style="thin">
          <color rgb="FF000000"/>
        </right>
        <top style="medium">
          <color rgb="FF000000"/>
        </top>
        <bottom/>
      </border>
    </dxf>
    <dxf>
      <alignment horizontal="center" vertical="center" textRotation="0" indent="0" justifyLastLine="0" shrinkToFit="0" readingOrder="0"/>
    </dxf>
    <dxf>
      <border diagonalUp="0" diagonalDown="0" outline="0">
        <left style="thin">
          <color rgb="FF000000"/>
        </left>
        <right style="thin">
          <color rgb="FF000000"/>
        </right>
        <top style="medium">
          <color rgb="FF000000"/>
        </top>
        <bottom/>
      </border>
    </dxf>
    <dxf>
      <alignment horizontal="center" vertical="center" textRotation="0" indent="0" justifyLastLine="0" shrinkToFit="0" readingOrder="0"/>
    </dxf>
    <dxf>
      <border diagonalUp="0" diagonalDown="0" outline="0">
        <left style="thin">
          <color rgb="FF000000"/>
        </left>
        <right style="thin">
          <color rgb="FF000000"/>
        </right>
        <top style="medium">
          <color rgb="FF000000"/>
        </top>
        <bottom/>
      </border>
    </dxf>
    <dxf>
      <alignment horizontal="center" vertical="center" textRotation="0" indent="0" justifyLastLine="0" shrinkToFit="0" readingOrder="0"/>
    </dxf>
    <dxf>
      <border diagonalUp="0" diagonalDown="0" outline="0">
        <left style="thin">
          <color rgb="FF000000"/>
        </left>
        <right style="thin">
          <color rgb="FF000000"/>
        </right>
        <top style="medium">
          <color rgb="FF000000"/>
        </top>
        <bottom/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medium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border outline="0"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horizontal/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medium">
          <color indexed="64"/>
        </top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medium">
          <color indexed="64"/>
        </top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gradientFill degree="90">
          <stop position="0">
            <color theme="9" tint="0.59999389629810485"/>
          </stop>
          <stop position="1">
            <color theme="9" tint="0.40000610370189521"/>
          </stop>
        </gradientFill>
      </fill>
    </dxf>
    <dxf>
      <font>
        <color theme="0"/>
      </font>
      <fill>
        <patternFill>
          <bgColor rgb="FF41675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rgb="FF2C595A"/>
      </font>
    </dxf>
    <dxf>
      <font>
        <color rgb="FF2C595A"/>
      </font>
    </dxf>
    <dxf>
      <font>
        <color rgb="FF2C595A"/>
      </font>
    </dxf>
  </dxfs>
  <tableStyles count="4" defaultTableStyle="TableStyleMedium2" defaultPivotStyle="PivotStyleLight16">
    <tableStyle name="Стиль таблицы 1" pivot="0" count="1" xr9:uid="{8D506A64-6D85-49A8-AD02-BA003DC996EA}">
      <tableStyleElement type="headerRow" dxfId="104"/>
    </tableStyle>
    <tableStyle name="Стиль таблицы 2" pivot="0" count="1" xr9:uid="{9974EA1D-4421-4002-9552-7A925333C733}">
      <tableStyleElement type="headerRow" dxfId="103"/>
    </tableStyle>
    <tableStyle name="Стиль таблицы 3" pivot="0" count="1" xr9:uid="{48E46F54-54BD-4F3F-A0EF-EF7AC9D7D4C5}">
      <tableStyleElement type="wholeTable" dxfId="102"/>
    </tableStyle>
    <tableStyle name="Стиль таблицы 4" pivot="0" count="3" xr9:uid="{F13B7385-8F29-4CAE-8C7F-79F0D975E5D3}">
      <tableStyleElement type="wholeTable" dxfId="101"/>
      <tableStyleElement type="headerRow" dxfId="100"/>
      <tableStyleElement type="totalRow" dxfId="99"/>
    </tableStyle>
  </tableStyles>
  <colors>
    <mruColors>
      <color rgb="FF396968"/>
      <color rgb="FF003366"/>
      <color rgb="FF41675E"/>
      <color rgb="FF67AD9C"/>
      <color rgb="FFFFFFFF"/>
      <color rgb="FF2C595A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Валовый сбор зерна (в весе после доработки) в Еврейской автономной области, тыс. тонн</a:t>
            </a:r>
            <a:r>
              <a:rPr lang="ru-RU" baseline="0"/>
              <a:t> за 2000 - 2022 гг.</a:t>
            </a:r>
            <a:endParaRPr lang="ru-RU"/>
          </a:p>
        </c:rich>
      </c:tx>
      <c:layout>
        <c:manualLayout>
          <c:xMode val="edge"/>
          <c:yMode val="edge"/>
          <c:x val="0.11355036171396772"/>
          <c:y val="2.785515320334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'Исходные данные'!$B$1</c:f>
              <c:strCache>
                <c:ptCount val="1"/>
                <c:pt idx="0">
                  <c:v>Валовый сбор зерна (в весе после доработки) в Еврейской автономной области, тыс. тонн</c:v>
                </c:pt>
              </c:strCache>
            </c:strRef>
          </c:tx>
          <c:spPr>
            <a:ln w="28575" cap="rnd">
              <a:solidFill>
                <a:srgbClr val="4167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'Исходные данные'!$A$2:$A$24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'Исходные данные'!$B$2:$B$24</c:f>
              <c:numCache>
                <c:formatCode>0.00</c:formatCode>
                <c:ptCount val="23"/>
                <c:pt idx="0">
                  <c:v>19.553000000000001</c:v>
                </c:pt>
                <c:pt idx="1">
                  <c:v>28.911000000000001</c:v>
                </c:pt>
                <c:pt idx="2">
                  <c:v>33.094999999999999</c:v>
                </c:pt>
                <c:pt idx="3">
                  <c:v>19.315000000000001</c:v>
                </c:pt>
                <c:pt idx="4">
                  <c:v>18.852</c:v>
                </c:pt>
                <c:pt idx="5">
                  <c:v>22.4</c:v>
                </c:pt>
                <c:pt idx="6">
                  <c:v>28.363999999999997</c:v>
                </c:pt>
                <c:pt idx="7">
                  <c:v>29.689</c:v>
                </c:pt>
                <c:pt idx="8">
                  <c:v>34.170999999999999</c:v>
                </c:pt>
                <c:pt idx="9">
                  <c:v>26.024999999999999</c:v>
                </c:pt>
                <c:pt idx="10">
                  <c:v>6</c:v>
                </c:pt>
                <c:pt idx="11">
                  <c:v>25.8</c:v>
                </c:pt>
                <c:pt idx="12">
                  <c:v>20.9</c:v>
                </c:pt>
                <c:pt idx="13">
                  <c:v>5.4</c:v>
                </c:pt>
                <c:pt idx="14">
                  <c:v>16.7</c:v>
                </c:pt>
                <c:pt idx="15">
                  <c:v>10.9</c:v>
                </c:pt>
                <c:pt idx="16">
                  <c:v>8.9</c:v>
                </c:pt>
                <c:pt idx="17">
                  <c:v>11.1</c:v>
                </c:pt>
                <c:pt idx="18">
                  <c:v>9.5980999999999987</c:v>
                </c:pt>
                <c:pt idx="19">
                  <c:v>5.4451999999999998</c:v>
                </c:pt>
                <c:pt idx="20">
                  <c:v>8.8000000000000007</c:v>
                </c:pt>
                <c:pt idx="21">
                  <c:v>7.0327999999999999</c:v>
                </c:pt>
                <c:pt idx="22">
                  <c:v>9.5022500000000001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8-4AAF-BC19-1C7728632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131087"/>
        <c:axId val="1100734623"/>
      </c:lineChart>
      <c:catAx>
        <c:axId val="11081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0734623"/>
        <c:crosses val="autoZero"/>
        <c:auto val="1"/>
        <c:lblAlgn val="ctr"/>
        <c:lblOffset val="100"/>
        <c:noMultiLvlLbl val="0"/>
      </c:catAx>
      <c:valAx>
        <c:axId val="11007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тыс. тонн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545064158646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13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Экспоненциальный тренд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'Показательный тренд'!$B$1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rgbClr val="39696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5734898431563344E-2"/>
                  <c:y val="-0.12295568888750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'Показательный тренд'!$A$2:$A$18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'Показательный тренд'!$B$2:$B$18</c:f>
              <c:numCache>
                <c:formatCode>0.00</c:formatCode>
                <c:ptCount val="17"/>
                <c:pt idx="0">
                  <c:v>28.363999999999997</c:v>
                </c:pt>
                <c:pt idx="1">
                  <c:v>29.689</c:v>
                </c:pt>
                <c:pt idx="2">
                  <c:v>34.170999999999999</c:v>
                </c:pt>
                <c:pt idx="3">
                  <c:v>26.024999999999999</c:v>
                </c:pt>
                <c:pt idx="4">
                  <c:v>6</c:v>
                </c:pt>
                <c:pt idx="5">
                  <c:v>25.8</c:v>
                </c:pt>
                <c:pt idx="6">
                  <c:v>20.9</c:v>
                </c:pt>
                <c:pt idx="7">
                  <c:v>5.4</c:v>
                </c:pt>
                <c:pt idx="8">
                  <c:v>16.7</c:v>
                </c:pt>
                <c:pt idx="9">
                  <c:v>10.9</c:v>
                </c:pt>
                <c:pt idx="10">
                  <c:v>8.9</c:v>
                </c:pt>
                <c:pt idx="11">
                  <c:v>11.1</c:v>
                </c:pt>
                <c:pt idx="12">
                  <c:v>9.5980999999999987</c:v>
                </c:pt>
                <c:pt idx="13">
                  <c:v>5.4451999999999998</c:v>
                </c:pt>
                <c:pt idx="14">
                  <c:v>8.8000000000000007</c:v>
                </c:pt>
                <c:pt idx="15">
                  <c:v>7.0327999999999999</c:v>
                </c:pt>
                <c:pt idx="16">
                  <c:v>9.5022500000000001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2-42FF-8736-6D20586EBF79}"/>
            </c:ext>
          </c:extLst>
        </c:ser>
        <c:ser>
          <c:idx val="1"/>
          <c:order val="1"/>
          <c:tx>
            <c:strRef>
              <c:f>'Показательный тренд'!$E$1</c:f>
              <c:strCache>
                <c:ptCount val="1"/>
                <c:pt idx="0">
                  <c:v>Предсказанное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'Показательный тренд'!$A$2:$A$18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'Показательный тренд'!$E$2:$E$18</c:f>
              <c:numCache>
                <c:formatCode>General</c:formatCode>
                <c:ptCount val="17"/>
                <c:pt idx="0">
                  <c:v>26.286786782994767</c:v>
                </c:pt>
                <c:pt idx="1">
                  <c:v>24.040362537200757</c:v>
                </c:pt>
                <c:pt idx="2">
                  <c:v>21.985913900055717</c:v>
                </c:pt>
                <c:pt idx="3">
                  <c:v>20.107034961418169</c:v>
                </c:pt>
                <c:pt idx="4">
                  <c:v>18.388721832421439</c:v>
                </c:pt>
                <c:pt idx="5">
                  <c:v>16.817252831111762</c:v>
                </c:pt>
                <c:pt idx="6">
                  <c:v>15.380078907218678</c:v>
                </c:pt>
                <c:pt idx="7">
                  <c:v>14.065723431038837</c:v>
                </c:pt>
                <c:pt idx="8">
                  <c:v>12.863690546191936</c:v>
                </c:pt>
                <c:pt idx="9">
                  <c:v>11.764381354394832</c:v>
                </c:pt>
                <c:pt idx="10">
                  <c:v>10.759017262942772</c:v>
                </c:pt>
                <c:pt idx="11">
                  <c:v>9.839569882784982</c:v>
                </c:pt>
                <c:pt idx="12">
                  <c:v>8.9986969173918911</c:v>
                </c:pt>
                <c:pt idx="13">
                  <c:v>8.2296835304511102</c:v>
                </c:pt>
                <c:pt idx="14">
                  <c:v>7.5263887241807321</c:v>
                </c:pt>
                <c:pt idx="15">
                  <c:v>6.8831963000611029</c:v>
                </c:pt>
                <c:pt idx="16">
                  <c:v>6.2949700103793287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2-42FF-8736-6D20586EB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04752"/>
        <c:axId val="105808640"/>
      </c:lineChart>
      <c:catAx>
        <c:axId val="3726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08640"/>
        <c:crosses val="autoZero"/>
        <c:auto val="1"/>
        <c:lblAlgn val="ctr"/>
        <c:lblOffset val="100"/>
        <c:noMultiLvlLbl val="0"/>
      </c:catAx>
      <c:valAx>
        <c:axId val="1058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тыс.</a:t>
                </a:r>
                <a:r>
                  <a:rPr lang="ru-RU" baseline="0"/>
                  <a:t> тонн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Валовый сбор зерна (в весе после доработки) в Еврейской автономной области, тыс. тонн 2011 - 2022 гг.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Исходные данные</c:v>
          </c:tx>
          <c:spPr>
            <a:ln w="28575" cap="rnd">
              <a:solidFill>
                <a:srgbClr val="39696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name>Полиномиальная (Исходные данные)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5747201529348314E-2"/>
                  <c:y val="-0.12240271280571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'Полиномиальный тренд'!$A$2:$A$18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'Полиномиальный тренд'!$B$2:$B$18</c:f>
              <c:numCache>
                <c:formatCode>0.00</c:formatCode>
                <c:ptCount val="17"/>
                <c:pt idx="0">
                  <c:v>28.363999999999997</c:v>
                </c:pt>
                <c:pt idx="1">
                  <c:v>29.689</c:v>
                </c:pt>
                <c:pt idx="2">
                  <c:v>34.170999999999999</c:v>
                </c:pt>
                <c:pt idx="3">
                  <c:v>26.024999999999999</c:v>
                </c:pt>
                <c:pt idx="4">
                  <c:v>6</c:v>
                </c:pt>
                <c:pt idx="5">
                  <c:v>25.8</c:v>
                </c:pt>
                <c:pt idx="6">
                  <c:v>20.9</c:v>
                </c:pt>
                <c:pt idx="7">
                  <c:v>5.4</c:v>
                </c:pt>
                <c:pt idx="8">
                  <c:v>16.7</c:v>
                </c:pt>
                <c:pt idx="9">
                  <c:v>10.9</c:v>
                </c:pt>
                <c:pt idx="10">
                  <c:v>8.9</c:v>
                </c:pt>
                <c:pt idx="11">
                  <c:v>11.1</c:v>
                </c:pt>
                <c:pt idx="12">
                  <c:v>9.5980999999999987</c:v>
                </c:pt>
                <c:pt idx="13">
                  <c:v>5.4451999999999998</c:v>
                </c:pt>
                <c:pt idx="14">
                  <c:v>8.8000000000000007</c:v>
                </c:pt>
                <c:pt idx="15">
                  <c:v>7.0327999999999999</c:v>
                </c:pt>
                <c:pt idx="16">
                  <c:v>9.5022500000000001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8-43ED-9093-703E254A210E}"/>
            </c:ext>
          </c:extLst>
        </c:ser>
        <c:ser>
          <c:idx val="1"/>
          <c:order val="1"/>
          <c:tx>
            <c:v>Полиномиальный тренд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'Полиномиальный тренд'!$A$2:$A$18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'Полиномиальный тренд'!#REF!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8-43ED-9093-703E254A2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459392"/>
        <c:axId val="372812752"/>
      </c:lineChart>
      <c:catAx>
        <c:axId val="42845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812752"/>
        <c:crosses val="autoZero"/>
        <c:auto val="1"/>
        <c:lblAlgn val="ctr"/>
        <c:lblOffset val="100"/>
        <c:noMultiLvlLbl val="0"/>
      </c:catAx>
      <c:valAx>
        <c:axId val="3728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тыс.</a:t>
                </a:r>
                <a:r>
                  <a:rPr lang="ru-RU" baseline="0"/>
                  <a:t> тонн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9471675830108861E-2"/>
              <c:y val="0.3582734620769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4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Автокорреляция!$I$1</c:f>
              <c:strCache>
                <c:ptCount val="1"/>
                <c:pt idx="0">
                  <c:v>АКФ</c:v>
                </c:pt>
              </c:strCache>
            </c:strRef>
          </c:tx>
          <c:spPr>
            <a:solidFill>
              <a:srgbClr val="396968"/>
            </a:solidFill>
            <a:ln>
              <a:noFill/>
            </a:ln>
            <a:effectLst/>
          </c:spPr>
          <c:invertIfNegative val="0"/>
          <c:val>
            <c:numRef>
              <c:f>Автокорреляция!$I$2:$I$4</c:f>
              <c:numCache>
                <c:formatCode>0.00</c:formatCode>
                <c:ptCount val="3"/>
                <c:pt idx="0">
                  <c:v>0.56822099069716769</c:v>
                </c:pt>
                <c:pt idx="1">
                  <c:v>0.39746025525607998</c:v>
                </c:pt>
                <c:pt idx="2">
                  <c:v>0.59713785509446449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E-4380-8892-9CEF5EA8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8203216"/>
        <c:axId val="527846976"/>
      </c:barChart>
      <c:lineChart>
        <c:grouping val="standard"/>
        <c:varyColors val="0"/>
        <c:ser>
          <c:idx val="1"/>
          <c:order val="1"/>
          <c:tx>
            <c:strRef>
              <c:f>Автокорреляция!$L$1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Автокорреляция!$L$2:$L$4</c:f>
              <c:numCache>
                <c:formatCode>0.00</c:formatCode>
                <c:ptCount val="3"/>
                <c:pt idx="0">
                  <c:v>0.41787340405699641</c:v>
                </c:pt>
                <c:pt idx="1">
                  <c:v>0.42770706486254506</c:v>
                </c:pt>
                <c:pt idx="2">
                  <c:v>0.43826932358995874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E-4380-8892-9CEF5EA8C0AB}"/>
            </c:ext>
          </c:extLst>
        </c:ser>
        <c:ser>
          <c:idx val="2"/>
          <c:order val="2"/>
          <c:tx>
            <c:strRef>
              <c:f>Автокорреляция!$K$1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5FE-4380-8892-9CEF5EA8C0A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FE-4380-8892-9CEF5EA8C0AB}"/>
              </c:ext>
            </c:extLst>
          </c:dPt>
          <c:val>
            <c:numRef>
              <c:f>Автокорреляция!$K$2:$K$4</c:f>
              <c:numCache>
                <c:formatCode>0.00</c:formatCode>
                <c:ptCount val="3"/>
                <c:pt idx="0">
                  <c:v>-0.41787340405699641</c:v>
                </c:pt>
                <c:pt idx="1">
                  <c:v>-0.42770706486254506</c:v>
                </c:pt>
                <c:pt idx="2">
                  <c:v>-0.43826932358995874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E-4380-8892-9CEF5EA8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203216"/>
        <c:axId val="527846976"/>
      </c:lineChart>
      <c:catAx>
        <c:axId val="63820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846976"/>
        <c:crosses val="autoZero"/>
        <c:auto val="1"/>
        <c:lblAlgn val="ctr"/>
        <c:lblOffset val="100"/>
        <c:noMultiLvlLbl val="0"/>
      </c:catAx>
      <c:valAx>
        <c:axId val="5278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20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Валовый сбор зерна (в весе после доработки) в Еврейской автономной области 2000 - 2022гг., тыс. тонн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Автокорреляция!$B$1</c:f>
              <c:strCache>
                <c:ptCount val="1"/>
                <c:pt idx="0">
                  <c:v>Валовый сбор зерна (в весе после доработки) в Еврейской автономной области, тыс. тонн (Yt)</c:v>
                </c:pt>
              </c:strCache>
            </c:strRef>
          </c:tx>
          <c:spPr>
            <a:ln w="28575" cap="rnd">
              <a:solidFill>
                <a:srgbClr val="39696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Автокорреляция!$A$2:$A$24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Автокорреляция!$B$2:$B$24</c:f>
              <c:numCache>
                <c:formatCode>0.00</c:formatCode>
                <c:ptCount val="23"/>
                <c:pt idx="0">
                  <c:v>19.553000000000001</c:v>
                </c:pt>
                <c:pt idx="1">
                  <c:v>28.911000000000001</c:v>
                </c:pt>
                <c:pt idx="2">
                  <c:v>33.094999999999999</c:v>
                </c:pt>
                <c:pt idx="3">
                  <c:v>19.315000000000001</c:v>
                </c:pt>
                <c:pt idx="4">
                  <c:v>18.852</c:v>
                </c:pt>
                <c:pt idx="5">
                  <c:v>22.4</c:v>
                </c:pt>
                <c:pt idx="6">
                  <c:v>28.363999999999997</c:v>
                </c:pt>
                <c:pt idx="7">
                  <c:v>29.689</c:v>
                </c:pt>
                <c:pt idx="8">
                  <c:v>34.170999999999999</c:v>
                </c:pt>
                <c:pt idx="9">
                  <c:v>26.024999999999999</c:v>
                </c:pt>
                <c:pt idx="10">
                  <c:v>6</c:v>
                </c:pt>
                <c:pt idx="11">
                  <c:v>25.8</c:v>
                </c:pt>
                <c:pt idx="12">
                  <c:v>20.9</c:v>
                </c:pt>
                <c:pt idx="13">
                  <c:v>5.4</c:v>
                </c:pt>
                <c:pt idx="14">
                  <c:v>16.7</c:v>
                </c:pt>
                <c:pt idx="15">
                  <c:v>10.9</c:v>
                </c:pt>
                <c:pt idx="16">
                  <c:v>8.9</c:v>
                </c:pt>
                <c:pt idx="17">
                  <c:v>11.1</c:v>
                </c:pt>
                <c:pt idx="18">
                  <c:v>9.5980999999999987</c:v>
                </c:pt>
                <c:pt idx="19">
                  <c:v>5.4451999999999998</c:v>
                </c:pt>
                <c:pt idx="20">
                  <c:v>8.8000000000000007</c:v>
                </c:pt>
                <c:pt idx="21">
                  <c:v>7.0327999999999999</c:v>
                </c:pt>
                <c:pt idx="22">
                  <c:v>9.5022500000000001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6-4717-B2A5-B4FD26C7840E}"/>
            </c:ext>
          </c:extLst>
        </c:ser>
        <c:ser>
          <c:idx val="1"/>
          <c:order val="1"/>
          <c:tx>
            <c:v>Предсказанное Y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Автокорреляция!$A$2:$A$24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Автокорреляция!$B$52:$B$71</c:f>
              <c:numCache>
                <c:formatCode>General</c:formatCode>
                <c:ptCount val="20"/>
                <c:pt idx="0">
                  <c:v>16.531654557093514</c:v>
                </c:pt>
                <c:pt idx="1">
                  <c:v>21.933461049506434</c:v>
                </c:pt>
                <c:pt idx="2">
                  <c:v>24.348630782810091</c:v>
                </c:pt>
                <c:pt idx="3">
                  <c:v>16.394271575132169</c:v>
                </c:pt>
                <c:pt idx="4">
                  <c:v>16.127009723669552</c:v>
                </c:pt>
                <c:pt idx="5">
                  <c:v>18.175055185849612</c:v>
                </c:pt>
                <c:pt idx="6">
                  <c:v>21.617711086763336</c:v>
                </c:pt>
                <c:pt idx="7">
                  <c:v>22.38255331827083</c:v>
                </c:pt>
                <c:pt idx="8">
                  <c:v>24.969740398736178</c:v>
                </c:pt>
                <c:pt idx="9">
                  <c:v>20.267548083370109</c:v>
                </c:pt>
                <c:pt idx="10">
                  <c:v>8.7083286977568726</c:v>
                </c:pt>
                <c:pt idx="11">
                  <c:v>20.13766921386884</c:v>
                </c:pt>
                <c:pt idx="12">
                  <c:v>17.309196055841127</c:v>
                </c:pt>
                <c:pt idx="13">
                  <c:v>8.3619850457534799</c:v>
                </c:pt>
                <c:pt idx="14">
                  <c:v>14.88479049181738</c:v>
                </c:pt>
                <c:pt idx="15">
                  <c:v>11.536801855784582</c:v>
                </c:pt>
                <c:pt idx="16">
                  <c:v>10.382323015773274</c:v>
                </c:pt>
                <c:pt idx="17">
                  <c:v>11.652249739785713</c:v>
                </c:pt>
                <c:pt idx="18">
                  <c:v>10.785293854879219</c:v>
                </c:pt>
                <c:pt idx="19">
                  <c:v>8.3880762675377358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6-4717-B2A5-B4FD26C7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920784"/>
        <c:axId val="520044624"/>
      </c:lineChart>
      <c:catAx>
        <c:axId val="6279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044624"/>
        <c:crosses val="autoZero"/>
        <c:auto val="1"/>
        <c:lblAlgn val="ctr"/>
        <c:lblOffset val="100"/>
        <c:noMultiLvlLbl val="0"/>
      </c:catAx>
      <c:valAx>
        <c:axId val="5200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тыс.</a:t>
                </a:r>
                <a:r>
                  <a:rPr lang="ru-RU" baseline="0"/>
                  <a:t> тонн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9444444444444445E-2"/>
              <c:y val="0.36833118379761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9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Цепные</a:t>
            </a:r>
            <a:r>
              <a:rPr lang="ru-RU" baseline="0"/>
              <a:t> коэффициенты роста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167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'Показатели изменения уровней'!$A$3:$A$24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'Показатели изменения уровней'!$F$3:$F$24</c:f>
              <c:numCache>
                <c:formatCode>0.00</c:formatCode>
                <c:ptCount val="22"/>
                <c:pt idx="0">
                  <c:v>1.4785966347875006</c:v>
                </c:pt>
                <c:pt idx="1">
                  <c:v>1.1447200027671127</c:v>
                </c:pt>
                <c:pt idx="2">
                  <c:v>0.58362290376189763</c:v>
                </c:pt>
                <c:pt idx="3">
                  <c:v>0.97602899301061341</c:v>
                </c:pt>
                <c:pt idx="4">
                  <c:v>1.1882028431996605</c:v>
                </c:pt>
                <c:pt idx="5">
                  <c:v>1.2662499999999999</c:v>
                </c:pt>
                <c:pt idx="6">
                  <c:v>1.0467141446904529</c:v>
                </c:pt>
                <c:pt idx="7">
                  <c:v>1.1509650038734884</c:v>
                </c:pt>
                <c:pt idx="8">
                  <c:v>0.76161072254250672</c:v>
                </c:pt>
                <c:pt idx="9">
                  <c:v>0.23054755043227668</c:v>
                </c:pt>
                <c:pt idx="10">
                  <c:v>4.3</c:v>
                </c:pt>
                <c:pt idx="11">
                  <c:v>0.81007751937984485</c:v>
                </c:pt>
                <c:pt idx="12">
                  <c:v>0.25837320574162681</c:v>
                </c:pt>
                <c:pt idx="13">
                  <c:v>3.0925925925925921</c:v>
                </c:pt>
                <c:pt idx="14">
                  <c:v>0.65269461077844315</c:v>
                </c:pt>
                <c:pt idx="15">
                  <c:v>0.8165137614678899</c:v>
                </c:pt>
                <c:pt idx="16">
                  <c:v>1.247191011235955</c:v>
                </c:pt>
                <c:pt idx="17">
                  <c:v>0.86469369369369364</c:v>
                </c:pt>
                <c:pt idx="18">
                  <c:v>0.567320615538492</c:v>
                </c:pt>
                <c:pt idx="19">
                  <c:v>1.6161022551972382</c:v>
                </c:pt>
                <c:pt idx="20">
                  <c:v>0.7991818181818181</c:v>
                </c:pt>
                <c:pt idx="21">
                  <c:v>1.3511332612899556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1-44B4-B3C0-1A5ACAB1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23023"/>
        <c:axId val="1024351647"/>
      </c:lineChart>
      <c:catAx>
        <c:axId val="114532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351647"/>
        <c:crosses val="autoZero"/>
        <c:auto val="1"/>
        <c:lblAlgn val="ctr"/>
        <c:lblOffset val="100"/>
        <c:noMultiLvlLbl val="0"/>
      </c:catAx>
      <c:valAx>
        <c:axId val="10243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0.45767752989209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32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Базисные</a:t>
            </a:r>
            <a:r>
              <a:rPr lang="ru-RU" baseline="0"/>
              <a:t> коэффициенты роста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167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'Показатели изменения уровней'!$A$3:$A$24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'Показатели изменения уровней'!$G$3:$G$24</c:f>
              <c:numCache>
                <c:formatCode>0.00</c:formatCode>
                <c:ptCount val="22"/>
                <c:pt idx="0">
                  <c:v>1.4785966347875006</c:v>
                </c:pt>
                <c:pt idx="1">
                  <c:v>1.6925791438653914</c:v>
                </c:pt>
                <c:pt idx="2">
                  <c:v>0.98782795478954644</c:v>
                </c:pt>
                <c:pt idx="3">
                  <c:v>0.96414872398097473</c:v>
                </c:pt>
                <c:pt idx="4">
                  <c:v>1.1456042551015189</c:v>
                </c:pt>
                <c:pt idx="5">
                  <c:v>1.4506213880222982</c:v>
                </c:pt>
                <c:pt idx="6">
                  <c:v>1.5183859254334373</c:v>
                </c:pt>
                <c:pt idx="7">
                  <c:v>1.7476090625479466</c:v>
                </c:pt>
                <c:pt idx="8">
                  <c:v>1.3309978008489745</c:v>
                </c:pt>
                <c:pt idx="9">
                  <c:v>0.3068582826164783</c:v>
                </c:pt>
                <c:pt idx="10">
                  <c:v>1.3194906152508565</c:v>
                </c:pt>
                <c:pt idx="11">
                  <c:v>1.0688896844473992</c:v>
                </c:pt>
                <c:pt idx="12">
                  <c:v>0.27617245435483045</c:v>
                </c:pt>
                <c:pt idx="13">
                  <c:v>0.85408888661586446</c:v>
                </c:pt>
                <c:pt idx="14">
                  <c:v>0.55745921341993554</c:v>
                </c:pt>
                <c:pt idx="15">
                  <c:v>0.45517311921444281</c:v>
                </c:pt>
                <c:pt idx="16">
                  <c:v>0.5676878228404848</c:v>
                </c:pt>
                <c:pt idx="17">
                  <c:v>0.49087608039686997</c:v>
                </c:pt>
                <c:pt idx="18">
                  <c:v>0.27848412008387458</c:v>
                </c:pt>
                <c:pt idx="19">
                  <c:v>0.45005881450416818</c:v>
                </c:pt>
                <c:pt idx="20">
                  <c:v>0.35967882166419474</c:v>
                </c:pt>
                <c:pt idx="21">
                  <c:v>0.48597401933207179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B-4104-A852-4B7578EF2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538751"/>
        <c:axId val="1012632959"/>
      </c:lineChart>
      <c:catAx>
        <c:axId val="114953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632959"/>
        <c:crosses val="autoZero"/>
        <c:auto val="1"/>
        <c:lblAlgn val="ctr"/>
        <c:lblOffset val="100"/>
        <c:noMultiLvlLbl val="0"/>
      </c:catAx>
      <c:valAx>
        <c:axId val="10126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Kb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3.0555555555555555E-2"/>
              <c:y val="0.43810586176727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953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Валовый сбор зерна (в весе после доработки) в Еврейской автономной области, тыс. тонн</a:t>
            </a:r>
            <a:r>
              <a:rPr lang="ru-RU" baseline="0"/>
              <a:t> за 2006 - 2022 гг.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Периодизация!$B$1</c:f>
              <c:strCache>
                <c:ptCount val="1"/>
                <c:pt idx="0">
                  <c:v>Валовый сбор зерна (в весе после доработки) в Еврейской автономной области, тыс. тонн</c:v>
                </c:pt>
              </c:strCache>
            </c:strRef>
          </c:tx>
          <c:spPr>
            <a:ln w="28575" cap="rnd">
              <a:solidFill>
                <a:srgbClr val="4167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Периодизация!$A$2:$A$18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Периодизация!$B$2:$B$18</c:f>
              <c:numCache>
                <c:formatCode>0.00</c:formatCode>
                <c:ptCount val="17"/>
                <c:pt idx="0">
                  <c:v>28.363999999999997</c:v>
                </c:pt>
                <c:pt idx="1">
                  <c:v>29.689</c:v>
                </c:pt>
                <c:pt idx="2">
                  <c:v>34.170999999999999</c:v>
                </c:pt>
                <c:pt idx="3">
                  <c:v>26.024999999999999</c:v>
                </c:pt>
                <c:pt idx="4">
                  <c:v>6</c:v>
                </c:pt>
                <c:pt idx="5">
                  <c:v>25.8</c:v>
                </c:pt>
                <c:pt idx="6">
                  <c:v>20.9</c:v>
                </c:pt>
                <c:pt idx="7">
                  <c:v>5.4</c:v>
                </c:pt>
                <c:pt idx="8">
                  <c:v>16.7</c:v>
                </c:pt>
                <c:pt idx="9">
                  <c:v>10.9</c:v>
                </c:pt>
                <c:pt idx="10">
                  <c:v>8.9</c:v>
                </c:pt>
                <c:pt idx="11">
                  <c:v>11.1</c:v>
                </c:pt>
                <c:pt idx="12">
                  <c:v>9.5980999999999987</c:v>
                </c:pt>
                <c:pt idx="13">
                  <c:v>5.4451999999999998</c:v>
                </c:pt>
                <c:pt idx="14">
                  <c:v>8.8000000000000007</c:v>
                </c:pt>
                <c:pt idx="15">
                  <c:v>7.0327999999999999</c:v>
                </c:pt>
                <c:pt idx="16">
                  <c:v>9.5022500000000001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8-4AF5-B7A0-F1A4F44D2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131087"/>
        <c:axId val="1100734623"/>
      </c:lineChart>
      <c:catAx>
        <c:axId val="11081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0734623"/>
        <c:crosses val="autoZero"/>
        <c:auto val="1"/>
        <c:lblAlgn val="ctr"/>
        <c:lblOffset val="100"/>
        <c:noMultiLvlLbl val="0"/>
      </c:catAx>
      <c:valAx>
        <c:axId val="11007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тыс. тонн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545064158646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13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Валовый сбор зерна (в весе после доработки) в Еврейской автономной области, тыс. тонн 2006 - 2022 гг.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Периодизация!$B$1</c:f>
              <c:strCache>
                <c:ptCount val="1"/>
                <c:pt idx="0">
                  <c:v>Валовый сбор зерна (в весе после доработки) в Еврейской автономной области, тыс. тонн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Периодизация!$A$2:$A$20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Периодизация!$B$2:$B$18</c:f>
              <c:numCache>
                <c:formatCode>0.00</c:formatCode>
                <c:ptCount val="17"/>
                <c:pt idx="0">
                  <c:v>28.363999999999997</c:v>
                </c:pt>
                <c:pt idx="1">
                  <c:v>29.689</c:v>
                </c:pt>
                <c:pt idx="2">
                  <c:v>34.170999999999999</c:v>
                </c:pt>
                <c:pt idx="3">
                  <c:v>26.024999999999999</c:v>
                </c:pt>
                <c:pt idx="4">
                  <c:v>6</c:v>
                </c:pt>
                <c:pt idx="5">
                  <c:v>25.8</c:v>
                </c:pt>
                <c:pt idx="6">
                  <c:v>20.9</c:v>
                </c:pt>
                <c:pt idx="7">
                  <c:v>5.4</c:v>
                </c:pt>
                <c:pt idx="8">
                  <c:v>16.7</c:v>
                </c:pt>
                <c:pt idx="9">
                  <c:v>10.9</c:v>
                </c:pt>
                <c:pt idx="10">
                  <c:v>8.9</c:v>
                </c:pt>
                <c:pt idx="11">
                  <c:v>11.1</c:v>
                </c:pt>
                <c:pt idx="12">
                  <c:v>9.5980999999999987</c:v>
                </c:pt>
                <c:pt idx="13">
                  <c:v>5.4451999999999998</c:v>
                </c:pt>
                <c:pt idx="14">
                  <c:v>8.8000000000000007</c:v>
                </c:pt>
                <c:pt idx="15">
                  <c:v>7.0327999999999999</c:v>
                </c:pt>
                <c:pt idx="16">
                  <c:v>9.5022500000000001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C-413C-BE89-71A44C0F86A2}"/>
            </c:ext>
          </c:extLst>
        </c:ser>
        <c:ser>
          <c:idx val="1"/>
          <c:order val="1"/>
          <c:tx>
            <c:strRef>
              <c:f>Периодизация!$C$1</c:f>
              <c:strCache>
                <c:ptCount val="1"/>
                <c:pt idx="0">
                  <c:v>MA5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Периодизация!$A$2:$A$20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Периодизация!$C$4:$C$16</c:f>
              <c:numCache>
                <c:formatCode>0.00</c:formatCode>
                <c:ptCount val="13"/>
                <c:pt idx="0">
                  <c:v>24.849799999999998</c:v>
                </c:pt>
                <c:pt idx="1">
                  <c:v>24.336999999999996</c:v>
                </c:pt>
                <c:pt idx="2">
                  <c:v>22.579199999999997</c:v>
                </c:pt>
                <c:pt idx="3">
                  <c:v>16.824999999999999</c:v>
                </c:pt>
                <c:pt idx="4">
                  <c:v>14.959999999999999</c:v>
                </c:pt>
                <c:pt idx="5">
                  <c:v>15.940000000000001</c:v>
                </c:pt>
                <c:pt idx="6">
                  <c:v>12.559999999999999</c:v>
                </c:pt>
                <c:pt idx="7">
                  <c:v>10.6</c:v>
                </c:pt>
                <c:pt idx="8">
                  <c:v>11.43962</c:v>
                </c:pt>
                <c:pt idx="9">
                  <c:v>9.1886599999999987</c:v>
                </c:pt>
                <c:pt idx="10">
                  <c:v>8.7686600000000006</c:v>
                </c:pt>
                <c:pt idx="11">
                  <c:v>8.3952199999999984</c:v>
                </c:pt>
                <c:pt idx="12">
                  <c:v>8.0756699999999988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C-413C-BE89-71A44C0F86A2}"/>
            </c:ext>
          </c:extLst>
        </c:ser>
        <c:ser>
          <c:idx val="2"/>
          <c:order val="2"/>
          <c:tx>
            <c:v>MA7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Периодизация!$A$2:$A$20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Периодизация!$D$5:$D$15</c:f>
              <c:numCache>
                <c:formatCode>0.00</c:formatCode>
                <c:ptCount val="11"/>
                <c:pt idx="0">
                  <c:v>24.421285714285716</c:v>
                </c:pt>
                <c:pt idx="1">
                  <c:v>21.140714285714285</c:v>
                </c:pt>
                <c:pt idx="2">
                  <c:v>19.285142857142855</c:v>
                </c:pt>
                <c:pt idx="3">
                  <c:v>15.960714285714287</c:v>
                </c:pt>
                <c:pt idx="4">
                  <c:v>13.514285714285716</c:v>
                </c:pt>
                <c:pt idx="5">
                  <c:v>14.242857142857144</c:v>
                </c:pt>
                <c:pt idx="6">
                  <c:v>11.928299999999998</c:v>
                </c:pt>
                <c:pt idx="7">
                  <c:v>9.7204714285714289</c:v>
                </c:pt>
                <c:pt idx="8">
                  <c:v>10.206185714285713</c:v>
                </c:pt>
                <c:pt idx="9">
                  <c:v>8.825157142857142</c:v>
                </c:pt>
                <c:pt idx="10">
                  <c:v>8.6254785714285713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BC-413C-BE89-71A44C0F8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790527"/>
        <c:axId val="1449533087"/>
      </c:lineChart>
      <c:catAx>
        <c:axId val="14497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533087"/>
        <c:crosses val="autoZero"/>
        <c:auto val="1"/>
        <c:lblAlgn val="ctr"/>
        <c:lblOffset val="100"/>
        <c:noMultiLvlLbl val="0"/>
      </c:catAx>
      <c:valAx>
        <c:axId val="14495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тыс.</a:t>
                </a:r>
              </a:p>
              <a:p>
                <a:pPr>
                  <a:defRPr/>
                </a:pPr>
                <a:r>
                  <a:rPr lang="ru-RU"/>
                  <a:t> тонн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7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Линейный тренд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Исходные данные</c:v>
          </c:tx>
          <c:spPr>
            <a:ln w="28575" cap="rnd">
              <a:solidFill>
                <a:srgbClr val="39696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name>Линейный тренд</c:name>
            <c:spPr>
              <a:ln w="19050" cap="rnd" cmpd="sng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038057742782154E-3"/>
                  <c:y val="-0.17437081952661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'Линейный тренд'!$A$2:$A$18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'Линейный тренд'!$B$2:$B$18</c:f>
              <c:numCache>
                <c:formatCode>0.00</c:formatCode>
                <c:ptCount val="17"/>
                <c:pt idx="0">
                  <c:v>28.363999999999997</c:v>
                </c:pt>
                <c:pt idx="1">
                  <c:v>29.689</c:v>
                </c:pt>
                <c:pt idx="2">
                  <c:v>34.170999999999999</c:v>
                </c:pt>
                <c:pt idx="3">
                  <c:v>26.024999999999999</c:v>
                </c:pt>
                <c:pt idx="4">
                  <c:v>6</c:v>
                </c:pt>
                <c:pt idx="5">
                  <c:v>25.8</c:v>
                </c:pt>
                <c:pt idx="6">
                  <c:v>20.9</c:v>
                </c:pt>
                <c:pt idx="7">
                  <c:v>5.4</c:v>
                </c:pt>
                <c:pt idx="8">
                  <c:v>16.7</c:v>
                </c:pt>
                <c:pt idx="9">
                  <c:v>10.9</c:v>
                </c:pt>
                <c:pt idx="10">
                  <c:v>8.9</c:v>
                </c:pt>
                <c:pt idx="11">
                  <c:v>11.1</c:v>
                </c:pt>
                <c:pt idx="12">
                  <c:v>9.5980999999999987</c:v>
                </c:pt>
                <c:pt idx="13">
                  <c:v>5.4451999999999998</c:v>
                </c:pt>
                <c:pt idx="14">
                  <c:v>8.8000000000000007</c:v>
                </c:pt>
                <c:pt idx="15">
                  <c:v>7.0327999999999999</c:v>
                </c:pt>
                <c:pt idx="16">
                  <c:v>9.5022500000000001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8-4B03-B984-6D2726EB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322224"/>
        <c:axId val="304398272"/>
      </c:lineChart>
      <c:catAx>
        <c:axId val="3043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98272"/>
        <c:crosses val="autoZero"/>
        <c:auto val="1"/>
        <c:lblAlgn val="ctr"/>
        <c:lblOffset val="100"/>
        <c:noMultiLvlLbl val="0"/>
      </c:catAx>
      <c:valAx>
        <c:axId val="3043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тыс. тонн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АКФ</c:v>
          </c:tx>
          <c:spPr>
            <a:solidFill>
              <a:srgbClr val="396968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396968"/>
              </a:solidFill>
              <a:ln>
                <a:solidFill>
                  <a:srgbClr val="39696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33-4637-94C2-816502781F4A}"/>
              </c:ext>
            </c:extLst>
          </c:dPt>
          <c:val>
            <c:numRef>
              <c:f>'Линейный тренд'!$I$48:$I$50</c:f>
              <c:numCache>
                <c:formatCode>0.00</c:formatCode>
                <c:ptCount val="3"/>
                <c:pt idx="0">
                  <c:v>-0.13404526859331342</c:v>
                </c:pt>
                <c:pt idx="1">
                  <c:v>-0.30601718015419577</c:v>
                </c:pt>
                <c:pt idx="2">
                  <c:v>0.41339789146791872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637-94C2-816502781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2019728"/>
        <c:axId val="527839488"/>
      </c:barChart>
      <c:lineChart>
        <c:grouping val="standard"/>
        <c:varyColors val="0"/>
        <c:ser>
          <c:idx val="1"/>
          <c:order val="1"/>
          <c:tx>
            <c:strRef>
              <c:f>'Линейный тренд'!$K$47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'Линейный тренд'!$K$48:$K$50</c:f>
              <c:numCache>
                <c:formatCode>0.00</c:formatCode>
                <c:ptCount val="3"/>
                <c:pt idx="0">
                  <c:v>-0.49</c:v>
                </c:pt>
                <c:pt idx="1">
                  <c:v>-0.50606982390443578</c:v>
                </c:pt>
                <c:pt idx="2">
                  <c:v>-0.52383203414835178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3-4637-94C2-816502781F4A}"/>
            </c:ext>
          </c:extLst>
        </c:ser>
        <c:ser>
          <c:idx val="2"/>
          <c:order val="2"/>
          <c:tx>
            <c:strRef>
              <c:f>'Линейный тренд'!$L$47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'Линейный тренд'!$L$48:$L$50</c:f>
              <c:numCache>
                <c:formatCode>0.00</c:formatCode>
                <c:ptCount val="3"/>
                <c:pt idx="0">
                  <c:v>0.49</c:v>
                </c:pt>
                <c:pt idx="1">
                  <c:v>0.50606982390443578</c:v>
                </c:pt>
                <c:pt idx="2">
                  <c:v>0.52383203414835178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3-4637-94C2-816502781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019728"/>
        <c:axId val="527839488"/>
      </c:lineChart>
      <c:catAx>
        <c:axId val="3020197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839488"/>
        <c:crosses val="autoZero"/>
        <c:auto val="1"/>
        <c:lblAlgn val="ctr"/>
        <c:lblOffset val="100"/>
        <c:noMultiLvlLbl val="0"/>
      </c:catAx>
      <c:valAx>
        <c:axId val="5278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01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1"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Валовый</a:t>
            </a:r>
            <a:r>
              <a:rPr lang="ru-RU" baseline="0"/>
              <a:t> сбор зерна в Еврейской автономной области 2006-2024 гг.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Исходные данные</c:v>
          </c:tx>
          <c:spPr>
            <a:ln w="28575" cap="rnd">
              <a:solidFill>
                <a:srgbClr val="39696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'Линейный тренд'!$A$2:$A$20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'Линейный тренд'!$B$2:$B$18</c:f>
              <c:numCache>
                <c:formatCode>0.00</c:formatCode>
                <c:ptCount val="17"/>
                <c:pt idx="0">
                  <c:v>28.363999999999997</c:v>
                </c:pt>
                <c:pt idx="1">
                  <c:v>29.689</c:v>
                </c:pt>
                <c:pt idx="2">
                  <c:v>34.170999999999999</c:v>
                </c:pt>
                <c:pt idx="3">
                  <c:v>26.024999999999999</c:v>
                </c:pt>
                <c:pt idx="4">
                  <c:v>6</c:v>
                </c:pt>
                <c:pt idx="5">
                  <c:v>25.8</c:v>
                </c:pt>
                <c:pt idx="6">
                  <c:v>20.9</c:v>
                </c:pt>
                <c:pt idx="7">
                  <c:v>5.4</c:v>
                </c:pt>
                <c:pt idx="8">
                  <c:v>16.7</c:v>
                </c:pt>
                <c:pt idx="9">
                  <c:v>10.9</c:v>
                </c:pt>
                <c:pt idx="10">
                  <c:v>8.9</c:v>
                </c:pt>
                <c:pt idx="11">
                  <c:v>11.1</c:v>
                </c:pt>
                <c:pt idx="12">
                  <c:v>9.5980999999999987</c:v>
                </c:pt>
                <c:pt idx="13">
                  <c:v>5.4451999999999998</c:v>
                </c:pt>
                <c:pt idx="14">
                  <c:v>8.8000000000000007</c:v>
                </c:pt>
                <c:pt idx="15">
                  <c:v>7.0327999999999999</c:v>
                </c:pt>
                <c:pt idx="16">
                  <c:v>9.5022500000000001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4-4799-B8A1-A54F54ABE4FF}"/>
            </c:ext>
          </c:extLst>
        </c:ser>
        <c:ser>
          <c:idx val="1"/>
          <c:order val="1"/>
          <c:tx>
            <c:v>Прогноз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'Линейный тренд'!$A$2:$A$20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'Линейный тренд'!$D$2:$D$20</c:f>
              <c:numCache>
                <c:formatCode>General</c:formatCode>
                <c:ptCount val="19"/>
                <c:pt idx="17">
                  <c:v>2.030579411764716</c:v>
                </c:pt>
                <c:pt idx="18">
                  <c:v>0.52856960784314566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4-4799-B8A1-A54F54ABE4FF}"/>
            </c:ext>
          </c:extLst>
        </c:ser>
        <c:ser>
          <c:idx val="2"/>
          <c:order val="2"/>
          <c:tx>
            <c:v>Нижняя доверительная граница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'Линейный тренд'!$A$2:$A$20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'Линейный тренд'!$E$2:$E$20</c:f>
              <c:numCache>
                <c:formatCode>General</c:formatCode>
                <c:ptCount val="19"/>
                <c:pt idx="17">
                  <c:v>-11.615479629040006</c:v>
                </c:pt>
                <c:pt idx="18">
                  <c:v>-13.117489432961577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4-4799-B8A1-A54F54ABE4FF}"/>
            </c:ext>
          </c:extLst>
        </c:ser>
        <c:ser>
          <c:idx val="3"/>
          <c:order val="3"/>
          <c:tx>
            <c:v>Верхняя доверительная граница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'Линейный тренд'!$A$2:$A$20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'Линейный тренд'!$F$2:$F$20</c:f>
              <c:numCache>
                <c:formatCode>General</c:formatCode>
                <c:ptCount val="19"/>
                <c:pt idx="17">
                  <c:v>15.676638452569438</c:v>
                </c:pt>
                <c:pt idx="18">
                  <c:v>14.174628648647868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4-4799-B8A1-A54F54AB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225616"/>
        <c:axId val="138105136"/>
      </c:lineChart>
      <c:catAx>
        <c:axId val="6382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105136"/>
        <c:crosses val="autoZero"/>
        <c:auto val="1"/>
        <c:lblAlgn val="ctr"/>
        <c:lblOffset val="100"/>
        <c:noMultiLvlLbl val="0"/>
      </c:catAx>
      <c:valAx>
        <c:axId val="1381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тыс.</a:t>
                </a:r>
                <a:r>
                  <a:rPr lang="ru-RU" baseline="0"/>
                  <a:t> тонн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9451379209998315E-2"/>
              <c:y val="0.42612263839327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22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Показательный тренд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'Показательный тренд'!$B$1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rgbClr val="39696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'Показательный тренд'!$A$2:$A$18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'Показательный тренд'!$B$2:$B$18</c:f>
              <c:numCache>
                <c:formatCode>0.00</c:formatCode>
                <c:ptCount val="17"/>
                <c:pt idx="0">
                  <c:v>28.363999999999997</c:v>
                </c:pt>
                <c:pt idx="1">
                  <c:v>29.689</c:v>
                </c:pt>
                <c:pt idx="2">
                  <c:v>34.170999999999999</c:v>
                </c:pt>
                <c:pt idx="3">
                  <c:v>26.024999999999999</c:v>
                </c:pt>
                <c:pt idx="4">
                  <c:v>6</c:v>
                </c:pt>
                <c:pt idx="5">
                  <c:v>25.8</c:v>
                </c:pt>
                <c:pt idx="6">
                  <c:v>20.9</c:v>
                </c:pt>
                <c:pt idx="7">
                  <c:v>5.4</c:v>
                </c:pt>
                <c:pt idx="8">
                  <c:v>16.7</c:v>
                </c:pt>
                <c:pt idx="9">
                  <c:v>10.9</c:v>
                </c:pt>
                <c:pt idx="10">
                  <c:v>8.9</c:v>
                </c:pt>
                <c:pt idx="11">
                  <c:v>11.1</c:v>
                </c:pt>
                <c:pt idx="12">
                  <c:v>9.5980999999999987</c:v>
                </c:pt>
                <c:pt idx="13">
                  <c:v>5.4451999999999998</c:v>
                </c:pt>
                <c:pt idx="14">
                  <c:v>8.8000000000000007</c:v>
                </c:pt>
                <c:pt idx="15">
                  <c:v>7.0327999999999999</c:v>
                </c:pt>
                <c:pt idx="16">
                  <c:v>9.5022500000000001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A-4B30-94EE-D669026102DB}"/>
            </c:ext>
          </c:extLst>
        </c:ser>
        <c:ser>
          <c:idx val="1"/>
          <c:order val="1"/>
          <c:tx>
            <c:strRef>
              <c:f>'Показательный тренд'!$E$1</c:f>
              <c:strCache>
                <c:ptCount val="1"/>
                <c:pt idx="0">
                  <c:v>Предсказанное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'Показательный тренд'!$A$2:$A$18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'Показательный тренд'!$E$2:$E$18</c:f>
              <c:numCache>
                <c:formatCode>General</c:formatCode>
                <c:ptCount val="17"/>
                <c:pt idx="0">
                  <c:v>26.286786782994767</c:v>
                </c:pt>
                <c:pt idx="1">
                  <c:v>24.040362537200757</c:v>
                </c:pt>
                <c:pt idx="2">
                  <c:v>21.985913900055717</c:v>
                </c:pt>
                <c:pt idx="3">
                  <c:v>20.107034961418169</c:v>
                </c:pt>
                <c:pt idx="4">
                  <c:v>18.388721832421439</c:v>
                </c:pt>
                <c:pt idx="5">
                  <c:v>16.817252831111762</c:v>
                </c:pt>
                <c:pt idx="6">
                  <c:v>15.380078907218678</c:v>
                </c:pt>
                <c:pt idx="7">
                  <c:v>14.065723431038837</c:v>
                </c:pt>
                <c:pt idx="8">
                  <c:v>12.863690546191936</c:v>
                </c:pt>
                <c:pt idx="9">
                  <c:v>11.764381354394832</c:v>
                </c:pt>
                <c:pt idx="10">
                  <c:v>10.759017262942772</c:v>
                </c:pt>
                <c:pt idx="11">
                  <c:v>9.839569882784982</c:v>
                </c:pt>
                <c:pt idx="12">
                  <c:v>8.9986969173918911</c:v>
                </c:pt>
                <c:pt idx="13">
                  <c:v>8.2296835304511102</c:v>
                </c:pt>
                <c:pt idx="14">
                  <c:v>7.5263887241807321</c:v>
                </c:pt>
                <c:pt idx="15">
                  <c:v>6.8831963000611029</c:v>
                </c:pt>
                <c:pt idx="16">
                  <c:v>6.2949700103793287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A-4B30-94EE-D6690261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04752"/>
        <c:axId val="105808640"/>
      </c:lineChart>
      <c:catAx>
        <c:axId val="3726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08640"/>
        <c:crosses val="autoZero"/>
        <c:auto val="1"/>
        <c:lblAlgn val="ctr"/>
        <c:lblOffset val="100"/>
        <c:noMultiLvlLbl val="0"/>
      </c:catAx>
      <c:valAx>
        <c:axId val="1058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тыс.</a:t>
                </a:r>
                <a:r>
                  <a:rPr lang="ru-RU" baseline="0"/>
                  <a:t> тонн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</xdr:row>
      <xdr:rowOff>64770</xdr:rowOff>
    </xdr:from>
    <xdr:to>
      <xdr:col>12</xdr:col>
      <xdr:colOff>411480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F35EAC-6378-4128-BAFB-9DAD78F80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596265</xdr:colOff>
      <xdr:row>1</xdr:row>
      <xdr:rowOff>136207</xdr:rowOff>
    </xdr:from>
    <xdr:to>
      <xdr:col>21</xdr:col>
      <xdr:colOff>291465</xdr:colOff>
      <xdr:row>16</xdr:row>
      <xdr:rowOff>136207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EA3C0E0-8E09-4388-9CB8-531781806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598714</xdr:colOff>
      <xdr:row>16</xdr:row>
      <xdr:rowOff>163830</xdr:rowOff>
    </xdr:from>
    <xdr:to>
      <xdr:col>21</xdr:col>
      <xdr:colOff>293914</xdr:colOff>
      <xdr:row>31</xdr:row>
      <xdr:rowOff>152944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9103E33-CA2A-4A17-ACB7-8C8C09C14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600385</xdr:colOff>
      <xdr:row>0</xdr:row>
      <xdr:rowOff>0</xdr:rowOff>
    </xdr:from>
    <xdr:to>
      <xdr:col>17</xdr:col>
      <xdr:colOff>146696</xdr:colOff>
      <xdr:row>15</xdr:row>
      <xdr:rowOff>8964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12E992-3D1F-40D6-97A5-1F3F1D254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596792</xdr:colOff>
      <xdr:row>15</xdr:row>
      <xdr:rowOff>163749</xdr:rowOff>
    </xdr:from>
    <xdr:to>
      <xdr:col>20</xdr:col>
      <xdr:colOff>304800</xdr:colOff>
      <xdr:row>40</xdr:row>
      <xdr:rowOff>62752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43F2674-74D4-4D93-9734-AC4D69E03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32528</xdr:colOff>
      <xdr:row>0</xdr:row>
      <xdr:rowOff>76118</xdr:rowOff>
    </xdr:from>
    <xdr:to>
      <xdr:col>26</xdr:col>
      <xdr:colOff>441366</xdr:colOff>
      <xdr:row>24</xdr:row>
      <xdr:rowOff>80158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E51845-7D8D-468D-BA40-892D02B8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925285</xdr:colOff>
      <xdr:row>52</xdr:row>
      <xdr:rowOff>32657</xdr:rowOff>
    </xdr:from>
    <xdr:to>
      <xdr:col>14</xdr:col>
      <xdr:colOff>424542</xdr:colOff>
      <xdr:row>66</xdr:row>
      <xdr:rowOff>174172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CEB1484-BCDE-48AC-8EA9-714180A8C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384200</xdr:colOff>
      <xdr:row>1</xdr:row>
      <xdr:rowOff>56638</xdr:rowOff>
    </xdr:from>
    <xdr:to>
      <xdr:col>12</xdr:col>
      <xdr:colOff>491893</xdr:colOff>
      <xdr:row>20</xdr:row>
      <xdr:rowOff>94129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BDAA9BB-AC87-4BF7-9C2C-09B014918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943216</xdr:colOff>
      <xdr:row>4</xdr:row>
      <xdr:rowOff>9326</xdr:rowOff>
    </xdr:from>
    <xdr:to>
      <xdr:col>14</xdr:col>
      <xdr:colOff>244489</xdr:colOff>
      <xdr:row>21</xdr:row>
      <xdr:rowOff>170328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A0D49D-6161-407A-B4D0-EC47E75C6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215153</xdr:colOff>
      <xdr:row>22</xdr:row>
      <xdr:rowOff>101806</xdr:rowOff>
    </xdr:from>
    <xdr:to>
      <xdr:col>18</xdr:col>
      <xdr:colOff>448235</xdr:colOff>
      <xdr:row>40</xdr:row>
      <xdr:rowOff>53788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55CA873-0F9C-44B4-BAE6-C9F2CF4D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423554</xdr:colOff>
      <xdr:row>2</xdr:row>
      <xdr:rowOff>31667</xdr:rowOff>
    </xdr:from>
    <xdr:to>
      <xdr:col>15</xdr:col>
      <xdr:colOff>10887</xdr:colOff>
      <xdr:row>22</xdr:row>
      <xdr:rowOff>130628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21BDA6-2D54-4D02-8453-D29CA99F5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488576</xdr:colOff>
      <xdr:row>6</xdr:row>
      <xdr:rowOff>89646</xdr:rowOff>
    </xdr:from>
    <xdr:to>
      <xdr:col>14</xdr:col>
      <xdr:colOff>183776</xdr:colOff>
      <xdr:row>21</xdr:row>
      <xdr:rowOff>143435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F0F5BC7-8C0C-4FE0-A654-8506657C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215265</xdr:colOff>
      <xdr:row>22</xdr:row>
      <xdr:rowOff>158115</xdr:rowOff>
    </xdr:from>
    <xdr:to>
      <xdr:col>14</xdr:col>
      <xdr:colOff>520065</xdr:colOff>
      <xdr:row>37</xdr:row>
      <xdr:rowOff>59055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A29B8C3-6CDE-493C-8FCD-4F240992C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37DED8-3B19-4890-A025-3EC1B7F52733}" name="Зерно5" displayName="Зерно5" ref="A1:B25" totalsRowCount="1" headerRowDxfId="98" totalsRowDxfId="95" headerRowBorderDxfId="97" tableBorderDxfId="96" totalsRowBorderDxfId="94">
  <autoFilter ref="A1:B24" xr:uid="{5A861EB1-8F1A-485F-A430-6C42D79BEF66}"/>
  <tableColumns count="2">
    <tableColumn id="1" xr3:uid="{5DB4F003-4B55-49E6-B1A2-A717149D1E47}" name="Год" totalsRowLabel="Итог" dataDxfId="93" totalsRowDxfId="92"/>
    <tableColumn id="2" xr3:uid="{62880950-1606-44AE-A539-C92C56994E46}" name="Валовый сбор зерна (в весе после доработки) в Еврейской автономной области, тыс. тонн" totalsRowFunction="sum" dataDxfId="91" totalsRowDxfId="90"/>
  </tableColumns>
  <tableStyleInfo name="Стиль таблицы 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9AA78-5D1E-40CA-8652-DECC1B1CDE82}" name="Зерно" displayName="Зерно" ref="A1:L25" totalsRowCount="1" headerRowDxfId="89" dataDxfId="87" totalsRowDxfId="85" headerRowBorderDxfId="88" tableBorderDxfId="86" totalsRowBorderDxfId="84">
  <autoFilter ref="A1:L24" xr:uid="{5A861EB1-8F1A-485F-A430-6C42D79BEF66}"/>
  <tableColumns count="12">
    <tableColumn id="1" xr3:uid="{6BDAEB22-8841-403B-B0B0-1459FE3960E1}" name="Год" totalsRowLabel="Итог" dataDxfId="83" totalsRowDxfId="11"/>
    <tableColumn id="2" xr3:uid="{DC83AE9A-018A-43AA-9D84-6676D577AD19}" name="Yt" dataDxfId="82" totalsRowDxfId="10"/>
    <tableColumn id="3" xr3:uid="{809D20FA-C488-4BFA-B93A-92048D719471}" name="Yt-1" dataDxfId="81" totalsRowDxfId="9"/>
    <tableColumn id="4" xr3:uid="{EEF2AE8B-6469-438F-8580-9B39190EA0CD}" name="APRc" totalsRowFunction="sum" dataDxfId="80" totalsRowDxfId="8"/>
    <tableColumn id="5" xr3:uid="{8C9FF921-C9C8-44A4-8519-1A511CA42F86}" name="APRb" dataDxfId="79" totalsRowDxfId="7"/>
    <tableColumn id="6" xr3:uid="{AF9063EB-7F75-4028-8395-1B69DB081773}" name="Kc" totalsRowFunction="custom" dataDxfId="78" totalsRowDxfId="6">
      <totalsRowFormula>PRODUCT(F2:F24)</totalsRowFormula>
    </tableColumn>
    <tableColumn id="7" xr3:uid="{BB709D95-8AD9-48E2-B377-62DD6FF80FFC}" name="Kb" dataDxfId="77" totalsRowDxfId="5"/>
    <tableColumn id="8" xr3:uid="{F1C5A7DE-1A3B-4B8F-998D-6F606B713F12}" name="TRc" totalsRowFunction="custom" dataDxfId="76" totalsRowDxfId="4">
      <totalsRowFormula>PRODUCT(H2:H24)</totalsRowFormula>
    </tableColumn>
    <tableColumn id="9" xr3:uid="{1D02C2C0-E601-4074-AB41-9A6646EC1F27}" name="TRb" dataDxfId="75" totalsRowDxfId="3"/>
    <tableColumn id="10" xr3:uid="{3C1D079B-014E-4AC1-9928-69B640D9B8CA}" name="TPRc" dataDxfId="74" totalsRowDxfId="2"/>
    <tableColumn id="11" xr3:uid="{4950F5CB-FF5D-4145-A04E-3ED3A9F87A81}" name="TPRb" dataDxfId="73" totalsRowDxfId="1"/>
    <tableColumn id="12" xr3:uid="{EFC6A28D-F96C-491D-B265-A1B125242DFE}" name="A1%" dataDxfId="72" totalsRowDxfId="0"/>
  </tableColumns>
  <tableStyleInfo name="Стиль таблицы 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A71C6F-76F7-47B5-A002-2498AF8CFA58}" name="Периодизация" displayName="Периодизация" ref="A1:F19" totalsRowCount="1" headerRowDxfId="71" totalsRowDxfId="68" headerRowBorderDxfId="70" tableBorderDxfId="69" totalsRowBorderDxfId="67">
  <autoFilter ref="A1:F18" xr:uid="{5A861EB1-8F1A-485F-A430-6C42D79BEF66}"/>
  <tableColumns count="6">
    <tableColumn id="1" xr3:uid="{995889AA-D597-4889-8713-E742165E8844}" name="Год" dataDxfId="66" totalsRowDxfId="65"/>
    <tableColumn id="2" xr3:uid="{C2A583C1-F1AE-4863-A2C3-069448E8AE8B}" name="Валовый сбор зерна (в весе после доработки) в Еврейской автономной области, тыс. тонн" dataDxfId="64" totalsRowDxfId="63"/>
    <tableColumn id="3" xr3:uid="{A1249A09-D7E9-4C3B-A3BB-B7E7699E67EE}" name="MA5" dataDxfId="62" totalsRowDxfId="61"/>
    <tableColumn id="4" xr3:uid="{4D3AB2D0-010F-4E97-A966-06578588643E}" name="MA7" dataDxfId="60" totalsRowDxfId="59"/>
    <tableColumn id="5" xr3:uid="{C5A035E2-96FD-4340-9049-AF0A83CE1F4A}" name="MA5_ПА"/>
    <tableColumn id="6" xr3:uid="{3FB0FA22-5D9F-41D2-8A11-EE0035FE8E91}" name="MA7_ПА" totalsRowDxfId="58"/>
  </tableColumns>
  <tableStyleInfo name="Стиль таблицы 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D3BDE7-BB24-4994-A1D1-155769F71043}" name="Тренд" displayName="Тренд" ref="A1:F20" totalsRowShown="0" headerRowBorderDxfId="57" tableBorderDxfId="56">
  <autoFilter ref="A1:F20" xr:uid="{B42F4222-F48A-4099-B09B-37268301815F}"/>
  <tableColumns count="6">
    <tableColumn id="1" xr3:uid="{1E99C52E-DA29-4E09-A812-B17C9C300465}" name="Год" dataDxfId="55"/>
    <tableColumn id="2" xr3:uid="{0D36A2D9-ED78-4F83-86E3-034DC0DFEC78}" name="Валовый сбор зерна (в весе после доработки) в Еврейской автономной области в 2006 - 2022 гг., тыс. тонн" dataDxfId="54"/>
    <tableColumn id="3" xr3:uid="{0643CA36-5A02-42F2-8B99-1B9F1129CBC6}" name="t"/>
    <tableColumn id="4" xr3:uid="{5A1C7961-0CFD-45D5-9BE8-C2F3419540FC}" name="Предсказанное Y" dataDxfId="53">
      <calculatedColumnFormula>$B$40+B24*Тренд[[#This Row],[t]]</calculatedColumnFormula>
    </tableColumn>
    <tableColumn id="5" xr3:uid="{AD4E5CFA-4B96-4D6A-A220-168CF70C4401}" name="LCL" dataDxfId="52">
      <calculatedColumnFormula>Тренд[[#This Row],[Предсказанное Y]]-D25*B13</calculatedColumnFormula>
    </tableColumn>
    <tableColumn id="6" xr3:uid="{595EE09E-8842-47DC-A764-643DCA134207}" name="UCL" dataDxfId="51">
      <calculatedColumnFormula>Тренд[[#This Row],[Предсказанное Y]]+$D$42*$B$30</calculatedColumnFormula>
    </tableColumn>
  </tableColumns>
  <tableStyleInfo name="Стиль таблицы 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F5BCF1-72DD-48D0-997A-EFC8B3A726D8}" name="ПТ" displayName="ПТ" ref="A1:F19" totalsRowShown="0" headerRowBorderDxfId="50" tableBorderDxfId="49">
  <autoFilter ref="A1:F19" xr:uid="{87DBE613-CBA2-45E6-BE79-FFBA29F568B2}"/>
  <tableColumns count="6">
    <tableColumn id="1" xr3:uid="{24FB1618-79F5-46F0-8553-A03AC3CC4E2D}" name="Год" dataDxfId="48"/>
    <tableColumn id="2" xr3:uid="{85EC4A10-B990-4C01-938B-A79D69482D0F}" name="Y" dataDxfId="47"/>
    <tableColumn id="3" xr3:uid="{C9E8326C-AAAC-41D8-8CEE-4597A42AE120}" name="t"/>
    <tableColumn id="4" xr3:uid="{08961238-8F34-4DB8-8A07-04C401DFDAD3}" name="ln(Y)" dataDxfId="46">
      <calculatedColumnFormula>LN(ПТ[[#This Row],[Y]])</calculatedColumnFormula>
    </tableColumn>
    <tableColumn id="5" xr3:uid="{4A376ED6-F2D1-4B0A-91FF-A8ABCB4C8661}" name="Предсказанное Y" dataDxfId="45">
      <calculatedColumnFormula>$B$42*($B$43^ПТ[[#This Row],[t]])</calculatedColumnFormula>
    </tableColumn>
    <tableColumn id="6" xr3:uid="{4618C182-250D-442B-ADEB-4FB60EEEBE3F}" name="Остатки" dataDxfId="44">
      <calculatedColumnFormula>ПТ[[#This Row],[Y]]-ПТ[[#This Row],[Предсказанное Y]]</calculatedColumnFormula>
    </tableColumn>
  </tableColumns>
  <tableStyleInfo name="Стиль таблицы 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4EE3C8-A85F-4CDB-8141-B13895310EE7}" name="Таблица13" displayName="Таблица13" ref="A1:D19" totalsRowShown="0" headerRowBorderDxfId="43" tableBorderDxfId="42" totalsRowBorderDxfId="41">
  <autoFilter ref="A1:D19" xr:uid="{DA315CE3-4489-4BD5-B718-AFD4D9BB7D67}"/>
  <tableColumns count="4">
    <tableColumn id="1" xr3:uid="{D5CADBBA-7004-4D3D-B775-5DD2A3D1F3FC}" name="Год" dataDxfId="40"/>
    <tableColumn id="2" xr3:uid="{F985A162-C85F-4FAE-BA07-ED975DCCF645}" name="Y" dataDxfId="39"/>
    <tableColumn id="3" xr3:uid="{D8FEDD0C-BD03-4CA2-AAD9-FBA176567B21}" name="t" dataDxfId="38"/>
    <tableColumn id="4" xr3:uid="{0887043E-E1AB-4328-9899-98C6DF2ADEE7}" name="t²" dataDxfId="37">
      <calculatedColumnFormula>Таблица13[[#This Row],[t]]^2</calculatedColumnFormula>
    </tableColumn>
  </tableColumns>
  <tableStyleInfo name="Стиль таблицы 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8E8A45-B5FD-428D-BD76-E4B1034CFC78}" name="Таблица6" displayName="Таблица6" ref="A2:F5" totalsRowShown="0" headerRowDxfId="36" dataDxfId="35">
  <autoFilter ref="A2:F5" xr:uid="{387047C0-DDBD-44A9-A9DA-A903F129CB8D}"/>
  <tableColumns count="6">
    <tableColumn id="1" xr3:uid="{8B260E69-908A-4C8B-9B86-A443836B363E}" name="№" dataDxfId="34"/>
    <tableColumn id="2" xr3:uid="{B8716502-4923-45A1-9C74-DABD33C50A89}" name="Модель" dataDxfId="33"/>
    <tableColumn id="3" xr3:uid="{5A1AF315-A2EF-4822-8A6D-0463C6F0AA2C}" name="Уравнение" dataDxfId="32"/>
    <tableColumn id="4" xr3:uid="{8A437798-0F0C-4A9D-AF68-ECF6FA4B5179}" name="R²" dataDxfId="31"/>
    <tableColumn id="5" xr3:uid="{4365B822-482C-47DC-B0B4-1ACBEA8F64A9}" name="Значимость уравнения" dataDxfId="30"/>
    <tableColumn id="6" xr3:uid="{C4A39D22-7461-4752-AA70-338E43F578B9}" name="Значимость параметров уравнения" dataDxfId="29"/>
  </tableColumns>
  <tableStyleInfo name="Стиль таблицы 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87DD2C-6649-4085-8367-301A6262B931}" name="Зерно516" displayName="Зерно516" ref="A1:F25" totalsRowCount="1" headerRowDxfId="28" totalsRowDxfId="25" headerRowBorderDxfId="27" tableBorderDxfId="26" totalsRowBorderDxfId="24">
  <autoFilter ref="A1:F24" xr:uid="{5A861EB1-8F1A-485F-A430-6C42D79BEF66}"/>
  <tableColumns count="6">
    <tableColumn id="1" xr3:uid="{66B77B74-5073-4511-9732-6ED53DD5F921}" name="Год" dataDxfId="23" totalsRowDxfId="22"/>
    <tableColumn id="2" xr3:uid="{C413A105-BEFD-4852-8C8E-4E61BF7C430B}" name="Валовый сбор зерна (в весе после доработки) в Еврейской автономной области, тыс. тонн (Yt)" dataDxfId="21" totalsRowDxfId="20"/>
    <tableColumn id="7" xr3:uid="{12CA65E9-BF0F-4D7B-B478-299866F8AAE4}" name="Yt-1" dataDxfId="19" totalsRowDxfId="18"/>
    <tableColumn id="8" xr3:uid="{14CEFCAB-ECD7-412B-A770-57CFB3CC5BEB}" name="Yt-2" dataDxfId="17" totalsRowDxfId="16"/>
    <tableColumn id="9" xr3:uid="{2E32C4E5-02DD-4E07-A768-F72678F6416B}" name="Yt-3" dataDxfId="15" totalsRowDxfId="14"/>
    <tableColumn id="10" xr3:uid="{F9A18A04-B0E0-431F-AE81-B89B30EBA72D}" name="t" dataDxfId="13" totalsRowDxfId="12"/>
  </tableColumns>
  <tableStyleInfo name="Стиль таблицы 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A102-5FAB-4EA3-AABA-97000EE303E1}">
  <sheetPr codeName="Лист1"/>
  <dimension ref="A1:B25"/>
  <sheetViews>
    <sheetView zoomScale="55" zoomScaleNormal="55" workbookViewId="0">
      <selection activeCell="F22" sqref="F22"/>
    </sheetView>
  </sheetViews>
  <sheetFormatPr defaultRowHeight="14.4" x14ac:dyDescent="0.3"/>
  <cols>
    <col min="2" max="2" width="57.109375" customWidth="1"/>
  </cols>
  <sheetData>
    <row r="1" spans="1:2" ht="31.2" x14ac:dyDescent="0.3">
      <c r="A1" s="3" t="s">
        <v>0</v>
      </c>
      <c r="B1" s="4" t="s">
        <v>1</v>
      </c>
    </row>
    <row r="2" spans="1:2" x14ac:dyDescent="0.3">
      <c r="A2" s="1">
        <v>2000</v>
      </c>
      <c r="B2" s="5">
        <v>19.553000000000001</v>
      </c>
    </row>
    <row r="3" spans="1:2" x14ac:dyDescent="0.3">
      <c r="A3" s="1">
        <v>2001</v>
      </c>
      <c r="B3" s="5">
        <v>28.911000000000001</v>
      </c>
    </row>
    <row r="4" spans="1:2" x14ac:dyDescent="0.3">
      <c r="A4" s="1">
        <v>2002</v>
      </c>
      <c r="B4" s="5">
        <v>33.094999999999999</v>
      </c>
    </row>
    <row r="5" spans="1:2" x14ac:dyDescent="0.3">
      <c r="A5" s="1">
        <v>2003</v>
      </c>
      <c r="B5" s="5">
        <v>19.315000000000001</v>
      </c>
    </row>
    <row r="6" spans="1:2" x14ac:dyDescent="0.3">
      <c r="A6" s="1">
        <v>2004</v>
      </c>
      <c r="B6" s="5">
        <v>18.852</v>
      </c>
    </row>
    <row r="7" spans="1:2" x14ac:dyDescent="0.3">
      <c r="A7" s="1">
        <v>2005</v>
      </c>
      <c r="B7" s="5">
        <v>22.4</v>
      </c>
    </row>
    <row r="8" spans="1:2" x14ac:dyDescent="0.3">
      <c r="A8" s="1">
        <v>2006</v>
      </c>
      <c r="B8" s="5">
        <v>28.363999999999997</v>
      </c>
    </row>
    <row r="9" spans="1:2" x14ac:dyDescent="0.3">
      <c r="A9" s="1">
        <v>2007</v>
      </c>
      <c r="B9" s="5">
        <v>29.689</v>
      </c>
    </row>
    <row r="10" spans="1:2" x14ac:dyDescent="0.3">
      <c r="A10" s="1">
        <v>2008</v>
      </c>
      <c r="B10" s="5">
        <v>34.170999999999999</v>
      </c>
    </row>
    <row r="11" spans="1:2" x14ac:dyDescent="0.3">
      <c r="A11" s="1">
        <v>2009</v>
      </c>
      <c r="B11" s="5">
        <v>26.024999999999999</v>
      </c>
    </row>
    <row r="12" spans="1:2" x14ac:dyDescent="0.3">
      <c r="A12" s="1">
        <v>2010</v>
      </c>
      <c r="B12" s="5">
        <v>6</v>
      </c>
    </row>
    <row r="13" spans="1:2" x14ac:dyDescent="0.3">
      <c r="A13" s="1">
        <v>2011</v>
      </c>
      <c r="B13" s="5">
        <v>25.8</v>
      </c>
    </row>
    <row r="14" spans="1:2" x14ac:dyDescent="0.3">
      <c r="A14" s="1">
        <v>2012</v>
      </c>
      <c r="B14" s="5">
        <v>20.9</v>
      </c>
    </row>
    <row r="15" spans="1:2" x14ac:dyDescent="0.3">
      <c r="A15" s="1">
        <v>2013</v>
      </c>
      <c r="B15" s="5">
        <v>5.4</v>
      </c>
    </row>
    <row r="16" spans="1:2" x14ac:dyDescent="0.3">
      <c r="A16" s="1">
        <v>2014</v>
      </c>
      <c r="B16" s="5">
        <v>16.7</v>
      </c>
    </row>
    <row r="17" spans="1:2" x14ac:dyDescent="0.3">
      <c r="A17" s="1">
        <v>2015</v>
      </c>
      <c r="B17" s="5">
        <v>10.9</v>
      </c>
    </row>
    <row r="18" spans="1:2" x14ac:dyDescent="0.3">
      <c r="A18" s="1">
        <v>2016</v>
      </c>
      <c r="B18" s="5">
        <v>8.9</v>
      </c>
    </row>
    <row r="19" spans="1:2" x14ac:dyDescent="0.3">
      <c r="A19" s="1">
        <v>2017</v>
      </c>
      <c r="B19" s="5">
        <v>11.1</v>
      </c>
    </row>
    <row r="20" spans="1:2" x14ac:dyDescent="0.3">
      <c r="A20" s="1">
        <v>2018</v>
      </c>
      <c r="B20" s="5">
        <v>9.5980999999999987</v>
      </c>
    </row>
    <row r="21" spans="1:2" x14ac:dyDescent="0.3">
      <c r="A21" s="1">
        <v>2019</v>
      </c>
      <c r="B21" s="5">
        <v>5.4451999999999998</v>
      </c>
    </row>
    <row r="22" spans="1:2" x14ac:dyDescent="0.3">
      <c r="A22" s="1">
        <v>2020</v>
      </c>
      <c r="B22" s="5">
        <v>8.8000000000000007</v>
      </c>
    </row>
    <row r="23" spans="1:2" x14ac:dyDescent="0.3">
      <c r="A23" s="1">
        <v>2021</v>
      </c>
      <c r="B23" s="5">
        <v>7.0327999999999999</v>
      </c>
    </row>
    <row r="24" spans="1:2" ht="15" thickBot="1" x14ac:dyDescent="0.35">
      <c r="A24" s="2">
        <v>2022</v>
      </c>
      <c r="B24" s="6">
        <v>9.5022500000000001</v>
      </c>
    </row>
    <row r="25" spans="1:2" ht="15" thickBot="1" x14ac:dyDescent="0.35">
      <c r="A25" s="7" t="s">
        <v>4</v>
      </c>
      <c r="B25" s="8">
        <f>SUBTOTAL(109,Зерно5[Валовый сбор зерна (в весе после доработки) в Еврейской автономной области, тыс. тонн])</f>
        <v>406.45334999999994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1F96-B975-4518-B7ED-DB424F6EB41B}">
  <sheetPr codeName="Лист2"/>
  <dimension ref="A1:L36"/>
  <sheetViews>
    <sheetView zoomScale="70" zoomScaleNormal="70" workbookViewId="0">
      <selection activeCell="D5" sqref="D5"/>
    </sheetView>
  </sheetViews>
  <sheetFormatPr defaultRowHeight="14.4" x14ac:dyDescent="0.3"/>
  <cols>
    <col min="1" max="1" width="12.77734375" customWidth="1"/>
    <col min="2" max="2" width="16.6640625" customWidth="1"/>
  </cols>
  <sheetData>
    <row r="1" spans="1:12" ht="15.6" x14ac:dyDescent="0.3">
      <c r="A1" s="13" t="s">
        <v>0</v>
      </c>
      <c r="B1" s="14" t="s">
        <v>2</v>
      </c>
      <c r="C1" s="15" t="s">
        <v>3</v>
      </c>
      <c r="D1" s="15" t="s">
        <v>5</v>
      </c>
      <c r="E1" s="15" t="s">
        <v>6</v>
      </c>
      <c r="F1" s="15" t="s">
        <v>7</v>
      </c>
      <c r="G1" s="15" t="s">
        <v>8</v>
      </c>
      <c r="H1" s="15" t="s">
        <v>9</v>
      </c>
      <c r="I1" s="15" t="s">
        <v>13</v>
      </c>
      <c r="J1" s="15" t="s">
        <v>10</v>
      </c>
      <c r="K1" s="15" t="s">
        <v>11</v>
      </c>
      <c r="L1" s="15" t="s">
        <v>12</v>
      </c>
    </row>
    <row r="2" spans="1:12" x14ac:dyDescent="0.3">
      <c r="A2" s="16">
        <v>2000</v>
      </c>
      <c r="B2" s="17">
        <v>19.553000000000001</v>
      </c>
      <c r="C2" s="17"/>
      <c r="D2" s="11" t="s">
        <v>14</v>
      </c>
      <c r="E2" s="11" t="s">
        <v>14</v>
      </c>
      <c r="F2" s="11" t="s">
        <v>14</v>
      </c>
      <c r="G2" s="11" t="s">
        <v>14</v>
      </c>
      <c r="H2" s="11" t="s">
        <v>14</v>
      </c>
      <c r="I2" s="11" t="s">
        <v>14</v>
      </c>
      <c r="J2" s="11" t="s">
        <v>14</v>
      </c>
      <c r="K2" s="11" t="s">
        <v>14</v>
      </c>
      <c r="L2" s="11" t="s">
        <v>14</v>
      </c>
    </row>
    <row r="3" spans="1:12" x14ac:dyDescent="0.3">
      <c r="A3" s="16">
        <v>2001</v>
      </c>
      <c r="B3" s="17">
        <v>28.911000000000001</v>
      </c>
      <c r="C3" s="17">
        <v>19.553000000000001</v>
      </c>
      <c r="D3" s="10">
        <f>Зерно[[#This Row],[Yt]]-Зерно[[#This Row],[Yt-1]]</f>
        <v>9.3580000000000005</v>
      </c>
      <c r="E3" s="10">
        <f>Зерно[[#This Row],[Yt]]-C$3</f>
        <v>9.3580000000000005</v>
      </c>
      <c r="F3" s="10">
        <f>Зерно[[#This Row],[Yt]]/Зерно[[#This Row],[Yt-1]]</f>
        <v>1.4785966347875006</v>
      </c>
      <c r="G3" s="10">
        <f>Зерно[[#This Row],[Yt]]/C$3</f>
        <v>1.4785966347875006</v>
      </c>
      <c r="H3" s="12">
        <f>Зерно[[#This Row],[Kc]]</f>
        <v>1.4785966347875006</v>
      </c>
      <c r="I3" s="12">
        <f>Зерно[[#This Row],[Kb]]</f>
        <v>1.4785966347875006</v>
      </c>
      <c r="J3" s="12">
        <f>Зерно[[#This Row],[TRc]]-1</f>
        <v>0.47859663478750059</v>
      </c>
      <c r="K3" s="12">
        <f>Зерно[[#This Row],[TRb]]-1</f>
        <v>0.47859663478750059</v>
      </c>
      <c r="L3" s="10">
        <f>Зерно[[#This Row],[Yt-1]]/100</f>
        <v>0.19553000000000001</v>
      </c>
    </row>
    <row r="4" spans="1:12" x14ac:dyDescent="0.3">
      <c r="A4" s="16">
        <v>2002</v>
      </c>
      <c r="B4" s="17">
        <v>33.094999999999999</v>
      </c>
      <c r="C4" s="17">
        <v>28.911000000000001</v>
      </c>
      <c r="D4" s="10">
        <f>Зерно[[#This Row],[Yt]]-Зерно[[#This Row],[Yt-1]]</f>
        <v>4.1839999999999975</v>
      </c>
      <c r="E4" s="10">
        <f>Зерно[[#This Row],[Yt]]-C$3</f>
        <v>13.541999999999998</v>
      </c>
      <c r="F4" s="10">
        <f>Зерно[[#This Row],[Yt]]/Зерно[[#This Row],[Yt-1]]</f>
        <v>1.1447200027671127</v>
      </c>
      <c r="G4" s="10">
        <f>Зерно[[#This Row],[Yt]]/C$3</f>
        <v>1.6925791438653914</v>
      </c>
      <c r="H4" s="12">
        <f>Зерно[[#This Row],[Kc]]</f>
        <v>1.1447200027671127</v>
      </c>
      <c r="I4" s="12">
        <f>Зерно[[#This Row],[Kb]]</f>
        <v>1.6925791438653914</v>
      </c>
      <c r="J4" s="12">
        <f>Зерно[[#This Row],[TRc]]-1</f>
        <v>0.14472000276711272</v>
      </c>
      <c r="K4" s="12">
        <f>Зерно[[#This Row],[TRb]]-1</f>
        <v>0.69257914386539143</v>
      </c>
      <c r="L4" s="10">
        <f>Зерно[[#This Row],[Yt-1]]/100</f>
        <v>0.28911000000000003</v>
      </c>
    </row>
    <row r="5" spans="1:12" x14ac:dyDescent="0.3">
      <c r="A5" s="16">
        <v>2003</v>
      </c>
      <c r="B5" s="17">
        <v>19.315000000000001</v>
      </c>
      <c r="C5" s="17">
        <v>33.094999999999999</v>
      </c>
      <c r="D5" s="10">
        <f>Зерно[[#This Row],[Yt]]-Зерно[[#This Row],[Yt-1]]</f>
        <v>-13.779999999999998</v>
      </c>
      <c r="E5" s="10">
        <f>Зерно[[#This Row],[Yt]]-C$3</f>
        <v>-0.23799999999999955</v>
      </c>
      <c r="F5" s="10">
        <f>Зерно[[#This Row],[Yt]]/Зерно[[#This Row],[Yt-1]]</f>
        <v>0.58362290376189763</v>
      </c>
      <c r="G5" s="10">
        <f>Зерно[[#This Row],[Yt]]/C$3</f>
        <v>0.98782795478954644</v>
      </c>
      <c r="H5" s="12">
        <f>Зерно[[#This Row],[Kc]]</f>
        <v>0.58362290376189763</v>
      </c>
      <c r="I5" s="12">
        <f>Зерно[[#This Row],[Kb]]</f>
        <v>0.98782795478954644</v>
      </c>
      <c r="J5" s="12">
        <f>Зерно[[#This Row],[TRc]]-1</f>
        <v>-0.41637709623810237</v>
      </c>
      <c r="K5" s="12">
        <f>Зерно[[#This Row],[TRb]]-1</f>
        <v>-1.2172045210453564E-2</v>
      </c>
      <c r="L5" s="10">
        <f>Зерно[[#This Row],[Yt-1]]/100</f>
        <v>0.33094999999999997</v>
      </c>
    </row>
    <row r="6" spans="1:12" x14ac:dyDescent="0.3">
      <c r="A6" s="16">
        <v>2004</v>
      </c>
      <c r="B6" s="17">
        <v>18.852</v>
      </c>
      <c r="C6" s="17">
        <v>19.315000000000001</v>
      </c>
      <c r="D6" s="10">
        <f>Зерно[[#This Row],[Yt]]-Зерно[[#This Row],[Yt-1]]</f>
        <v>-0.46300000000000097</v>
      </c>
      <c r="E6" s="10">
        <f>Зерно[[#This Row],[Yt]]-C$3</f>
        <v>-0.70100000000000051</v>
      </c>
      <c r="F6" s="10">
        <f>Зерно[[#This Row],[Yt]]/Зерно[[#This Row],[Yt-1]]</f>
        <v>0.97602899301061341</v>
      </c>
      <c r="G6" s="10">
        <f>Зерно[[#This Row],[Yt]]/C$3</f>
        <v>0.96414872398097473</v>
      </c>
      <c r="H6" s="12">
        <f>Зерно[[#This Row],[Kc]]</f>
        <v>0.97602899301061341</v>
      </c>
      <c r="I6" s="12">
        <f>Зерно[[#This Row],[Kb]]</f>
        <v>0.96414872398097473</v>
      </c>
      <c r="J6" s="12">
        <f>Зерно[[#This Row],[TRc]]-1</f>
        <v>-2.397100698938659E-2</v>
      </c>
      <c r="K6" s="12">
        <f>Зерно[[#This Row],[TRb]]-1</f>
        <v>-3.5851276019025269E-2</v>
      </c>
      <c r="L6" s="10">
        <f>Зерно[[#This Row],[Yt-1]]/100</f>
        <v>0.19315000000000002</v>
      </c>
    </row>
    <row r="7" spans="1:12" x14ac:dyDescent="0.3">
      <c r="A7" s="16">
        <v>2005</v>
      </c>
      <c r="B7" s="17">
        <v>22.4</v>
      </c>
      <c r="C7" s="17">
        <v>18.852</v>
      </c>
      <c r="D7" s="10">
        <f>Зерно[[#This Row],[Yt]]-Зерно[[#This Row],[Yt-1]]</f>
        <v>3.5479999999999983</v>
      </c>
      <c r="E7" s="10">
        <f>Зерно[[#This Row],[Yt]]-C$3</f>
        <v>2.8469999999999978</v>
      </c>
      <c r="F7" s="10">
        <f>Зерно[[#This Row],[Yt]]/Зерно[[#This Row],[Yt-1]]</f>
        <v>1.1882028431996605</v>
      </c>
      <c r="G7" s="10">
        <f>Зерно[[#This Row],[Yt]]/C$3</f>
        <v>1.1456042551015189</v>
      </c>
      <c r="H7" s="12">
        <f>Зерно[[#This Row],[Kc]]</f>
        <v>1.1882028431996605</v>
      </c>
      <c r="I7" s="12">
        <f>Зерно[[#This Row],[Kb]]</f>
        <v>1.1456042551015189</v>
      </c>
      <c r="J7" s="12">
        <f>Зерно[[#This Row],[TRc]]-1</f>
        <v>0.18820284319966052</v>
      </c>
      <c r="K7" s="12">
        <f>Зерно[[#This Row],[TRb]]-1</f>
        <v>0.14560425510151886</v>
      </c>
      <c r="L7" s="10">
        <f>Зерно[[#This Row],[Yt-1]]/100</f>
        <v>0.18851999999999999</v>
      </c>
    </row>
    <row r="8" spans="1:12" x14ac:dyDescent="0.3">
      <c r="A8" s="16">
        <v>2006</v>
      </c>
      <c r="B8" s="17">
        <v>28.363999999999997</v>
      </c>
      <c r="C8" s="17">
        <v>22.4</v>
      </c>
      <c r="D8" s="10">
        <f>Зерно[[#This Row],[Yt]]-Зерно[[#This Row],[Yt-1]]</f>
        <v>5.9639999999999986</v>
      </c>
      <c r="E8" s="10">
        <f>Зерно[[#This Row],[Yt]]-C$3</f>
        <v>8.8109999999999964</v>
      </c>
      <c r="F8" s="10">
        <f>Зерно[[#This Row],[Yt]]/Зерно[[#This Row],[Yt-1]]</f>
        <v>1.2662499999999999</v>
      </c>
      <c r="G8" s="10">
        <f>Зерно[[#This Row],[Yt]]/C$3</f>
        <v>1.4506213880222982</v>
      </c>
      <c r="H8" s="12">
        <f>Зерно[[#This Row],[Kc]]</f>
        <v>1.2662499999999999</v>
      </c>
      <c r="I8" s="12">
        <f>Зерно[[#This Row],[Kb]]</f>
        <v>1.4506213880222982</v>
      </c>
      <c r="J8" s="12">
        <f>Зерно[[#This Row],[TRc]]-1</f>
        <v>0.26624999999999988</v>
      </c>
      <c r="K8" s="12">
        <f>Зерно[[#This Row],[TRb]]-1</f>
        <v>0.45062138802229823</v>
      </c>
      <c r="L8" s="10">
        <f>Зерно[[#This Row],[Yt-1]]/100</f>
        <v>0.22399999999999998</v>
      </c>
    </row>
    <row r="9" spans="1:12" x14ac:dyDescent="0.3">
      <c r="A9" s="16">
        <v>2007</v>
      </c>
      <c r="B9" s="17">
        <v>29.689</v>
      </c>
      <c r="C9" s="17">
        <v>28.363999999999997</v>
      </c>
      <c r="D9" s="10">
        <f>Зерно[[#This Row],[Yt]]-Зерно[[#This Row],[Yt-1]]</f>
        <v>1.3250000000000028</v>
      </c>
      <c r="E9" s="10">
        <f>Зерно[[#This Row],[Yt]]-C$3</f>
        <v>10.135999999999999</v>
      </c>
      <c r="F9" s="10">
        <f>Зерно[[#This Row],[Yt]]/Зерно[[#This Row],[Yt-1]]</f>
        <v>1.0467141446904529</v>
      </c>
      <c r="G9" s="10">
        <f>Зерно[[#This Row],[Yt]]/C$3</f>
        <v>1.5183859254334373</v>
      </c>
      <c r="H9" s="12">
        <f>Зерно[[#This Row],[Kc]]</f>
        <v>1.0467141446904529</v>
      </c>
      <c r="I9" s="12">
        <f>Зерно[[#This Row],[Kb]]</f>
        <v>1.5183859254334373</v>
      </c>
      <c r="J9" s="12">
        <f>Зерно[[#This Row],[TRc]]-1</f>
        <v>4.6714144690452875E-2</v>
      </c>
      <c r="K9" s="12">
        <f>Зерно[[#This Row],[TRb]]-1</f>
        <v>0.51838592543343731</v>
      </c>
      <c r="L9" s="10">
        <f>Зерно[[#This Row],[Yt-1]]/100</f>
        <v>0.28363999999999995</v>
      </c>
    </row>
    <row r="10" spans="1:12" x14ac:dyDescent="0.3">
      <c r="A10" s="16">
        <v>2008</v>
      </c>
      <c r="B10" s="17">
        <v>34.170999999999999</v>
      </c>
      <c r="C10" s="17">
        <v>29.689</v>
      </c>
      <c r="D10" s="10">
        <f>Зерно[[#This Row],[Yt]]-Зерно[[#This Row],[Yt-1]]</f>
        <v>4.4819999999999993</v>
      </c>
      <c r="E10" s="10">
        <f>Зерно[[#This Row],[Yt]]-C$3</f>
        <v>14.617999999999999</v>
      </c>
      <c r="F10" s="10">
        <f>Зерно[[#This Row],[Yt]]/Зерно[[#This Row],[Yt-1]]</f>
        <v>1.1509650038734884</v>
      </c>
      <c r="G10" s="10">
        <f>Зерно[[#This Row],[Yt]]/C$3</f>
        <v>1.7476090625479466</v>
      </c>
      <c r="H10" s="12">
        <f>Зерно[[#This Row],[Kc]]</f>
        <v>1.1509650038734884</v>
      </c>
      <c r="I10" s="12">
        <f>Зерно[[#This Row],[Kb]]</f>
        <v>1.7476090625479466</v>
      </c>
      <c r="J10" s="12">
        <f>Зерно[[#This Row],[TRc]]-1</f>
        <v>0.15096500387348843</v>
      </c>
      <c r="K10" s="12">
        <f>Зерно[[#This Row],[TRb]]-1</f>
        <v>0.74760906254794657</v>
      </c>
      <c r="L10" s="10">
        <f>Зерно[[#This Row],[Yt-1]]/100</f>
        <v>0.29688999999999999</v>
      </c>
    </row>
    <row r="11" spans="1:12" x14ac:dyDescent="0.3">
      <c r="A11" s="16">
        <v>2009</v>
      </c>
      <c r="B11" s="17">
        <v>26.024999999999999</v>
      </c>
      <c r="C11" s="17">
        <v>34.170999999999999</v>
      </c>
      <c r="D11" s="10">
        <f>Зерно[[#This Row],[Yt]]-Зерно[[#This Row],[Yt-1]]</f>
        <v>-8.1460000000000008</v>
      </c>
      <c r="E11" s="10">
        <f>Зерно[[#This Row],[Yt]]-C$3</f>
        <v>6.4719999999999978</v>
      </c>
      <c r="F11" s="10">
        <f>Зерно[[#This Row],[Yt]]/Зерно[[#This Row],[Yt-1]]</f>
        <v>0.76161072254250672</v>
      </c>
      <c r="G11" s="10">
        <f>Зерно[[#This Row],[Yt]]/C$3</f>
        <v>1.3309978008489745</v>
      </c>
      <c r="H11" s="12">
        <f>Зерно[[#This Row],[Kc]]</f>
        <v>0.76161072254250672</v>
      </c>
      <c r="I11" s="12">
        <f>Зерно[[#This Row],[Kb]]</f>
        <v>1.3309978008489745</v>
      </c>
      <c r="J11" s="12">
        <f>Зерно[[#This Row],[TRc]]-1</f>
        <v>-0.23838927745749328</v>
      </c>
      <c r="K11" s="12">
        <f>Зерно[[#This Row],[TRb]]-1</f>
        <v>0.33099780084897445</v>
      </c>
      <c r="L11" s="10">
        <f>Зерно[[#This Row],[Yt-1]]/100</f>
        <v>0.34171000000000001</v>
      </c>
    </row>
    <row r="12" spans="1:12" x14ac:dyDescent="0.3">
      <c r="A12" s="16">
        <v>2010</v>
      </c>
      <c r="B12" s="17">
        <v>6</v>
      </c>
      <c r="C12" s="17">
        <v>26.024999999999999</v>
      </c>
      <c r="D12" s="10">
        <f>Зерно[[#This Row],[Yt]]-Зерно[[#This Row],[Yt-1]]</f>
        <v>-20.024999999999999</v>
      </c>
      <c r="E12" s="10">
        <f>Зерно[[#This Row],[Yt]]-C$3</f>
        <v>-13.553000000000001</v>
      </c>
      <c r="F12" s="10">
        <f>Зерно[[#This Row],[Yt]]/Зерно[[#This Row],[Yt-1]]</f>
        <v>0.23054755043227668</v>
      </c>
      <c r="G12" s="10">
        <f>Зерно[[#This Row],[Yt]]/C$3</f>
        <v>0.3068582826164783</v>
      </c>
      <c r="H12" s="12">
        <f>Зерно[[#This Row],[Kc]]</f>
        <v>0.23054755043227668</v>
      </c>
      <c r="I12" s="12">
        <f>Зерно[[#This Row],[Kb]]</f>
        <v>0.3068582826164783</v>
      </c>
      <c r="J12" s="12">
        <f>Зерно[[#This Row],[TRc]]-1</f>
        <v>-0.7694524495677233</v>
      </c>
      <c r="K12" s="12">
        <f>Зерно[[#This Row],[TRb]]-1</f>
        <v>-0.6931417173835217</v>
      </c>
      <c r="L12" s="10">
        <f>Зерно[[#This Row],[Yt-1]]/100</f>
        <v>0.26024999999999998</v>
      </c>
    </row>
    <row r="13" spans="1:12" x14ac:dyDescent="0.3">
      <c r="A13" s="16">
        <v>2011</v>
      </c>
      <c r="B13" s="17">
        <v>25.8</v>
      </c>
      <c r="C13" s="17">
        <v>6</v>
      </c>
      <c r="D13" s="10">
        <f>Зерно[[#This Row],[Yt]]-Зерно[[#This Row],[Yt-1]]</f>
        <v>19.8</v>
      </c>
      <c r="E13" s="10">
        <f>Зерно[[#This Row],[Yt]]-C$3</f>
        <v>6.2469999999999999</v>
      </c>
      <c r="F13" s="10">
        <f>Зерно[[#This Row],[Yt]]/Зерно[[#This Row],[Yt-1]]</f>
        <v>4.3</v>
      </c>
      <c r="G13" s="10">
        <f>Зерно[[#This Row],[Yt]]/C$3</f>
        <v>1.3194906152508565</v>
      </c>
      <c r="H13" s="12">
        <f>Зерно[[#This Row],[Kc]]</f>
        <v>4.3</v>
      </c>
      <c r="I13" s="12">
        <f>Зерно[[#This Row],[Kb]]</f>
        <v>1.3194906152508565</v>
      </c>
      <c r="J13" s="12">
        <f>Зерно[[#This Row],[TRc]]-1</f>
        <v>3.3</v>
      </c>
      <c r="K13" s="12">
        <f>Зерно[[#This Row],[TRb]]-1</f>
        <v>0.31949061525085654</v>
      </c>
      <c r="L13" s="10">
        <f>Зерно[[#This Row],[Yt-1]]/100</f>
        <v>0.06</v>
      </c>
    </row>
    <row r="14" spans="1:12" x14ac:dyDescent="0.3">
      <c r="A14" s="16">
        <v>2012</v>
      </c>
      <c r="B14" s="17">
        <v>20.9</v>
      </c>
      <c r="C14" s="17">
        <v>25.8</v>
      </c>
      <c r="D14" s="10">
        <f>Зерно[[#This Row],[Yt]]-Зерно[[#This Row],[Yt-1]]</f>
        <v>-4.9000000000000021</v>
      </c>
      <c r="E14" s="10">
        <f>Зерно[[#This Row],[Yt]]-C$3</f>
        <v>1.3469999999999978</v>
      </c>
      <c r="F14" s="10">
        <f>Зерно[[#This Row],[Yt]]/Зерно[[#This Row],[Yt-1]]</f>
        <v>0.81007751937984485</v>
      </c>
      <c r="G14" s="10">
        <f>Зерно[[#This Row],[Yt]]/C$3</f>
        <v>1.0688896844473992</v>
      </c>
      <c r="H14" s="12">
        <f>Зерно[[#This Row],[Kc]]</f>
        <v>0.81007751937984485</v>
      </c>
      <c r="I14" s="12">
        <f>Зерно[[#This Row],[Kb]]</f>
        <v>1.0688896844473992</v>
      </c>
      <c r="J14" s="12">
        <f>Зерно[[#This Row],[TRc]]-1</f>
        <v>-0.18992248062015515</v>
      </c>
      <c r="K14" s="12">
        <f>Зерно[[#This Row],[TRb]]-1</f>
        <v>6.888968444739918E-2</v>
      </c>
      <c r="L14" s="10">
        <f>Зерно[[#This Row],[Yt-1]]/100</f>
        <v>0.25800000000000001</v>
      </c>
    </row>
    <row r="15" spans="1:12" x14ac:dyDescent="0.3">
      <c r="A15" s="16">
        <v>2013</v>
      </c>
      <c r="B15" s="17">
        <v>5.4</v>
      </c>
      <c r="C15" s="17">
        <v>20.9</v>
      </c>
      <c r="D15" s="10">
        <f>Зерно[[#This Row],[Yt]]-Зерно[[#This Row],[Yt-1]]</f>
        <v>-15.499999999999998</v>
      </c>
      <c r="E15" s="10">
        <f>Зерно[[#This Row],[Yt]]-C$3</f>
        <v>-14.153</v>
      </c>
      <c r="F15" s="10">
        <f>Зерно[[#This Row],[Yt]]/Зерно[[#This Row],[Yt-1]]</f>
        <v>0.25837320574162681</v>
      </c>
      <c r="G15" s="10">
        <f>Зерно[[#This Row],[Yt]]/C$3</f>
        <v>0.27617245435483045</v>
      </c>
      <c r="H15" s="12">
        <f>Зерно[[#This Row],[Kc]]</f>
        <v>0.25837320574162681</v>
      </c>
      <c r="I15" s="12">
        <f>Зерно[[#This Row],[Kb]]</f>
        <v>0.27617245435483045</v>
      </c>
      <c r="J15" s="12">
        <f>Зерно[[#This Row],[TRc]]-1</f>
        <v>-0.74162679425837319</v>
      </c>
      <c r="K15" s="12">
        <f>Зерно[[#This Row],[TRb]]-1</f>
        <v>-0.72382754564516949</v>
      </c>
      <c r="L15" s="10">
        <f>Зерно[[#This Row],[Yt-1]]/100</f>
        <v>0.20899999999999999</v>
      </c>
    </row>
    <row r="16" spans="1:12" x14ac:dyDescent="0.3">
      <c r="A16" s="16">
        <v>2014</v>
      </c>
      <c r="B16" s="17">
        <v>16.7</v>
      </c>
      <c r="C16" s="17">
        <v>5.4</v>
      </c>
      <c r="D16" s="10">
        <f>Зерно[[#This Row],[Yt]]-Зерно[[#This Row],[Yt-1]]</f>
        <v>11.299999999999999</v>
      </c>
      <c r="E16" s="10">
        <f>Зерно[[#This Row],[Yt]]-C$3</f>
        <v>-2.8530000000000015</v>
      </c>
      <c r="F16" s="10">
        <f>Зерно[[#This Row],[Yt]]/Зерно[[#This Row],[Yt-1]]</f>
        <v>3.0925925925925921</v>
      </c>
      <c r="G16" s="10">
        <f>Зерно[[#This Row],[Yt]]/C$3</f>
        <v>0.85408888661586446</v>
      </c>
      <c r="H16" s="12">
        <f>Зерно[[#This Row],[Kc]]</f>
        <v>3.0925925925925921</v>
      </c>
      <c r="I16" s="12">
        <f>Зерно[[#This Row],[Kb]]</f>
        <v>0.85408888661586446</v>
      </c>
      <c r="J16" s="12">
        <f>Зерно[[#This Row],[TRc]]-1</f>
        <v>2.0925925925925921</v>
      </c>
      <c r="K16" s="12">
        <f>Зерно[[#This Row],[TRb]]-1</f>
        <v>-0.14591111338413554</v>
      </c>
      <c r="L16" s="10">
        <f>Зерно[[#This Row],[Yt-1]]/100</f>
        <v>5.4000000000000006E-2</v>
      </c>
    </row>
    <row r="17" spans="1:12" x14ac:dyDescent="0.3">
      <c r="A17" s="16">
        <v>2015</v>
      </c>
      <c r="B17" s="17">
        <v>10.9</v>
      </c>
      <c r="C17" s="17">
        <v>16.7</v>
      </c>
      <c r="D17" s="10">
        <f>Зерно[[#This Row],[Yt]]-Зерно[[#This Row],[Yt-1]]</f>
        <v>-5.7999999999999989</v>
      </c>
      <c r="E17" s="10">
        <f>Зерно[[#This Row],[Yt]]-C$3</f>
        <v>-8.6530000000000005</v>
      </c>
      <c r="F17" s="10">
        <f>Зерно[[#This Row],[Yt]]/Зерно[[#This Row],[Yt-1]]</f>
        <v>0.65269461077844315</v>
      </c>
      <c r="G17" s="10">
        <f>Зерно[[#This Row],[Yt]]/C$3</f>
        <v>0.55745921341993554</v>
      </c>
      <c r="H17" s="12">
        <f>Зерно[[#This Row],[Kc]]</f>
        <v>0.65269461077844315</v>
      </c>
      <c r="I17" s="12">
        <f>Зерно[[#This Row],[Kb]]</f>
        <v>0.55745921341993554</v>
      </c>
      <c r="J17" s="12">
        <f>Зерно[[#This Row],[TRc]]-1</f>
        <v>-0.34730538922155685</v>
      </c>
      <c r="K17" s="12">
        <f>Зерно[[#This Row],[TRb]]-1</f>
        <v>-0.44254078658006446</v>
      </c>
      <c r="L17" s="10">
        <f>Зерно[[#This Row],[Yt-1]]/100</f>
        <v>0.16699999999999998</v>
      </c>
    </row>
    <row r="18" spans="1:12" x14ac:dyDescent="0.3">
      <c r="A18" s="16">
        <v>2016</v>
      </c>
      <c r="B18" s="17">
        <v>8.9</v>
      </c>
      <c r="C18" s="17">
        <v>10.9</v>
      </c>
      <c r="D18" s="10">
        <f>Зерно[[#This Row],[Yt]]-Зерно[[#This Row],[Yt-1]]</f>
        <v>-2</v>
      </c>
      <c r="E18" s="10">
        <f>Зерно[[#This Row],[Yt]]-C$3</f>
        <v>-10.653</v>
      </c>
      <c r="F18" s="10">
        <f>Зерно[[#This Row],[Yt]]/Зерно[[#This Row],[Yt-1]]</f>
        <v>0.8165137614678899</v>
      </c>
      <c r="G18" s="10">
        <f>Зерно[[#This Row],[Yt]]/C$3</f>
        <v>0.45517311921444281</v>
      </c>
      <c r="H18" s="12">
        <f>Зерно[[#This Row],[Kc]]</f>
        <v>0.8165137614678899</v>
      </c>
      <c r="I18" s="12">
        <f>Зерно[[#This Row],[Kb]]</f>
        <v>0.45517311921444281</v>
      </c>
      <c r="J18" s="12">
        <f>Зерно[[#This Row],[TRc]]-1</f>
        <v>-0.1834862385321101</v>
      </c>
      <c r="K18" s="12">
        <f>Зерно[[#This Row],[TRb]]-1</f>
        <v>-0.54482688078555719</v>
      </c>
      <c r="L18" s="10">
        <f>Зерно[[#This Row],[Yt-1]]/100</f>
        <v>0.109</v>
      </c>
    </row>
    <row r="19" spans="1:12" x14ac:dyDescent="0.3">
      <c r="A19" s="16">
        <v>2017</v>
      </c>
      <c r="B19" s="17">
        <v>11.1</v>
      </c>
      <c r="C19" s="17">
        <v>8.9</v>
      </c>
      <c r="D19" s="10">
        <f>Зерно[[#This Row],[Yt]]-Зерно[[#This Row],[Yt-1]]</f>
        <v>2.1999999999999993</v>
      </c>
      <c r="E19" s="10">
        <f>Зерно[[#This Row],[Yt]]-C$3</f>
        <v>-8.4530000000000012</v>
      </c>
      <c r="F19" s="10">
        <f>Зерно[[#This Row],[Yt]]/Зерно[[#This Row],[Yt-1]]</f>
        <v>1.247191011235955</v>
      </c>
      <c r="G19" s="10">
        <f>Зерно[[#This Row],[Yt]]/C$3</f>
        <v>0.5676878228404848</v>
      </c>
      <c r="H19" s="12">
        <f>Зерно[[#This Row],[Kc]]</f>
        <v>1.247191011235955</v>
      </c>
      <c r="I19" s="12">
        <f>Зерно[[#This Row],[Kb]]</f>
        <v>0.5676878228404848</v>
      </c>
      <c r="J19" s="12">
        <f>Зерно[[#This Row],[TRc]]-1</f>
        <v>0.24719101123595499</v>
      </c>
      <c r="K19" s="12">
        <f>Зерно[[#This Row],[TRb]]-1</f>
        <v>-0.4323121771595152</v>
      </c>
      <c r="L19" s="10">
        <f>Зерно[[#This Row],[Yt-1]]/100</f>
        <v>8.900000000000001E-2</v>
      </c>
    </row>
    <row r="20" spans="1:12" x14ac:dyDescent="0.3">
      <c r="A20" s="16">
        <v>2018</v>
      </c>
      <c r="B20" s="17">
        <v>9.5980999999999987</v>
      </c>
      <c r="C20" s="17">
        <v>11.1</v>
      </c>
      <c r="D20" s="10">
        <f>Зерно[[#This Row],[Yt]]-Зерно[[#This Row],[Yt-1]]</f>
        <v>-1.5019000000000009</v>
      </c>
      <c r="E20" s="10">
        <f>Зерно[[#This Row],[Yt]]-C$3</f>
        <v>-9.9549000000000021</v>
      </c>
      <c r="F20" s="10">
        <f>Зерно[[#This Row],[Yt]]/Зерно[[#This Row],[Yt-1]]</f>
        <v>0.86469369369369364</v>
      </c>
      <c r="G20" s="10">
        <f>Зерно[[#This Row],[Yt]]/C$3</f>
        <v>0.49087608039686997</v>
      </c>
      <c r="H20" s="12">
        <f>Зерно[[#This Row],[Kc]]</f>
        <v>0.86469369369369364</v>
      </c>
      <c r="I20" s="12">
        <f>Зерно[[#This Row],[Kb]]</f>
        <v>0.49087608039686997</v>
      </c>
      <c r="J20" s="12">
        <f>Зерно[[#This Row],[TRc]]-1</f>
        <v>-0.13530630630630636</v>
      </c>
      <c r="K20" s="12">
        <f>Зерно[[#This Row],[TRb]]-1</f>
        <v>-0.50912391960313008</v>
      </c>
      <c r="L20" s="10">
        <f>Зерно[[#This Row],[Yt-1]]/100</f>
        <v>0.111</v>
      </c>
    </row>
    <row r="21" spans="1:12" x14ac:dyDescent="0.3">
      <c r="A21" s="16">
        <v>2019</v>
      </c>
      <c r="B21" s="17">
        <v>5.4451999999999998</v>
      </c>
      <c r="C21" s="17">
        <v>9.5980999999999987</v>
      </c>
      <c r="D21" s="10">
        <f>Зерно[[#This Row],[Yt]]-Зерно[[#This Row],[Yt-1]]</f>
        <v>-4.1528999999999989</v>
      </c>
      <c r="E21" s="10">
        <f>Зерно[[#This Row],[Yt]]-C$3</f>
        <v>-14.107800000000001</v>
      </c>
      <c r="F21" s="10">
        <f>Зерно[[#This Row],[Yt]]/Зерно[[#This Row],[Yt-1]]</f>
        <v>0.567320615538492</v>
      </c>
      <c r="G21" s="10">
        <f>Зерно[[#This Row],[Yt]]/C$3</f>
        <v>0.27848412008387458</v>
      </c>
      <c r="H21" s="12">
        <f>Зерно[[#This Row],[Kc]]</f>
        <v>0.567320615538492</v>
      </c>
      <c r="I21" s="12">
        <f>Зерно[[#This Row],[Kb]]</f>
        <v>0.27848412008387458</v>
      </c>
      <c r="J21" s="12">
        <f>Зерно[[#This Row],[TRc]]-1</f>
        <v>-0.432679384461508</v>
      </c>
      <c r="K21" s="12">
        <f>Зерно[[#This Row],[TRb]]-1</f>
        <v>-0.72151587991612542</v>
      </c>
      <c r="L21" s="10">
        <f>Зерно[[#This Row],[Yt-1]]/100</f>
        <v>9.5980999999999983E-2</v>
      </c>
    </row>
    <row r="22" spans="1:12" x14ac:dyDescent="0.3">
      <c r="A22" s="16">
        <v>2020</v>
      </c>
      <c r="B22" s="17">
        <v>8.8000000000000007</v>
      </c>
      <c r="C22" s="17">
        <v>5.4451999999999998</v>
      </c>
      <c r="D22" s="10">
        <f>Зерно[[#This Row],[Yt]]-Зерно[[#This Row],[Yt-1]]</f>
        <v>3.3548000000000009</v>
      </c>
      <c r="E22" s="10">
        <f>Зерно[[#This Row],[Yt]]-C$3</f>
        <v>-10.753</v>
      </c>
      <c r="F22" s="10">
        <f>Зерно[[#This Row],[Yt]]/Зерно[[#This Row],[Yt-1]]</f>
        <v>1.6161022551972382</v>
      </c>
      <c r="G22" s="10">
        <f>Зерно[[#This Row],[Yt]]/C$3</f>
        <v>0.45005881450416818</v>
      </c>
      <c r="H22" s="12">
        <f>Зерно[[#This Row],[Kc]]</f>
        <v>1.6161022551972382</v>
      </c>
      <c r="I22" s="12">
        <f>Зерно[[#This Row],[Kb]]</f>
        <v>0.45005881450416818</v>
      </c>
      <c r="J22" s="12">
        <f>Зерно[[#This Row],[TRc]]-1</f>
        <v>0.61610225519723816</v>
      </c>
      <c r="K22" s="12">
        <f>Зерно[[#This Row],[TRb]]-1</f>
        <v>-0.54994118549583182</v>
      </c>
      <c r="L22" s="10">
        <f>Зерно[[#This Row],[Yt-1]]/100</f>
        <v>5.4452E-2</v>
      </c>
    </row>
    <row r="23" spans="1:12" x14ac:dyDescent="0.3">
      <c r="A23" s="16">
        <v>2021</v>
      </c>
      <c r="B23" s="17">
        <v>7.0327999999999999</v>
      </c>
      <c r="C23" s="17">
        <v>8.8000000000000007</v>
      </c>
      <c r="D23" s="10">
        <f>Зерно[[#This Row],[Yt]]-Зерно[[#This Row],[Yt-1]]</f>
        <v>-1.7672000000000008</v>
      </c>
      <c r="E23" s="10">
        <f>Зерно[[#This Row],[Yt]]-C$3</f>
        <v>-12.520200000000001</v>
      </c>
      <c r="F23" s="10">
        <f>Зерно[[#This Row],[Yt]]/Зерно[[#This Row],[Yt-1]]</f>
        <v>0.7991818181818181</v>
      </c>
      <c r="G23" s="10">
        <f>Зерно[[#This Row],[Yt]]/C$3</f>
        <v>0.35967882166419474</v>
      </c>
      <c r="H23" s="12">
        <f>Зерно[[#This Row],[Kc]]</f>
        <v>0.7991818181818181</v>
      </c>
      <c r="I23" s="12">
        <f>Зерно[[#This Row],[Kb]]</f>
        <v>0.35967882166419474</v>
      </c>
      <c r="J23" s="12">
        <f>Зерно[[#This Row],[TRc]]-1</f>
        <v>-0.2008181818181819</v>
      </c>
      <c r="K23" s="12">
        <f>Зерно[[#This Row],[TRb]]-1</f>
        <v>-0.64032117833580526</v>
      </c>
      <c r="L23" s="10">
        <f>Зерно[[#This Row],[Yt-1]]/100</f>
        <v>8.8000000000000009E-2</v>
      </c>
    </row>
    <row r="24" spans="1:12" x14ac:dyDescent="0.3">
      <c r="A24" s="16">
        <v>2022</v>
      </c>
      <c r="B24" s="17">
        <v>9.5022500000000001</v>
      </c>
      <c r="C24" s="17">
        <v>7.0327999999999999</v>
      </c>
      <c r="D24" s="10">
        <f>Зерно[[#This Row],[Yt]]-Зерно[[#This Row],[Yt-1]]</f>
        <v>2.4694500000000001</v>
      </c>
      <c r="E24" s="10">
        <f>Зерно[[#This Row],[Yt]]-C$3</f>
        <v>-10.050750000000001</v>
      </c>
      <c r="F24" s="10">
        <f>Зерно[[#This Row],[Yt]]/Зерно[[#This Row],[Yt-1]]</f>
        <v>1.3511332612899556</v>
      </c>
      <c r="G24" s="10">
        <f>Зерно[[#This Row],[Yt]]/C$3</f>
        <v>0.48597401933207179</v>
      </c>
      <c r="H24" s="12">
        <f>Зерно[[#This Row],[Kc]]</f>
        <v>1.3511332612899556</v>
      </c>
      <c r="I24" s="12">
        <f>Зерно[[#This Row],[Kb]]</f>
        <v>0.48597401933207179</v>
      </c>
      <c r="J24" s="12">
        <f>Зерно[[#This Row],[TRc]]-1</f>
        <v>0.35113326128995559</v>
      </c>
      <c r="K24" s="12">
        <f>Зерно[[#This Row],[TRb]]-1</f>
        <v>-0.51402598066792815</v>
      </c>
      <c r="L24" s="10">
        <f>Зерно[[#This Row],[Yt-1]]/100</f>
        <v>7.0328000000000002E-2</v>
      </c>
    </row>
    <row r="25" spans="1:12" ht="15" thickBot="1" x14ac:dyDescent="0.35">
      <c r="A25" s="18" t="s">
        <v>4</v>
      </c>
      <c r="B25" s="17"/>
      <c r="C25" s="23"/>
      <c r="D25" s="24">
        <f>SUBTOTAL(109,Зерно[APRc])</f>
        <v>-10.050750000000001</v>
      </c>
      <c r="E25" s="11"/>
      <c r="F25" s="24">
        <f>PRODUCT(F2:F24)</f>
        <v>0.48597401933207179</v>
      </c>
      <c r="G25" s="11"/>
      <c r="H25" s="25">
        <f>PRODUCT(H2:H24)</f>
        <v>0.48597401933207179</v>
      </c>
      <c r="I25" s="19"/>
      <c r="J25" s="19"/>
      <c r="K25" s="19"/>
      <c r="L25" s="19"/>
    </row>
    <row r="26" spans="1:12" ht="15" thickBot="1" x14ac:dyDescent="0.35">
      <c r="A26" s="20" t="s">
        <v>15</v>
      </c>
      <c r="B26" s="27">
        <f>AVERAGE(Зерно[Yt])</f>
        <v>17.671884782608693</v>
      </c>
      <c r="C26" s="22"/>
      <c r="D26" s="26">
        <f>AVERAGE(D2:D24)</f>
        <v>-0.45685227272727275</v>
      </c>
      <c r="E26" s="22"/>
      <c r="F26" s="26">
        <f>GEOMEAN(F2:F24)</f>
        <v>0.96773208160870572</v>
      </c>
      <c r="G26" s="22"/>
      <c r="H26" s="28"/>
      <c r="I26" s="22"/>
      <c r="J26" s="29">
        <f>(F26-1)</f>
        <v>-3.2267918391294281E-2</v>
      </c>
      <c r="K26" s="21"/>
      <c r="L26" s="11"/>
    </row>
    <row r="28" spans="1:12" ht="15" thickBot="1" x14ac:dyDescent="0.35">
      <c r="A28" s="9"/>
    </row>
    <row r="29" spans="1:12" ht="14.4" customHeight="1" x14ac:dyDescent="0.3">
      <c r="A29" s="68" t="s">
        <v>16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70"/>
    </row>
    <row r="30" spans="1:12" x14ac:dyDescent="0.3">
      <c r="A30" s="71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3"/>
    </row>
    <row r="31" spans="1:12" x14ac:dyDescent="0.3">
      <c r="A31" s="71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3"/>
    </row>
    <row r="32" spans="1:12" x14ac:dyDescent="0.3">
      <c r="A32" s="71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3"/>
    </row>
    <row r="33" spans="1:12" x14ac:dyDescent="0.3">
      <c r="A33" s="71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3"/>
    </row>
    <row r="34" spans="1:12" x14ac:dyDescent="0.3">
      <c r="A34" s="71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3"/>
    </row>
    <row r="35" spans="1:12" x14ac:dyDescent="0.3">
      <c r="A35" s="71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3"/>
    </row>
    <row r="36" spans="1:12" ht="15" thickBot="1" x14ac:dyDescent="0.35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6"/>
    </row>
  </sheetData>
  <mergeCells count="1">
    <mergeCell ref="A29:L36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3011-D7A5-4CA0-A899-10E50BABE2B4}">
  <sheetPr codeName="Лист3"/>
  <dimension ref="A1:F33"/>
  <sheetViews>
    <sheetView zoomScale="85" zoomScaleNormal="85" workbookViewId="0">
      <selection activeCell="S3" sqref="S3"/>
    </sheetView>
  </sheetViews>
  <sheetFormatPr defaultRowHeight="14.4" x14ac:dyDescent="0.3"/>
  <cols>
    <col min="2" max="2" width="56.109375" customWidth="1"/>
    <col min="3" max="4" width="11.109375" bestFit="1" customWidth="1"/>
    <col min="5" max="5" width="16.21875" customWidth="1"/>
    <col min="6" max="6" width="17.88671875" customWidth="1"/>
  </cols>
  <sheetData>
    <row r="1" spans="1:6" ht="31.2" x14ac:dyDescent="0.3">
      <c r="A1" s="3" t="s">
        <v>0</v>
      </c>
      <c r="B1" s="4" t="s">
        <v>1</v>
      </c>
      <c r="C1" s="4" t="s">
        <v>17</v>
      </c>
      <c r="D1" s="4" t="s">
        <v>18</v>
      </c>
      <c r="E1" s="4" t="s">
        <v>19</v>
      </c>
      <c r="F1" s="4" t="s">
        <v>20</v>
      </c>
    </row>
    <row r="2" spans="1:6" x14ac:dyDescent="0.3">
      <c r="A2" s="1">
        <v>2006</v>
      </c>
      <c r="B2" s="5">
        <v>28.363999999999997</v>
      </c>
      <c r="C2" s="5"/>
      <c r="D2" s="5"/>
    </row>
    <row r="3" spans="1:6" x14ac:dyDescent="0.3">
      <c r="A3" s="1">
        <v>2007</v>
      </c>
      <c r="B3" s="5">
        <v>29.689</v>
      </c>
      <c r="C3" s="5"/>
      <c r="D3" s="5"/>
    </row>
    <row r="4" spans="1:6" x14ac:dyDescent="0.3">
      <c r="A4" s="1">
        <v>2008</v>
      </c>
      <c r="B4" s="5">
        <v>34.170999999999999</v>
      </c>
      <c r="C4" s="5">
        <f t="shared" ref="C4:C12" si="0">AVERAGE(B2:B6)</f>
        <v>24.849799999999998</v>
      </c>
      <c r="D4" s="5"/>
      <c r="E4" s="42">
        <f t="shared" ref="E4:E16" si="1">AVERAGE(B2:B6)</f>
        <v>24.849799999999998</v>
      </c>
    </row>
    <row r="5" spans="1:6" x14ac:dyDescent="0.3">
      <c r="A5" s="1">
        <v>2009</v>
      </c>
      <c r="B5" s="5">
        <v>26.024999999999999</v>
      </c>
      <c r="C5" s="5">
        <f t="shared" si="0"/>
        <v>24.336999999999996</v>
      </c>
      <c r="D5" s="5">
        <f t="shared" ref="D5:D13" si="2">AVERAGE(B2:B8)</f>
        <v>24.421285714285716</v>
      </c>
      <c r="E5" s="42">
        <f t="shared" si="1"/>
        <v>24.336999999999996</v>
      </c>
      <c r="F5" s="42">
        <f t="shared" ref="F5:F15" si="3">AVERAGE(B2:B8)</f>
        <v>24.421285714285716</v>
      </c>
    </row>
    <row r="6" spans="1:6" x14ac:dyDescent="0.3">
      <c r="A6" s="1">
        <v>2010</v>
      </c>
      <c r="B6" s="5">
        <v>6</v>
      </c>
      <c r="C6" s="5">
        <f t="shared" si="0"/>
        <v>22.579199999999997</v>
      </c>
      <c r="D6" s="5">
        <f t="shared" si="2"/>
        <v>21.140714285714285</v>
      </c>
      <c r="E6" s="42">
        <f t="shared" si="1"/>
        <v>22.579199999999997</v>
      </c>
      <c r="F6" s="42">
        <f t="shared" si="3"/>
        <v>21.140714285714285</v>
      </c>
    </row>
    <row r="7" spans="1:6" x14ac:dyDescent="0.3">
      <c r="A7" s="1">
        <v>2011</v>
      </c>
      <c r="B7" s="5">
        <v>25.8</v>
      </c>
      <c r="C7" s="5">
        <f t="shared" si="0"/>
        <v>16.824999999999999</v>
      </c>
      <c r="D7" s="5">
        <f t="shared" si="2"/>
        <v>19.285142857142855</v>
      </c>
      <c r="E7" s="42">
        <f t="shared" si="1"/>
        <v>16.824999999999999</v>
      </c>
      <c r="F7" s="42">
        <f t="shared" si="3"/>
        <v>19.285142857142855</v>
      </c>
    </row>
    <row r="8" spans="1:6" x14ac:dyDescent="0.3">
      <c r="A8" s="1">
        <v>2012</v>
      </c>
      <c r="B8" s="5">
        <v>20.9</v>
      </c>
      <c r="C8" s="5">
        <f t="shared" si="0"/>
        <v>14.959999999999999</v>
      </c>
      <c r="D8" s="5">
        <f t="shared" si="2"/>
        <v>15.960714285714287</v>
      </c>
      <c r="E8" s="42">
        <f t="shared" si="1"/>
        <v>14.959999999999999</v>
      </c>
      <c r="F8" s="42">
        <f t="shared" si="3"/>
        <v>15.960714285714287</v>
      </c>
    </row>
    <row r="9" spans="1:6" x14ac:dyDescent="0.3">
      <c r="A9" s="1">
        <v>2013</v>
      </c>
      <c r="B9" s="5">
        <v>5.4</v>
      </c>
      <c r="C9" s="5">
        <f t="shared" si="0"/>
        <v>15.940000000000001</v>
      </c>
      <c r="D9" s="5">
        <f t="shared" si="2"/>
        <v>13.514285714285716</v>
      </c>
      <c r="E9" s="42">
        <f t="shared" si="1"/>
        <v>15.940000000000001</v>
      </c>
      <c r="F9" s="42">
        <f t="shared" si="3"/>
        <v>13.514285714285716</v>
      </c>
    </row>
    <row r="10" spans="1:6" x14ac:dyDescent="0.3">
      <c r="A10" s="1">
        <v>2014</v>
      </c>
      <c r="B10" s="5">
        <v>16.7</v>
      </c>
      <c r="C10" s="5">
        <f t="shared" si="0"/>
        <v>12.559999999999999</v>
      </c>
      <c r="D10" s="5">
        <f t="shared" si="2"/>
        <v>14.242857142857144</v>
      </c>
      <c r="E10" s="42">
        <f t="shared" si="1"/>
        <v>12.559999999999999</v>
      </c>
      <c r="F10" s="42">
        <f t="shared" si="3"/>
        <v>14.242857142857144</v>
      </c>
    </row>
    <row r="11" spans="1:6" x14ac:dyDescent="0.3">
      <c r="A11" s="1">
        <v>2015</v>
      </c>
      <c r="B11" s="5">
        <v>10.9</v>
      </c>
      <c r="C11" s="5">
        <f t="shared" si="0"/>
        <v>10.6</v>
      </c>
      <c r="D11" s="5">
        <f t="shared" si="2"/>
        <v>11.928299999999998</v>
      </c>
      <c r="E11" s="42">
        <f t="shared" si="1"/>
        <v>10.6</v>
      </c>
      <c r="F11" s="42">
        <f t="shared" si="3"/>
        <v>11.928299999999998</v>
      </c>
    </row>
    <row r="12" spans="1:6" x14ac:dyDescent="0.3">
      <c r="A12" s="1">
        <v>2016</v>
      </c>
      <c r="B12" s="5">
        <v>8.9</v>
      </c>
      <c r="C12" s="5">
        <f t="shared" si="0"/>
        <v>11.43962</v>
      </c>
      <c r="D12" s="5">
        <f t="shared" si="2"/>
        <v>9.7204714285714289</v>
      </c>
      <c r="E12" s="42">
        <f t="shared" si="1"/>
        <v>11.43962</v>
      </c>
      <c r="F12" s="42">
        <f t="shared" si="3"/>
        <v>9.7204714285714289</v>
      </c>
    </row>
    <row r="13" spans="1:6" x14ac:dyDescent="0.3">
      <c r="A13" s="1">
        <v>2017</v>
      </c>
      <c r="B13" s="5">
        <v>11.1</v>
      </c>
      <c r="C13" s="5">
        <f t="shared" ref="C13:C15" si="4">AVERAGE(B11:B15)</f>
        <v>9.1886599999999987</v>
      </c>
      <c r="D13" s="5">
        <f t="shared" si="2"/>
        <v>10.206185714285713</v>
      </c>
      <c r="E13" s="42">
        <f t="shared" si="1"/>
        <v>9.1886599999999987</v>
      </c>
      <c r="F13" s="42">
        <f t="shared" si="3"/>
        <v>10.206185714285713</v>
      </c>
    </row>
    <row r="14" spans="1:6" x14ac:dyDescent="0.3">
      <c r="A14" s="1">
        <v>2018</v>
      </c>
      <c r="B14" s="5">
        <v>9.5980999999999987</v>
      </c>
      <c r="C14" s="5">
        <f t="shared" si="4"/>
        <v>8.7686600000000006</v>
      </c>
      <c r="D14" s="5">
        <f t="shared" ref="D14:D15" si="5">AVERAGE(B11:B17)</f>
        <v>8.825157142857142</v>
      </c>
      <c r="E14" s="42">
        <f t="shared" si="1"/>
        <v>8.7686600000000006</v>
      </c>
      <c r="F14" s="42">
        <f t="shared" si="3"/>
        <v>8.825157142857142</v>
      </c>
    </row>
    <row r="15" spans="1:6" x14ac:dyDescent="0.3">
      <c r="A15" s="1">
        <v>2019</v>
      </c>
      <c r="B15" s="5">
        <v>5.4451999999999998</v>
      </c>
      <c r="C15" s="5">
        <f t="shared" si="4"/>
        <v>8.3952199999999984</v>
      </c>
      <c r="D15" s="5">
        <f t="shared" si="5"/>
        <v>8.6254785714285713</v>
      </c>
      <c r="E15" s="42">
        <f t="shared" si="1"/>
        <v>8.3952199999999984</v>
      </c>
      <c r="F15" s="42">
        <f t="shared" si="3"/>
        <v>8.6254785714285713</v>
      </c>
    </row>
    <row r="16" spans="1:6" ht="14.4" customHeight="1" x14ac:dyDescent="0.3">
      <c r="A16" s="1">
        <v>2020</v>
      </c>
      <c r="B16" s="5">
        <v>8.8000000000000007</v>
      </c>
      <c r="C16" s="5">
        <f>AVERAGE(B14:B18)</f>
        <v>8.0756699999999988</v>
      </c>
      <c r="D16" s="5"/>
      <c r="E16" s="42">
        <f t="shared" si="1"/>
        <v>8.0756699999999988</v>
      </c>
    </row>
    <row r="17" spans="1:6" x14ac:dyDescent="0.3">
      <c r="A17" s="1">
        <v>2021</v>
      </c>
      <c r="B17" s="5">
        <v>7.0327999999999999</v>
      </c>
      <c r="C17" s="5"/>
      <c r="D17" s="5"/>
    </row>
    <row r="18" spans="1:6" ht="15" thickBot="1" x14ac:dyDescent="0.35">
      <c r="A18" s="2">
        <v>2022</v>
      </c>
      <c r="B18" s="6">
        <v>9.5022500000000001</v>
      </c>
      <c r="C18" s="6"/>
      <c r="D18" s="6"/>
    </row>
    <row r="19" spans="1:6" ht="15" thickBot="1" x14ac:dyDescent="0.35">
      <c r="A19" s="7"/>
      <c r="B19" s="8"/>
      <c r="C19" s="43"/>
      <c r="D19" s="43"/>
      <c r="E19" s="44"/>
      <c r="F19" s="45"/>
    </row>
    <row r="20" spans="1:6" ht="14.4" customHeight="1" x14ac:dyDescent="0.3"/>
    <row r="21" spans="1:6" ht="15" thickBot="1" x14ac:dyDescent="0.35"/>
    <row r="22" spans="1:6" x14ac:dyDescent="0.3">
      <c r="A22" s="77" t="s">
        <v>78</v>
      </c>
      <c r="B22" s="78"/>
      <c r="D22" s="77" t="s">
        <v>21</v>
      </c>
      <c r="E22" s="83"/>
      <c r="F22" s="78"/>
    </row>
    <row r="23" spans="1:6" x14ac:dyDescent="0.3">
      <c r="A23" s="79"/>
      <c r="B23" s="80"/>
      <c r="D23" s="79"/>
      <c r="E23" s="84"/>
      <c r="F23" s="80"/>
    </row>
    <row r="24" spans="1:6" x14ac:dyDescent="0.3">
      <c r="A24" s="79"/>
      <c r="B24" s="80"/>
      <c r="D24" s="79"/>
      <c r="E24" s="84"/>
      <c r="F24" s="80"/>
    </row>
    <row r="25" spans="1:6" x14ac:dyDescent="0.3">
      <c r="A25" s="79"/>
      <c r="B25" s="80"/>
      <c r="D25" s="79"/>
      <c r="E25" s="84"/>
      <c r="F25" s="80"/>
    </row>
    <row r="26" spans="1:6" x14ac:dyDescent="0.3">
      <c r="A26" s="79"/>
      <c r="B26" s="80"/>
      <c r="D26" s="79"/>
      <c r="E26" s="84"/>
      <c r="F26" s="80"/>
    </row>
    <row r="27" spans="1:6" ht="15" thickBot="1" x14ac:dyDescent="0.35">
      <c r="A27" s="79"/>
      <c r="B27" s="80"/>
      <c r="D27" s="81"/>
      <c r="E27" s="85"/>
      <c r="F27" s="82"/>
    </row>
    <row r="28" spans="1:6" ht="14.4" customHeight="1" x14ac:dyDescent="0.3">
      <c r="A28" s="79"/>
      <c r="B28" s="80"/>
    </row>
    <row r="29" spans="1:6" x14ac:dyDescent="0.3">
      <c r="A29" s="79"/>
      <c r="B29" s="80"/>
    </row>
    <row r="30" spans="1:6" x14ac:dyDescent="0.3">
      <c r="A30" s="79"/>
      <c r="B30" s="80"/>
    </row>
    <row r="31" spans="1:6" x14ac:dyDescent="0.3">
      <c r="A31" s="79"/>
      <c r="B31" s="80"/>
    </row>
    <row r="32" spans="1:6" x14ac:dyDescent="0.3">
      <c r="A32" s="79"/>
      <c r="B32" s="80"/>
    </row>
    <row r="33" spans="1:2" ht="15" thickBot="1" x14ac:dyDescent="0.35">
      <c r="A33" s="81"/>
      <c r="B33" s="82"/>
    </row>
  </sheetData>
  <mergeCells count="2">
    <mergeCell ref="A22:B33"/>
    <mergeCell ref="D22:F27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FFB3-41AB-4430-8262-F267C12E3CF9}">
  <dimension ref="A1:O64"/>
  <sheetViews>
    <sheetView topLeftCell="A13" zoomScale="40" zoomScaleNormal="40" workbookViewId="0">
      <selection activeCell="F81" sqref="A70:F81"/>
    </sheetView>
  </sheetViews>
  <sheetFormatPr defaultRowHeight="14.4" x14ac:dyDescent="0.3"/>
  <cols>
    <col min="1" max="1" width="25.88671875" bestFit="1" customWidth="1"/>
    <col min="2" max="2" width="59" customWidth="1"/>
    <col min="3" max="3" width="22.44140625" customWidth="1"/>
    <col min="4" max="4" width="19.6640625" bestFit="1" customWidth="1"/>
    <col min="5" max="5" width="13.88671875" bestFit="1" customWidth="1"/>
    <col min="6" max="6" width="14.21875" bestFit="1" customWidth="1"/>
    <col min="7" max="7" width="13.88671875" bestFit="1" customWidth="1"/>
    <col min="8" max="8" width="14.5546875" bestFit="1" customWidth="1"/>
    <col min="9" max="9" width="14.88671875" bestFit="1" customWidth="1"/>
  </cols>
  <sheetData>
    <row r="1" spans="1:6" ht="46.8" x14ac:dyDescent="0.3">
      <c r="A1" s="37" t="s">
        <v>0</v>
      </c>
      <c r="B1" s="48" t="s">
        <v>70</v>
      </c>
      <c r="C1" s="48" t="s">
        <v>22</v>
      </c>
      <c r="D1" s="48" t="s">
        <v>57</v>
      </c>
      <c r="E1" s="48" t="s">
        <v>86</v>
      </c>
      <c r="F1" s="48" t="s">
        <v>87</v>
      </c>
    </row>
    <row r="2" spans="1:6" x14ac:dyDescent="0.3">
      <c r="A2" s="1">
        <v>2006</v>
      </c>
      <c r="B2" s="41">
        <v>28.363999999999997</v>
      </c>
      <c r="C2">
        <v>1</v>
      </c>
    </row>
    <row r="3" spans="1:6" x14ac:dyDescent="0.3">
      <c r="A3" s="1">
        <v>2007</v>
      </c>
      <c r="B3" s="41">
        <v>29.689</v>
      </c>
      <c r="C3">
        <v>2</v>
      </c>
    </row>
    <row r="4" spans="1:6" x14ac:dyDescent="0.3">
      <c r="A4" s="1">
        <v>2008</v>
      </c>
      <c r="B4" s="41">
        <v>34.170999999999999</v>
      </c>
      <c r="C4">
        <v>3</v>
      </c>
    </row>
    <row r="5" spans="1:6" x14ac:dyDescent="0.3">
      <c r="A5" s="1">
        <v>2009</v>
      </c>
      <c r="B5" s="41">
        <v>26.024999999999999</v>
      </c>
      <c r="C5">
        <v>4</v>
      </c>
    </row>
    <row r="6" spans="1:6" x14ac:dyDescent="0.3">
      <c r="A6" s="1">
        <v>2010</v>
      </c>
      <c r="B6" s="41">
        <v>6</v>
      </c>
      <c r="C6">
        <v>5</v>
      </c>
    </row>
    <row r="7" spans="1:6" x14ac:dyDescent="0.3">
      <c r="A7" s="1">
        <v>2011</v>
      </c>
      <c r="B7" s="41">
        <v>25.8</v>
      </c>
      <c r="C7">
        <v>6</v>
      </c>
    </row>
    <row r="8" spans="1:6" x14ac:dyDescent="0.3">
      <c r="A8" s="1">
        <v>2012</v>
      </c>
      <c r="B8" s="41">
        <v>20.9</v>
      </c>
      <c r="C8">
        <v>7</v>
      </c>
    </row>
    <row r="9" spans="1:6" x14ac:dyDescent="0.3">
      <c r="A9" s="1">
        <v>2013</v>
      </c>
      <c r="B9" s="41">
        <v>5.4</v>
      </c>
      <c r="C9">
        <v>8</v>
      </c>
    </row>
    <row r="10" spans="1:6" x14ac:dyDescent="0.3">
      <c r="A10" s="1">
        <v>2014</v>
      </c>
      <c r="B10" s="41">
        <v>16.7</v>
      </c>
      <c r="C10">
        <v>9</v>
      </c>
    </row>
    <row r="11" spans="1:6" x14ac:dyDescent="0.3">
      <c r="A11" s="1">
        <v>2015</v>
      </c>
      <c r="B11" s="41">
        <v>10.9</v>
      </c>
      <c r="C11">
        <v>10</v>
      </c>
    </row>
    <row r="12" spans="1:6" x14ac:dyDescent="0.3">
      <c r="A12" s="1">
        <v>2016</v>
      </c>
      <c r="B12" s="41">
        <v>8.9</v>
      </c>
      <c r="C12">
        <v>11</v>
      </c>
    </row>
    <row r="13" spans="1:6" x14ac:dyDescent="0.3">
      <c r="A13" s="1">
        <v>2017</v>
      </c>
      <c r="B13" s="41">
        <v>11.1</v>
      </c>
      <c r="C13">
        <v>12</v>
      </c>
    </row>
    <row r="14" spans="1:6" x14ac:dyDescent="0.3">
      <c r="A14" s="1">
        <v>2018</v>
      </c>
      <c r="B14" s="41">
        <v>9.5980999999999987</v>
      </c>
      <c r="C14">
        <v>13</v>
      </c>
    </row>
    <row r="15" spans="1:6" x14ac:dyDescent="0.3">
      <c r="A15" s="1">
        <v>2019</v>
      </c>
      <c r="B15" s="41">
        <v>5.4451999999999998</v>
      </c>
      <c r="C15">
        <v>14</v>
      </c>
    </row>
    <row r="16" spans="1:6" ht="14.4" customHeight="1" x14ac:dyDescent="0.3">
      <c r="A16" s="1">
        <v>2020</v>
      </c>
      <c r="B16" s="41">
        <v>8.8000000000000007</v>
      </c>
      <c r="C16">
        <v>15</v>
      </c>
    </row>
    <row r="17" spans="1:6" x14ac:dyDescent="0.3">
      <c r="A17" s="1">
        <v>2021</v>
      </c>
      <c r="B17" s="41">
        <v>7.0327999999999999</v>
      </c>
      <c r="C17">
        <v>16</v>
      </c>
    </row>
    <row r="18" spans="1:6" x14ac:dyDescent="0.3">
      <c r="A18" s="1">
        <v>2022</v>
      </c>
      <c r="B18" s="41">
        <v>9.5022500000000001</v>
      </c>
      <c r="C18">
        <v>17</v>
      </c>
    </row>
    <row r="19" spans="1:6" x14ac:dyDescent="0.3">
      <c r="A19" s="2">
        <v>2023</v>
      </c>
      <c r="B19" s="52"/>
      <c r="C19">
        <v>18</v>
      </c>
      <c r="D19">
        <f>$B$40+$B$41*Тренд[[#This Row],[t]]</f>
        <v>2.030579411764716</v>
      </c>
      <c r="E19">
        <f>Тренд[[#This Row],[Предсказанное Y]]-$D$42*$B$30</f>
        <v>-11.615479629040006</v>
      </c>
      <c r="F19">
        <f>Тренд[[#This Row],[Предсказанное Y]]+$D$42*$B$30</f>
        <v>15.676638452569438</v>
      </c>
    </row>
    <row r="20" spans="1:6" ht="15" thickBot="1" x14ac:dyDescent="0.35">
      <c r="A20" s="2">
        <v>2024</v>
      </c>
      <c r="B20" s="52"/>
      <c r="C20" s="65">
        <v>19</v>
      </c>
      <c r="D20" s="65">
        <f>$B$40+$B$41*Тренд[[#This Row],[t]]</f>
        <v>0.52856960784314566</v>
      </c>
      <c r="E20" s="65">
        <f>Тренд[[#This Row],[Предсказанное Y]]-$D$42*$B$30</f>
        <v>-13.117489432961577</v>
      </c>
      <c r="F20" s="65">
        <f>Тренд[[#This Row],[Предсказанное Y]]+$D$42*$B$30</f>
        <v>14.174628648647868</v>
      </c>
    </row>
    <row r="21" spans="1:6" x14ac:dyDescent="0.3">
      <c r="A21" s="46"/>
      <c r="B21" s="47"/>
      <c r="C21" s="47"/>
      <c r="D21" s="47"/>
      <c r="E21" s="47"/>
      <c r="F21" s="47"/>
    </row>
    <row r="24" spans="1:6" x14ac:dyDescent="0.3">
      <c r="A24" t="s">
        <v>23</v>
      </c>
    </row>
    <row r="25" spans="1:6" ht="15" thickBot="1" x14ac:dyDescent="0.35"/>
    <row r="26" spans="1:6" x14ac:dyDescent="0.3">
      <c r="A26" s="34" t="s">
        <v>24</v>
      </c>
      <c r="B26" s="34"/>
    </row>
    <row r="27" spans="1:6" ht="15" customHeight="1" x14ac:dyDescent="0.3">
      <c r="A27" s="31" t="s">
        <v>25</v>
      </c>
      <c r="B27" s="31">
        <v>0.77622587023848011</v>
      </c>
    </row>
    <row r="28" spans="1:6" x14ac:dyDescent="0.3">
      <c r="A28" s="31" t="s">
        <v>26</v>
      </c>
      <c r="B28" s="31">
        <v>0.60252660162748595</v>
      </c>
    </row>
    <row r="29" spans="1:6" x14ac:dyDescent="0.3">
      <c r="A29" s="31" t="s">
        <v>27</v>
      </c>
      <c r="B29" s="31">
        <v>0.57602837506931814</v>
      </c>
    </row>
    <row r="30" spans="1:6" x14ac:dyDescent="0.3">
      <c r="A30" s="31" t="s">
        <v>28</v>
      </c>
      <c r="B30" s="31">
        <v>6.362431806238293</v>
      </c>
    </row>
    <row r="31" spans="1:6" ht="15" thickBot="1" x14ac:dyDescent="0.35">
      <c r="A31" s="32" t="s">
        <v>29</v>
      </c>
      <c r="B31" s="32">
        <v>17</v>
      </c>
    </row>
    <row r="33" spans="1:15" ht="15" thickBot="1" x14ac:dyDescent="0.35">
      <c r="A33" t="s">
        <v>30</v>
      </c>
    </row>
    <row r="34" spans="1:15" ht="15" thickBot="1" x14ac:dyDescent="0.35">
      <c r="A34" s="50"/>
      <c r="B34" s="50" t="s">
        <v>35</v>
      </c>
      <c r="C34" s="50" t="s">
        <v>36</v>
      </c>
      <c r="D34" s="50" t="s">
        <v>37</v>
      </c>
      <c r="E34" s="50" t="s">
        <v>38</v>
      </c>
      <c r="F34" s="50" t="s">
        <v>39</v>
      </c>
      <c r="G34" s="36" t="s">
        <v>50</v>
      </c>
      <c r="I34" s="86" t="s">
        <v>51</v>
      </c>
      <c r="J34" s="87"/>
      <c r="K34" s="87"/>
      <c r="L34" s="87"/>
      <c r="M34" s="87"/>
      <c r="N34" s="88"/>
    </row>
    <row r="35" spans="1:15" ht="15" thickBot="1" x14ac:dyDescent="0.35">
      <c r="A35" s="31" t="s">
        <v>31</v>
      </c>
      <c r="B35" s="31">
        <v>1</v>
      </c>
      <c r="C35" s="31">
        <v>920.46164803921613</v>
      </c>
      <c r="D35" s="31">
        <v>920.46164803921613</v>
      </c>
      <c r="E35" s="31">
        <v>22.73837459668664</v>
      </c>
      <c r="F35" s="31">
        <v>2.4881632878444114E-4</v>
      </c>
      <c r="G35" s="35">
        <f>_xlfn.F.INV.RT(0.05,2,15)</f>
        <v>3.6823203436732408</v>
      </c>
      <c r="I35" s="89"/>
      <c r="J35" s="90"/>
      <c r="K35" s="90"/>
      <c r="L35" s="90"/>
      <c r="M35" s="90"/>
      <c r="N35" s="91"/>
    </row>
    <row r="36" spans="1:15" x14ac:dyDescent="0.3">
      <c r="A36" s="31" t="s">
        <v>32</v>
      </c>
      <c r="B36" s="31">
        <v>15</v>
      </c>
      <c r="C36" s="31">
        <v>607.20807733548997</v>
      </c>
      <c r="D36" s="31">
        <v>40.480538489032668</v>
      </c>
      <c r="E36" s="31"/>
      <c r="F36" s="31"/>
    </row>
    <row r="37" spans="1:15" ht="14.4" customHeight="1" thickBot="1" x14ac:dyDescent="0.35">
      <c r="A37" s="32" t="s">
        <v>33</v>
      </c>
      <c r="B37" s="32">
        <v>16</v>
      </c>
      <c r="C37" s="32">
        <v>1527.6697253747061</v>
      </c>
      <c r="D37" s="32"/>
      <c r="E37" s="32"/>
      <c r="F37" s="32"/>
    </row>
    <row r="38" spans="1:15" ht="15" thickBot="1" x14ac:dyDescent="0.35"/>
    <row r="39" spans="1:15" x14ac:dyDescent="0.3">
      <c r="A39" s="50"/>
      <c r="B39" s="50" t="s">
        <v>40</v>
      </c>
      <c r="C39" s="50" t="s">
        <v>28</v>
      </c>
      <c r="D39" s="50" t="s">
        <v>41</v>
      </c>
      <c r="E39" s="50" t="s">
        <v>42</v>
      </c>
      <c r="F39" s="50" t="s">
        <v>43</v>
      </c>
      <c r="G39" s="50" t="s">
        <v>44</v>
      </c>
      <c r="H39" s="50" t="s">
        <v>45</v>
      </c>
      <c r="I39" s="50" t="s">
        <v>46</v>
      </c>
    </row>
    <row r="40" spans="1:15" x14ac:dyDescent="0.3">
      <c r="A40" s="31" t="s">
        <v>34</v>
      </c>
      <c r="B40" s="31">
        <v>29.066755882352933</v>
      </c>
      <c r="C40" s="31">
        <v>3.2276594678744961</v>
      </c>
      <c r="D40" s="31">
        <v>9.0055212365678106</v>
      </c>
      <c r="E40" s="31">
        <v>1.9461426720830998E-7</v>
      </c>
      <c r="F40" s="31">
        <v>22.187162576330135</v>
      </c>
      <c r="G40" s="31">
        <v>35.946349188375727</v>
      </c>
      <c r="H40" s="31">
        <v>22.187162576330135</v>
      </c>
      <c r="I40" s="31">
        <v>35.946349188375727</v>
      </c>
    </row>
    <row r="41" spans="1:15" ht="15" thickBot="1" x14ac:dyDescent="0.35">
      <c r="A41" s="32" t="s">
        <v>22</v>
      </c>
      <c r="B41" s="32">
        <v>-1.5020098039215677</v>
      </c>
      <c r="C41" s="32">
        <v>0.31498731101517441</v>
      </c>
      <c r="D41" s="32">
        <v>-4.7684771779559361</v>
      </c>
      <c r="E41" s="32">
        <v>2.4881632878444277E-4</v>
      </c>
      <c r="F41" s="32">
        <v>-2.1733893648419564</v>
      </c>
      <c r="G41" s="32">
        <v>-0.83063024300117894</v>
      </c>
      <c r="H41" s="32">
        <v>-2.1733893648419564</v>
      </c>
      <c r="I41" s="32">
        <v>-0.83063024300117894</v>
      </c>
    </row>
    <row r="42" spans="1:15" ht="15" thickBot="1" x14ac:dyDescent="0.35">
      <c r="A42" s="36" t="s">
        <v>72</v>
      </c>
      <c r="D42" s="36">
        <f>_xlfn.T.INV.2T(0.05,14)</f>
        <v>2.1447866879178044</v>
      </c>
    </row>
    <row r="43" spans="1:15" x14ac:dyDescent="0.3">
      <c r="E43" s="86" t="s">
        <v>52</v>
      </c>
      <c r="F43" s="87"/>
      <c r="G43" s="87"/>
      <c r="H43" s="87"/>
      <c r="I43" s="87"/>
      <c r="J43" s="88"/>
    </row>
    <row r="44" spans="1:15" ht="14.4" customHeight="1" x14ac:dyDescent="0.3">
      <c r="E44" s="92"/>
      <c r="F44" s="93"/>
      <c r="G44" s="93"/>
      <c r="H44" s="93"/>
      <c r="I44" s="93"/>
      <c r="J44" s="94"/>
    </row>
    <row r="45" spans="1:15" ht="15" thickBot="1" x14ac:dyDescent="0.35">
      <c r="A45" t="s">
        <v>47</v>
      </c>
      <c r="E45" s="89"/>
      <c r="F45" s="90"/>
      <c r="G45" s="90"/>
      <c r="H45" s="90"/>
      <c r="I45" s="90"/>
      <c r="J45" s="91"/>
    </row>
    <row r="46" spans="1:15" ht="15" thickBot="1" x14ac:dyDescent="0.35"/>
    <row r="47" spans="1:15" ht="28.8" x14ac:dyDescent="0.3">
      <c r="A47" s="50" t="s">
        <v>48</v>
      </c>
      <c r="B47" s="50" t="s">
        <v>71</v>
      </c>
      <c r="C47" s="50" t="s">
        <v>79</v>
      </c>
      <c r="D47" s="50" t="s">
        <v>80</v>
      </c>
      <c r="E47" s="50" t="s">
        <v>81</v>
      </c>
      <c r="F47" s="50" t="s">
        <v>82</v>
      </c>
      <c r="H47" s="50" t="s">
        <v>83</v>
      </c>
      <c r="I47" s="50" t="s">
        <v>84</v>
      </c>
      <c r="J47" s="50" t="s">
        <v>85</v>
      </c>
      <c r="K47" s="50" t="s">
        <v>86</v>
      </c>
      <c r="L47" s="50" t="s">
        <v>87</v>
      </c>
      <c r="M47" s="50" t="s">
        <v>88</v>
      </c>
      <c r="N47" s="50" t="s">
        <v>89</v>
      </c>
      <c r="O47" s="50" t="s">
        <v>90</v>
      </c>
    </row>
    <row r="48" spans="1:15" x14ac:dyDescent="0.3">
      <c r="A48" s="63">
        <v>1</v>
      </c>
      <c r="B48" s="63">
        <v>27.564746078431366</v>
      </c>
      <c r="C48" s="63">
        <v>0.7992539215686314</v>
      </c>
      <c r="D48" s="63"/>
      <c r="E48" s="63"/>
      <c r="F48" s="63"/>
      <c r="H48">
        <v>1</v>
      </c>
      <c r="I48" s="42">
        <f>CORREL(C49:C64,D49:D64)</f>
        <v>-0.13404526859331342</v>
      </c>
      <c r="J48" s="42">
        <f>1/SQRT($A$64-H48)</f>
        <v>0.25</v>
      </c>
      <c r="K48" s="42">
        <f>-1.96*J48</f>
        <v>-0.49</v>
      </c>
      <c r="L48" s="42">
        <f>1.96*J48</f>
        <v>0.49</v>
      </c>
      <c r="M48" s="42">
        <f>ABS(I48)/J48</f>
        <v>0.53618107437325369</v>
      </c>
      <c r="N48" s="42">
        <f>_xlfn.T.INV.2T(0.05,16)</f>
        <v>2.119905299221255</v>
      </c>
      <c r="O48" s="42">
        <f>_xlfn.T.DIST.2T(N48,16)</f>
        <v>5.000000000000001E-2</v>
      </c>
    </row>
    <row r="49" spans="1:15" x14ac:dyDescent="0.3">
      <c r="A49" s="63">
        <v>2</v>
      </c>
      <c r="B49" s="63">
        <v>26.062736274509795</v>
      </c>
      <c r="C49" s="63">
        <v>3.6262637254902046</v>
      </c>
      <c r="D49" s="63">
        <v>0.7992539215686314</v>
      </c>
      <c r="E49" s="63"/>
      <c r="F49" s="63"/>
      <c r="H49">
        <v>2</v>
      </c>
      <c r="I49" s="42">
        <f>CORREL(C50:C64,E50:E64)</f>
        <v>-0.30601718015419577</v>
      </c>
      <c r="J49" s="42">
        <f>1/SQRT($A$64-H49)</f>
        <v>0.2581988897471611</v>
      </c>
      <c r="K49" s="42">
        <f>-1.96*J49</f>
        <v>-0.50606982390443578</v>
      </c>
      <c r="L49" s="42">
        <f>1.96*J49</f>
        <v>0.50606982390443578</v>
      </c>
      <c r="M49" s="42">
        <f t="shared" ref="M49:M50" si="0">ABS(I49)/J49</f>
        <v>1.1851994423905552</v>
      </c>
      <c r="N49" s="42">
        <f>_xlfn.T.INV.2T(0.05,15)</f>
        <v>2.1314495455597742</v>
      </c>
      <c r="O49" s="42">
        <f>_xlfn.T.DIST.2T(N48,15)</f>
        <v>5.1102139984096115E-2</v>
      </c>
    </row>
    <row r="50" spans="1:15" x14ac:dyDescent="0.3">
      <c r="A50" s="63">
        <v>3</v>
      </c>
      <c r="B50" s="63">
        <v>24.560726470588229</v>
      </c>
      <c r="C50" s="63">
        <v>9.6102735294117707</v>
      </c>
      <c r="D50" s="63">
        <v>3.6262637254902046</v>
      </c>
      <c r="E50" s="63">
        <v>0.7992539215686314</v>
      </c>
      <c r="F50" s="63"/>
      <c r="H50">
        <v>3</v>
      </c>
      <c r="I50" s="42">
        <f>CORREL(C51:C64,F51:F64)</f>
        <v>0.41339789146791872</v>
      </c>
      <c r="J50" s="42">
        <f>1/SQRT($A$64-H50)</f>
        <v>0.2672612419124244</v>
      </c>
      <c r="K50" s="42">
        <f t="shared" ref="K50" si="1">-1.96*J50</f>
        <v>-0.52383203414835178</v>
      </c>
      <c r="L50" s="42">
        <f t="shared" ref="L50" si="2">1.96*J50</f>
        <v>0.52383203414835178</v>
      </c>
      <c r="M50" s="42">
        <f t="shared" si="0"/>
        <v>1.5467932742877102</v>
      </c>
      <c r="N50" s="42">
        <f>_xlfn.T.INV.2T(0.05,14)</f>
        <v>2.1447866879178044</v>
      </c>
      <c r="O50" s="42">
        <f>_xlfn.T.DIST.2T(N48,14)</f>
        <v>5.236602898870199E-2</v>
      </c>
    </row>
    <row r="51" spans="1:15" x14ac:dyDescent="0.3">
      <c r="A51" s="63">
        <v>4</v>
      </c>
      <c r="B51" s="63">
        <v>23.058716666666662</v>
      </c>
      <c r="C51" s="63">
        <v>2.9662833333333367</v>
      </c>
      <c r="D51" s="63">
        <v>9.6102735294117707</v>
      </c>
      <c r="E51" s="63">
        <v>3.6262637254902046</v>
      </c>
      <c r="F51" s="63">
        <v>0.7992539215686314</v>
      </c>
      <c r="I51" s="42"/>
      <c r="J51" s="42"/>
      <c r="K51" s="42"/>
      <c r="L51" s="42"/>
      <c r="M51" s="42"/>
      <c r="N51" s="42"/>
      <c r="O51" s="42"/>
    </row>
    <row r="52" spans="1:15" x14ac:dyDescent="0.3">
      <c r="A52" s="63">
        <v>5</v>
      </c>
      <c r="B52" s="63">
        <v>21.556706862745095</v>
      </c>
      <c r="C52" s="63">
        <v>-15.556706862745095</v>
      </c>
      <c r="D52" s="63">
        <v>2.9662833333333367</v>
      </c>
      <c r="E52" s="63">
        <v>9.6102735294117707</v>
      </c>
      <c r="F52" s="63">
        <v>3.6262637254902046</v>
      </c>
    </row>
    <row r="53" spans="1:15" x14ac:dyDescent="0.3">
      <c r="A53" s="63">
        <v>6</v>
      </c>
      <c r="B53" s="63">
        <v>20.054697058823528</v>
      </c>
      <c r="C53" s="63">
        <v>5.7453029411764724</v>
      </c>
      <c r="D53" s="63">
        <v>-15.556706862745095</v>
      </c>
      <c r="E53" s="63">
        <v>2.9662833333333367</v>
      </c>
      <c r="F53" s="63">
        <v>9.6102735294117707</v>
      </c>
    </row>
    <row r="54" spans="1:15" x14ac:dyDescent="0.3">
      <c r="A54" s="63">
        <v>7</v>
      </c>
      <c r="B54" s="63">
        <v>18.552687254901958</v>
      </c>
      <c r="C54" s="63">
        <v>2.3473127450980407</v>
      </c>
      <c r="D54" s="63">
        <v>5.7453029411764724</v>
      </c>
      <c r="E54" s="63">
        <v>-15.556706862745095</v>
      </c>
      <c r="F54" s="63">
        <v>2.9662833333333367</v>
      </c>
    </row>
    <row r="55" spans="1:15" x14ac:dyDescent="0.3">
      <c r="A55" s="63">
        <v>8</v>
      </c>
      <c r="B55" s="63">
        <v>17.050677450980391</v>
      </c>
      <c r="C55" s="63">
        <v>-11.650677450980391</v>
      </c>
      <c r="D55" s="63">
        <v>2.3473127450980407</v>
      </c>
      <c r="E55" s="63">
        <v>5.7453029411764724</v>
      </c>
      <c r="F55" s="63">
        <v>-15.556706862745095</v>
      </c>
    </row>
    <row r="56" spans="1:15" x14ac:dyDescent="0.3">
      <c r="A56" s="63">
        <v>9</v>
      </c>
      <c r="B56" s="63">
        <v>15.548667647058824</v>
      </c>
      <c r="C56" s="63">
        <v>1.151332352941175</v>
      </c>
      <c r="D56" s="63">
        <v>-11.650677450980391</v>
      </c>
      <c r="E56" s="63">
        <v>2.3473127450980407</v>
      </c>
      <c r="F56" s="63">
        <v>5.7453029411764724</v>
      </c>
    </row>
    <row r="57" spans="1:15" x14ac:dyDescent="0.3">
      <c r="A57" s="63">
        <v>10</v>
      </c>
      <c r="B57" s="63">
        <v>14.046657843137256</v>
      </c>
      <c r="C57" s="63">
        <v>-3.1466578431372554</v>
      </c>
      <c r="D57" s="63">
        <v>1.151332352941175</v>
      </c>
      <c r="E57" s="63">
        <v>-11.650677450980391</v>
      </c>
      <c r="F57" s="63">
        <v>2.3473127450980407</v>
      </c>
    </row>
    <row r="58" spans="1:15" x14ac:dyDescent="0.3">
      <c r="A58" s="63">
        <v>11</v>
      </c>
      <c r="B58" s="63">
        <v>12.544648039215687</v>
      </c>
      <c r="C58" s="63">
        <v>-3.6446480392156868</v>
      </c>
      <c r="D58" s="63">
        <v>-3.1466578431372554</v>
      </c>
      <c r="E58" s="63">
        <v>1.151332352941175</v>
      </c>
      <c r="F58" s="63">
        <v>-11.650677450980391</v>
      </c>
    </row>
    <row r="59" spans="1:15" x14ac:dyDescent="0.3">
      <c r="A59" s="63">
        <v>12</v>
      </c>
      <c r="B59" s="63">
        <v>11.04263823529412</v>
      </c>
      <c r="C59" s="63">
        <v>5.7361764705879281E-2</v>
      </c>
      <c r="D59" s="63">
        <v>-3.6446480392156868</v>
      </c>
      <c r="E59" s="63">
        <v>-3.1466578431372554</v>
      </c>
      <c r="F59" s="63">
        <v>1.151332352941175</v>
      </c>
    </row>
    <row r="60" spans="1:15" x14ac:dyDescent="0.3">
      <c r="A60" s="63">
        <v>13</v>
      </c>
      <c r="B60" s="63">
        <v>9.5406284313725536</v>
      </c>
      <c r="C60" s="63">
        <v>5.747156862744518E-2</v>
      </c>
      <c r="D60" s="63">
        <v>5.7361764705879281E-2</v>
      </c>
      <c r="E60" s="63">
        <v>-3.6446480392156868</v>
      </c>
      <c r="F60" s="63">
        <v>-3.1466578431372554</v>
      </c>
    </row>
    <row r="61" spans="1:15" x14ac:dyDescent="0.3">
      <c r="A61" s="63">
        <v>14</v>
      </c>
      <c r="B61" s="63">
        <v>8.0386186274509832</v>
      </c>
      <c r="C61" s="63">
        <v>-2.5934186274509834</v>
      </c>
      <c r="D61" s="63">
        <v>5.747156862744518E-2</v>
      </c>
      <c r="E61" s="63">
        <v>5.7361764705879281E-2</v>
      </c>
      <c r="F61" s="63">
        <v>-3.6446480392156868</v>
      </c>
    </row>
    <row r="62" spans="1:15" x14ac:dyDescent="0.3">
      <c r="A62" s="63">
        <v>15</v>
      </c>
      <c r="B62" s="63">
        <v>6.5366088235294164</v>
      </c>
      <c r="C62" s="63">
        <v>2.2633911764705843</v>
      </c>
      <c r="D62" s="63">
        <v>-2.5934186274509834</v>
      </c>
      <c r="E62" s="63">
        <v>5.747156862744518E-2</v>
      </c>
      <c r="F62" s="63">
        <v>5.7361764705879281E-2</v>
      </c>
    </row>
    <row r="63" spans="1:15" x14ac:dyDescent="0.3">
      <c r="A63" s="63">
        <v>16</v>
      </c>
      <c r="B63" s="63">
        <v>5.0345990196078496</v>
      </c>
      <c r="C63" s="63">
        <v>1.9982009803921503</v>
      </c>
      <c r="D63" s="63">
        <v>2.2633911764705843</v>
      </c>
      <c r="E63" s="63">
        <v>-2.5934186274509834</v>
      </c>
      <c r="F63" s="63">
        <v>5.747156862744518E-2</v>
      </c>
    </row>
    <row r="64" spans="1:15" ht="15" thickBot="1" x14ac:dyDescent="0.35">
      <c r="A64" s="64">
        <v>17</v>
      </c>
      <c r="B64" s="64">
        <v>3.5325892156862828</v>
      </c>
      <c r="C64" s="64">
        <v>5.9696607843137173</v>
      </c>
      <c r="D64" s="64">
        <v>1.9982009803921503</v>
      </c>
      <c r="E64" s="64">
        <v>2.2633911764705843</v>
      </c>
      <c r="F64" s="64">
        <v>-2.5934186274509834</v>
      </c>
    </row>
  </sheetData>
  <mergeCells count="2">
    <mergeCell ref="I34:N35"/>
    <mergeCell ref="E43:J45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C13C-741B-4ED1-8A91-8692F52A0238}">
  <dimension ref="A1:I44"/>
  <sheetViews>
    <sheetView zoomScale="55" zoomScaleNormal="55" workbookViewId="0">
      <selection activeCell="E44" sqref="E44"/>
    </sheetView>
  </sheetViews>
  <sheetFormatPr defaultRowHeight="14.4" x14ac:dyDescent="0.3"/>
  <cols>
    <col min="1" max="1" width="25.88671875" bestFit="1" customWidth="1"/>
    <col min="2" max="2" width="56.109375" customWidth="1"/>
    <col min="3" max="3" width="22.44140625" bestFit="1" customWidth="1"/>
    <col min="4" max="4" width="14.88671875" bestFit="1" customWidth="1"/>
    <col min="5" max="5" width="23.88671875" bestFit="1" customWidth="1"/>
    <col min="6" max="6" width="14.88671875" bestFit="1" customWidth="1"/>
    <col min="7" max="7" width="13.88671875" bestFit="1" customWidth="1"/>
    <col min="8" max="8" width="14.5546875" bestFit="1" customWidth="1"/>
    <col min="9" max="9" width="14.88671875" bestFit="1" customWidth="1"/>
  </cols>
  <sheetData>
    <row r="1" spans="1:6" ht="15.6" x14ac:dyDescent="0.3">
      <c r="A1" s="37" t="s">
        <v>0</v>
      </c>
      <c r="B1" s="48" t="s">
        <v>53</v>
      </c>
      <c r="C1" s="48" t="s">
        <v>22</v>
      </c>
      <c r="D1" s="51" t="s">
        <v>54</v>
      </c>
      <c r="E1" s="51" t="s">
        <v>57</v>
      </c>
      <c r="F1" s="51" t="s">
        <v>49</v>
      </c>
    </row>
    <row r="2" spans="1:6" x14ac:dyDescent="0.3">
      <c r="A2" s="1">
        <v>2006</v>
      </c>
      <c r="B2" s="41">
        <v>28.363999999999997</v>
      </c>
      <c r="C2">
        <v>1</v>
      </c>
      <c r="D2">
        <f>LN(ПТ[[#This Row],[Y]])</f>
        <v>3.3451207354417503</v>
      </c>
      <c r="E2">
        <f>$B$42*($B$43^ПТ[[#This Row],[t]])</f>
        <v>26.286786782994767</v>
      </c>
      <c r="F2">
        <f>ПТ[[#This Row],[Y]]-ПТ[[#This Row],[Предсказанное Y]]</f>
        <v>2.0772132170052302</v>
      </c>
    </row>
    <row r="3" spans="1:6" x14ac:dyDescent="0.3">
      <c r="A3" s="1">
        <v>2007</v>
      </c>
      <c r="B3" s="41">
        <v>29.689</v>
      </c>
      <c r="C3">
        <v>2</v>
      </c>
      <c r="D3">
        <f>LN(ПТ[[#This Row],[Y]])</f>
        <v>3.3907766068342382</v>
      </c>
      <c r="E3">
        <f>$B$42*($B$43^ПТ[[#This Row],[t]])</f>
        <v>24.040362537200757</v>
      </c>
      <c r="F3">
        <f>ПТ[[#This Row],[Y]]-ПТ[[#This Row],[Предсказанное Y]]</f>
        <v>5.6486374627992433</v>
      </c>
    </row>
    <row r="4" spans="1:6" x14ac:dyDescent="0.3">
      <c r="A4" s="1">
        <v>2008</v>
      </c>
      <c r="B4" s="41">
        <v>34.170999999999999</v>
      </c>
      <c r="C4">
        <v>3</v>
      </c>
      <c r="D4">
        <f>LN(ПТ[[#This Row],[Y]])</f>
        <v>3.5313773311364942</v>
      </c>
      <c r="E4">
        <f>$B$42*($B$43^ПТ[[#This Row],[t]])</f>
        <v>21.985913900055717</v>
      </c>
      <c r="F4">
        <f>ПТ[[#This Row],[Y]]-ПТ[[#This Row],[Предсказанное Y]]</f>
        <v>12.185086099944282</v>
      </c>
    </row>
    <row r="5" spans="1:6" x14ac:dyDescent="0.3">
      <c r="A5" s="1">
        <v>2009</v>
      </c>
      <c r="B5" s="41">
        <v>26.024999999999999</v>
      </c>
      <c r="C5">
        <v>4</v>
      </c>
      <c r="D5">
        <f>LN(ПТ[[#This Row],[Y]])</f>
        <v>3.2590576145010326</v>
      </c>
      <c r="E5">
        <f>$B$42*($B$43^ПТ[[#This Row],[t]])</f>
        <v>20.107034961418169</v>
      </c>
      <c r="F5">
        <f>ПТ[[#This Row],[Y]]-ПТ[[#This Row],[Предсказанное Y]]</f>
        <v>5.9179650385818299</v>
      </c>
    </row>
    <row r="6" spans="1:6" x14ac:dyDescent="0.3">
      <c r="A6" s="1">
        <v>2010</v>
      </c>
      <c r="B6" s="41">
        <v>6</v>
      </c>
      <c r="C6">
        <v>5</v>
      </c>
      <c r="D6">
        <f>LN(ПТ[[#This Row],[Y]])</f>
        <v>1.791759469228055</v>
      </c>
      <c r="E6">
        <f>$B$42*($B$43^ПТ[[#This Row],[t]])</f>
        <v>18.388721832421439</v>
      </c>
      <c r="F6">
        <f>ПТ[[#This Row],[Y]]-ПТ[[#This Row],[Предсказанное Y]]</f>
        <v>-12.388721832421439</v>
      </c>
    </row>
    <row r="7" spans="1:6" x14ac:dyDescent="0.3">
      <c r="A7" s="1">
        <v>2011</v>
      </c>
      <c r="B7" s="41">
        <v>25.8</v>
      </c>
      <c r="C7">
        <v>6</v>
      </c>
      <c r="D7">
        <f>LN(ПТ[[#This Row],[Y]])</f>
        <v>3.2503744919275719</v>
      </c>
      <c r="E7">
        <f>$B$42*($B$43^ПТ[[#This Row],[t]])</f>
        <v>16.817252831111762</v>
      </c>
      <c r="F7">
        <f>ПТ[[#This Row],[Y]]-ПТ[[#This Row],[Предсказанное Y]]</f>
        <v>8.9827471688882383</v>
      </c>
    </row>
    <row r="8" spans="1:6" x14ac:dyDescent="0.3">
      <c r="A8" s="1">
        <v>2012</v>
      </c>
      <c r="B8" s="41">
        <v>20.9</v>
      </c>
      <c r="C8">
        <v>7</v>
      </c>
      <c r="D8">
        <f>LN(ПТ[[#This Row],[Y]])</f>
        <v>3.039749158970765</v>
      </c>
      <c r="E8">
        <f>$B$42*($B$43^ПТ[[#This Row],[t]])</f>
        <v>15.380078907218678</v>
      </c>
      <c r="F8">
        <f>ПТ[[#This Row],[Y]]-ПТ[[#This Row],[Предсказанное Y]]</f>
        <v>5.5199210927813205</v>
      </c>
    </row>
    <row r="9" spans="1:6" x14ac:dyDescent="0.3">
      <c r="A9" s="1">
        <v>2013</v>
      </c>
      <c r="B9" s="41">
        <v>5.4</v>
      </c>
      <c r="C9">
        <v>8</v>
      </c>
      <c r="D9">
        <f>LN(ПТ[[#This Row],[Y]])</f>
        <v>1.6863989535702288</v>
      </c>
      <c r="E9">
        <f>$B$42*($B$43^ПТ[[#This Row],[t]])</f>
        <v>14.065723431038837</v>
      </c>
      <c r="F9">
        <f>ПТ[[#This Row],[Y]]-ПТ[[#This Row],[Предсказанное Y]]</f>
        <v>-8.6657234310388365</v>
      </c>
    </row>
    <row r="10" spans="1:6" x14ac:dyDescent="0.3">
      <c r="A10" s="1">
        <v>2014</v>
      </c>
      <c r="B10" s="41">
        <v>16.7</v>
      </c>
      <c r="C10">
        <v>9</v>
      </c>
      <c r="D10">
        <f>LN(ПТ[[#This Row],[Y]])</f>
        <v>2.8154087194227095</v>
      </c>
      <c r="E10">
        <f>$B$42*($B$43^ПТ[[#This Row],[t]])</f>
        <v>12.863690546191936</v>
      </c>
      <c r="F10">
        <f>ПТ[[#This Row],[Y]]-ПТ[[#This Row],[Предсказанное Y]]</f>
        <v>3.8363094538080631</v>
      </c>
    </row>
    <row r="11" spans="1:6" x14ac:dyDescent="0.3">
      <c r="A11" s="1">
        <v>2015</v>
      </c>
      <c r="B11" s="41">
        <v>10.9</v>
      </c>
      <c r="C11">
        <v>10</v>
      </c>
      <c r="D11">
        <f>LN(ПТ[[#This Row],[Y]])</f>
        <v>2.388762789235098</v>
      </c>
      <c r="E11">
        <f>$B$42*($B$43^ПТ[[#This Row],[t]])</f>
        <v>11.764381354394832</v>
      </c>
      <c r="F11">
        <f>ПТ[[#This Row],[Y]]-ПТ[[#This Row],[Предсказанное Y]]</f>
        <v>-0.86438135439483155</v>
      </c>
    </row>
    <row r="12" spans="1:6" x14ac:dyDescent="0.3">
      <c r="A12" s="1">
        <v>2016</v>
      </c>
      <c r="B12" s="41">
        <v>8.9</v>
      </c>
      <c r="C12">
        <v>11</v>
      </c>
      <c r="D12">
        <f>LN(ПТ[[#This Row],[Y]])</f>
        <v>2.1860512767380942</v>
      </c>
      <c r="E12">
        <f>$B$42*($B$43^ПТ[[#This Row],[t]])</f>
        <v>10.759017262942772</v>
      </c>
      <c r="F12">
        <f>ПТ[[#This Row],[Y]]-ПТ[[#This Row],[Предсказанное Y]]</f>
        <v>-1.8590172629427713</v>
      </c>
    </row>
    <row r="13" spans="1:6" x14ac:dyDescent="0.3">
      <c r="A13" s="1">
        <v>2017</v>
      </c>
      <c r="B13" s="41">
        <v>11.1</v>
      </c>
      <c r="C13">
        <v>12</v>
      </c>
      <c r="D13">
        <f>LN(ПТ[[#This Row],[Y]])</f>
        <v>2.4069451083182885</v>
      </c>
      <c r="E13">
        <f>$B$42*($B$43^ПТ[[#This Row],[t]])</f>
        <v>9.839569882784982</v>
      </c>
      <c r="F13">
        <f>ПТ[[#This Row],[Y]]-ПТ[[#This Row],[Предсказанное Y]]</f>
        <v>1.2604301172150176</v>
      </c>
    </row>
    <row r="14" spans="1:6" x14ac:dyDescent="0.3">
      <c r="A14" s="1">
        <v>2018</v>
      </c>
      <c r="B14" s="41">
        <v>9.5980999999999987</v>
      </c>
      <c r="C14">
        <v>13</v>
      </c>
      <c r="D14">
        <f>LN(ПТ[[#This Row],[Y]])</f>
        <v>2.2615651622190356</v>
      </c>
      <c r="E14">
        <f>$B$42*($B$43^ПТ[[#This Row],[t]])</f>
        <v>8.9986969173918911</v>
      </c>
      <c r="F14">
        <f>ПТ[[#This Row],[Y]]-ПТ[[#This Row],[Предсказанное Y]]</f>
        <v>0.5994030826081076</v>
      </c>
    </row>
    <row r="15" spans="1:6" x14ac:dyDescent="0.3">
      <c r="A15" s="1">
        <v>2019</v>
      </c>
      <c r="B15" s="41">
        <v>5.4451999999999998</v>
      </c>
      <c r="C15">
        <v>14</v>
      </c>
      <c r="D15">
        <f>LN(ПТ[[#This Row],[Y]])</f>
        <v>1.6947344866561809</v>
      </c>
      <c r="E15">
        <f>$B$42*($B$43^ПТ[[#This Row],[t]])</f>
        <v>8.2296835304511102</v>
      </c>
      <c r="F15">
        <f>ПТ[[#This Row],[Y]]-ПТ[[#This Row],[Предсказанное Y]]</f>
        <v>-2.7844835304511104</v>
      </c>
    </row>
    <row r="16" spans="1:6" ht="14.4" customHeight="1" x14ac:dyDescent="0.3">
      <c r="A16" s="1">
        <v>2020</v>
      </c>
      <c r="B16" s="41">
        <v>8.8000000000000007</v>
      </c>
      <c r="C16">
        <v>15</v>
      </c>
      <c r="D16">
        <f>LN(ПТ[[#This Row],[Y]])</f>
        <v>2.174751721484161</v>
      </c>
      <c r="E16">
        <f>$B$42*($B$43^ПТ[[#This Row],[t]])</f>
        <v>7.5263887241807321</v>
      </c>
      <c r="F16">
        <f>ПТ[[#This Row],[Y]]-ПТ[[#This Row],[Предсказанное Y]]</f>
        <v>1.2736112758192686</v>
      </c>
    </row>
    <row r="17" spans="1:6" x14ac:dyDescent="0.3">
      <c r="A17" s="1">
        <v>2021</v>
      </c>
      <c r="B17" s="41">
        <v>7.0327999999999999</v>
      </c>
      <c r="C17">
        <v>16</v>
      </c>
      <c r="D17">
        <f>LN(ПТ[[#This Row],[Y]])</f>
        <v>1.9505849195548317</v>
      </c>
      <c r="E17">
        <f>$B$42*($B$43^ПТ[[#This Row],[t]])</f>
        <v>6.8831963000611029</v>
      </c>
      <c r="F17">
        <f>ПТ[[#This Row],[Y]]-ПТ[[#This Row],[Предсказанное Y]]</f>
        <v>0.14960369993889699</v>
      </c>
    </row>
    <row r="18" spans="1:6" ht="15" thickBot="1" x14ac:dyDescent="0.35">
      <c r="A18" s="55">
        <v>2022</v>
      </c>
      <c r="B18" s="56">
        <v>9.5022500000000001</v>
      </c>
      <c r="C18" s="57">
        <v>17</v>
      </c>
      <c r="D18" s="57">
        <f>LN(ПТ[[#This Row],[Y]])</f>
        <v>2.2515286126690945</v>
      </c>
      <c r="E18" s="57">
        <f>$B$42*($B$43^ПТ[[#This Row],[t]])</f>
        <v>6.2949700103793287</v>
      </c>
      <c r="F18" s="57">
        <f>ПТ[[#This Row],[Y]]-ПТ[[#This Row],[Предсказанное Y]]</f>
        <v>3.2072799896206714</v>
      </c>
    </row>
    <row r="19" spans="1:6" x14ac:dyDescent="0.3">
      <c r="A19" s="53"/>
      <c r="B19" s="54"/>
      <c r="C19" s="54"/>
      <c r="D19" s="54"/>
      <c r="E19" s="54"/>
      <c r="F19" s="54"/>
    </row>
    <row r="24" spans="1:6" x14ac:dyDescent="0.3">
      <c r="A24" t="s">
        <v>23</v>
      </c>
    </row>
    <row r="25" spans="1:6" ht="15" thickBot="1" x14ac:dyDescent="0.35"/>
    <row r="26" spans="1:6" x14ac:dyDescent="0.3">
      <c r="A26" s="34" t="s">
        <v>24</v>
      </c>
      <c r="B26" s="34"/>
    </row>
    <row r="27" spans="1:6" ht="15" customHeight="1" x14ac:dyDescent="0.3">
      <c r="A27" s="31" t="s">
        <v>25</v>
      </c>
      <c r="B27" s="31">
        <v>0.70726313423308407</v>
      </c>
    </row>
    <row r="28" spans="1:6" x14ac:dyDescent="0.3">
      <c r="A28" s="31" t="s">
        <v>26</v>
      </c>
      <c r="B28" s="31">
        <v>0.50022114104520499</v>
      </c>
    </row>
    <row r="29" spans="1:6" x14ac:dyDescent="0.3">
      <c r="A29" s="31" t="s">
        <v>27</v>
      </c>
      <c r="B29" s="31">
        <v>0.4669025504482191</v>
      </c>
    </row>
    <row r="30" spans="1:6" x14ac:dyDescent="0.3">
      <c r="A30" s="31" t="s">
        <v>28</v>
      </c>
      <c r="B30" s="31">
        <v>0.46569384054731888</v>
      </c>
    </row>
    <row r="31" spans="1:6" ht="15" thickBot="1" x14ac:dyDescent="0.35">
      <c r="A31" s="32" t="s">
        <v>29</v>
      </c>
      <c r="B31" s="32">
        <v>17</v>
      </c>
    </row>
    <row r="33" spans="1:9" ht="15" thickBot="1" x14ac:dyDescent="0.35">
      <c r="A33" t="s">
        <v>30</v>
      </c>
    </row>
    <row r="34" spans="1:9" ht="15" thickBot="1" x14ac:dyDescent="0.35">
      <c r="A34" s="33"/>
      <c r="B34" s="33" t="s">
        <v>35</v>
      </c>
      <c r="C34" s="33" t="s">
        <v>36</v>
      </c>
      <c r="D34" s="33" t="s">
        <v>37</v>
      </c>
      <c r="E34" s="33" t="s">
        <v>38</v>
      </c>
      <c r="F34" s="33" t="s">
        <v>39</v>
      </c>
      <c r="G34" s="36" t="s">
        <v>50</v>
      </c>
    </row>
    <row r="35" spans="1:9" ht="15" thickBot="1" x14ac:dyDescent="0.35">
      <c r="A35" s="31" t="s">
        <v>31</v>
      </c>
      <c r="B35" s="31">
        <v>1</v>
      </c>
      <c r="C35" s="31">
        <v>3.2559401116050957</v>
      </c>
      <c r="D35" s="31">
        <v>3.2559401116050957</v>
      </c>
      <c r="E35" s="31">
        <v>15.013274333712387</v>
      </c>
      <c r="F35" s="31">
        <v>1.496531020127775E-3</v>
      </c>
      <c r="G35" s="35">
        <f>_xlfn.F.INV.RT(0.05,2,15)</f>
        <v>3.6823203436732408</v>
      </c>
    </row>
    <row r="36" spans="1:9" x14ac:dyDescent="0.3">
      <c r="A36" s="31" t="s">
        <v>32</v>
      </c>
      <c r="B36" s="31">
        <v>15</v>
      </c>
      <c r="C36" s="31">
        <v>3.2530612968556749</v>
      </c>
      <c r="D36" s="31">
        <v>0.21687075312371165</v>
      </c>
      <c r="E36" s="31"/>
      <c r="F36" s="31"/>
    </row>
    <row r="37" spans="1:9" ht="14.4" customHeight="1" thickBot="1" x14ac:dyDescent="0.35">
      <c r="A37" s="32" t="s">
        <v>33</v>
      </c>
      <c r="B37" s="32">
        <v>16</v>
      </c>
      <c r="C37" s="32">
        <v>6.5090014084607706</v>
      </c>
      <c r="D37" s="32"/>
      <c r="E37" s="32"/>
      <c r="F37" s="32"/>
    </row>
    <row r="38" spans="1:9" ht="15" thickBot="1" x14ac:dyDescent="0.35"/>
    <row r="39" spans="1:9" x14ac:dyDescent="0.3">
      <c r="A39" s="33"/>
      <c r="B39" s="33" t="s">
        <v>40</v>
      </c>
      <c r="C39" s="33" t="s">
        <v>28</v>
      </c>
      <c r="D39" s="33" t="s">
        <v>41</v>
      </c>
      <c r="E39" s="33" t="s">
        <v>42</v>
      </c>
      <c r="F39" s="33" t="s">
        <v>43</v>
      </c>
      <c r="G39" s="33" t="s">
        <v>44</v>
      </c>
      <c r="H39" s="33" t="s">
        <v>45</v>
      </c>
      <c r="I39" s="33" t="s">
        <v>46</v>
      </c>
    </row>
    <row r="40" spans="1:9" x14ac:dyDescent="0.3">
      <c r="A40" s="31" t="s">
        <v>34</v>
      </c>
      <c r="B40" s="31">
        <v>3.3583986283608849</v>
      </c>
      <c r="C40" s="31">
        <v>0.23624632520219954</v>
      </c>
      <c r="D40" s="31">
        <v>14.21566504997055</v>
      </c>
      <c r="E40" s="31">
        <v>4.1332317919186003E-10</v>
      </c>
      <c r="F40" s="31">
        <v>2.8548515058684902</v>
      </c>
      <c r="G40" s="31">
        <v>3.8619457508532795</v>
      </c>
      <c r="H40" s="31">
        <v>2.8548515058684902</v>
      </c>
      <c r="I40" s="31">
        <v>3.8619457508532795</v>
      </c>
    </row>
    <row r="41" spans="1:9" ht="15" thickBot="1" x14ac:dyDescent="0.35">
      <c r="A41" s="32" t="s">
        <v>22</v>
      </c>
      <c r="B41" s="32">
        <v>-8.9332219112597394E-2</v>
      </c>
      <c r="C41" s="32">
        <v>2.3055280599864943E-2</v>
      </c>
      <c r="D41" s="32">
        <v>-3.8746966763493087</v>
      </c>
      <c r="E41" s="32">
        <v>1.496531020127775E-3</v>
      </c>
      <c r="F41" s="32">
        <v>-0.1384733864699326</v>
      </c>
      <c r="G41" s="32">
        <v>-4.0191051755262185E-2</v>
      </c>
      <c r="H41" s="32">
        <v>-0.1384733864699326</v>
      </c>
      <c r="I41" s="32">
        <v>-4.0191051755262185E-2</v>
      </c>
    </row>
    <row r="42" spans="1:9" ht="15" thickBot="1" x14ac:dyDescent="0.35">
      <c r="A42" s="36" t="s">
        <v>55</v>
      </c>
      <c r="B42" s="36">
        <f>EXP(B40)</f>
        <v>28.743125579132279</v>
      </c>
      <c r="D42" s="36">
        <f>_xlfn.T.INV.2T(0.05,14)</f>
        <v>2.1447866879178044</v>
      </c>
    </row>
    <row r="43" spans="1:9" ht="15" thickBot="1" x14ac:dyDescent="0.35">
      <c r="A43" s="36" t="s">
        <v>56</v>
      </c>
      <c r="B43" s="36">
        <f>EXP(B41)</f>
        <v>0.9145416948697872</v>
      </c>
    </row>
    <row r="44" spans="1:9" ht="15" thickBot="1" x14ac:dyDescent="0.35">
      <c r="A44" s="36" t="s">
        <v>73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640-8E9B-4B66-A216-36512141EB1D}">
  <dimension ref="A1:I65"/>
  <sheetViews>
    <sheetView topLeftCell="A10" zoomScale="55" zoomScaleNormal="55" workbookViewId="0">
      <selection activeCell="D44" sqref="D44"/>
    </sheetView>
  </sheetViews>
  <sheetFormatPr defaultRowHeight="14.4" x14ac:dyDescent="0.3"/>
  <cols>
    <col min="1" max="1" width="27.109375" bestFit="1" customWidth="1"/>
    <col min="2" max="2" width="56.109375" customWidth="1"/>
    <col min="3" max="3" width="22.44140625" bestFit="1" customWidth="1"/>
    <col min="4" max="4" width="14.88671875" bestFit="1" customWidth="1"/>
    <col min="5" max="5" width="21.5546875" bestFit="1" customWidth="1"/>
    <col min="6" max="6" width="16" bestFit="1" customWidth="1"/>
    <col min="7" max="7" width="13.88671875" bestFit="1" customWidth="1"/>
    <col min="8" max="8" width="14.5546875" bestFit="1" customWidth="1"/>
    <col min="9" max="9" width="14.88671875" bestFit="1" customWidth="1"/>
  </cols>
  <sheetData>
    <row r="1" spans="1:4" ht="15.6" x14ac:dyDescent="0.3">
      <c r="A1" s="37" t="s">
        <v>0</v>
      </c>
      <c r="B1" s="48" t="s">
        <v>53</v>
      </c>
      <c r="C1" s="38" t="s">
        <v>22</v>
      </c>
      <c r="D1" s="38" t="s">
        <v>74</v>
      </c>
    </row>
    <row r="2" spans="1:4" x14ac:dyDescent="0.3">
      <c r="A2" s="1">
        <v>2006</v>
      </c>
      <c r="B2" s="41">
        <v>28.363999999999997</v>
      </c>
      <c r="C2" s="58">
        <v>1</v>
      </c>
      <c r="D2">
        <f>Таблица13[[#This Row],[t]]^2</f>
        <v>1</v>
      </c>
    </row>
    <row r="3" spans="1:4" x14ac:dyDescent="0.3">
      <c r="A3" s="1">
        <v>2007</v>
      </c>
      <c r="B3" s="41">
        <v>29.689</v>
      </c>
      <c r="C3" s="58">
        <v>2</v>
      </c>
      <c r="D3">
        <f>Таблица13[[#This Row],[t]]^2</f>
        <v>4</v>
      </c>
    </row>
    <row r="4" spans="1:4" x14ac:dyDescent="0.3">
      <c r="A4" s="1">
        <v>2008</v>
      </c>
      <c r="B4" s="41">
        <v>34.170999999999999</v>
      </c>
      <c r="C4" s="58">
        <v>3</v>
      </c>
      <c r="D4">
        <f>Таблица13[[#This Row],[t]]^2</f>
        <v>9</v>
      </c>
    </row>
    <row r="5" spans="1:4" x14ac:dyDescent="0.3">
      <c r="A5" s="1">
        <v>2009</v>
      </c>
      <c r="B5" s="41">
        <v>26.024999999999999</v>
      </c>
      <c r="C5" s="58">
        <v>4</v>
      </c>
      <c r="D5">
        <f>Таблица13[[#This Row],[t]]^2</f>
        <v>16</v>
      </c>
    </row>
    <row r="6" spans="1:4" x14ac:dyDescent="0.3">
      <c r="A6" s="1">
        <v>2010</v>
      </c>
      <c r="B6" s="41">
        <v>6</v>
      </c>
      <c r="C6" s="58">
        <v>5</v>
      </c>
      <c r="D6">
        <f>Таблица13[[#This Row],[t]]^2</f>
        <v>25</v>
      </c>
    </row>
    <row r="7" spans="1:4" x14ac:dyDescent="0.3">
      <c r="A7" s="1">
        <v>2011</v>
      </c>
      <c r="B7" s="41">
        <v>25.8</v>
      </c>
      <c r="C7" s="58">
        <v>6</v>
      </c>
      <c r="D7">
        <f>Таблица13[[#This Row],[t]]^2</f>
        <v>36</v>
      </c>
    </row>
    <row r="8" spans="1:4" x14ac:dyDescent="0.3">
      <c r="A8" s="1">
        <v>2012</v>
      </c>
      <c r="B8" s="41">
        <v>20.9</v>
      </c>
      <c r="C8" s="58">
        <v>7</v>
      </c>
      <c r="D8">
        <f>Таблица13[[#This Row],[t]]^2</f>
        <v>49</v>
      </c>
    </row>
    <row r="9" spans="1:4" x14ac:dyDescent="0.3">
      <c r="A9" s="1">
        <v>2013</v>
      </c>
      <c r="B9" s="41">
        <v>5.4</v>
      </c>
      <c r="C9" s="58">
        <v>8</v>
      </c>
      <c r="D9">
        <f>Таблица13[[#This Row],[t]]^2</f>
        <v>64</v>
      </c>
    </row>
    <row r="10" spans="1:4" x14ac:dyDescent="0.3">
      <c r="A10" s="1">
        <v>2014</v>
      </c>
      <c r="B10" s="41">
        <v>16.7</v>
      </c>
      <c r="C10" s="58">
        <v>9</v>
      </c>
      <c r="D10">
        <f>Таблица13[[#This Row],[t]]^2</f>
        <v>81</v>
      </c>
    </row>
    <row r="11" spans="1:4" x14ac:dyDescent="0.3">
      <c r="A11" s="1">
        <v>2015</v>
      </c>
      <c r="B11" s="41">
        <v>10.9</v>
      </c>
      <c r="C11" s="58">
        <v>10</v>
      </c>
      <c r="D11">
        <f>Таблица13[[#This Row],[t]]^2</f>
        <v>100</v>
      </c>
    </row>
    <row r="12" spans="1:4" x14ac:dyDescent="0.3">
      <c r="A12" s="1">
        <v>2016</v>
      </c>
      <c r="B12" s="41">
        <v>8.9</v>
      </c>
      <c r="C12" s="58">
        <v>11</v>
      </c>
      <c r="D12">
        <f>Таблица13[[#This Row],[t]]^2</f>
        <v>121</v>
      </c>
    </row>
    <row r="13" spans="1:4" x14ac:dyDescent="0.3">
      <c r="A13" s="1">
        <v>2017</v>
      </c>
      <c r="B13" s="41">
        <v>11.1</v>
      </c>
      <c r="C13" s="58">
        <v>12</v>
      </c>
      <c r="D13">
        <f>Таблица13[[#This Row],[t]]^2</f>
        <v>144</v>
      </c>
    </row>
    <row r="14" spans="1:4" x14ac:dyDescent="0.3">
      <c r="A14" s="1">
        <v>2018</v>
      </c>
      <c r="B14" s="41">
        <v>9.5980999999999987</v>
      </c>
      <c r="C14" s="58">
        <v>13</v>
      </c>
      <c r="D14">
        <f>Таблица13[[#This Row],[t]]^2</f>
        <v>169</v>
      </c>
    </row>
    <row r="15" spans="1:4" x14ac:dyDescent="0.3">
      <c r="A15" s="1">
        <v>2019</v>
      </c>
      <c r="B15" s="41">
        <v>5.4451999999999998</v>
      </c>
      <c r="C15" s="58">
        <v>14</v>
      </c>
      <c r="D15">
        <f>Таблица13[[#This Row],[t]]^2</f>
        <v>196</v>
      </c>
    </row>
    <row r="16" spans="1:4" ht="14.4" customHeight="1" x14ac:dyDescent="0.3">
      <c r="A16" s="1">
        <v>2020</v>
      </c>
      <c r="B16" s="41">
        <v>8.8000000000000007</v>
      </c>
      <c r="C16" s="58">
        <v>15</v>
      </c>
      <c r="D16">
        <f>Таблица13[[#This Row],[t]]^2</f>
        <v>225</v>
      </c>
    </row>
    <row r="17" spans="1:4" x14ac:dyDescent="0.3">
      <c r="A17" s="1">
        <v>2021</v>
      </c>
      <c r="B17" s="41">
        <v>7.0327999999999999</v>
      </c>
      <c r="C17" s="58">
        <v>16</v>
      </c>
      <c r="D17">
        <f>Таблица13[[#This Row],[t]]^2</f>
        <v>256</v>
      </c>
    </row>
    <row r="18" spans="1:4" ht="15" thickBot="1" x14ac:dyDescent="0.35">
      <c r="A18" s="55">
        <v>2022</v>
      </c>
      <c r="B18" s="56">
        <v>9.5022500000000001</v>
      </c>
      <c r="C18" s="59">
        <v>17</v>
      </c>
      <c r="D18" s="59">
        <f>Таблица13[[#This Row],[t]]^2</f>
        <v>289</v>
      </c>
    </row>
    <row r="19" spans="1:4" x14ac:dyDescent="0.3">
      <c r="A19" s="60"/>
      <c r="B19" s="61"/>
      <c r="C19" s="62"/>
      <c r="D19" s="62"/>
    </row>
    <row r="24" spans="1:4" x14ac:dyDescent="0.3">
      <c r="A24" t="s">
        <v>23</v>
      </c>
    </row>
    <row r="25" spans="1:4" ht="15" thickBot="1" x14ac:dyDescent="0.35"/>
    <row r="26" spans="1:4" x14ac:dyDescent="0.3">
      <c r="A26" s="34" t="s">
        <v>24</v>
      </c>
      <c r="B26" s="34"/>
    </row>
    <row r="27" spans="1:4" ht="15" customHeight="1" x14ac:dyDescent="0.3">
      <c r="A27" s="31" t="s">
        <v>25</v>
      </c>
      <c r="B27" s="31">
        <v>0.82190867649135502</v>
      </c>
    </row>
    <row r="28" spans="1:4" x14ac:dyDescent="0.3">
      <c r="A28" s="31" t="s">
        <v>26</v>
      </c>
      <c r="B28" s="31">
        <v>0.67553387249177099</v>
      </c>
    </row>
    <row r="29" spans="1:4" x14ac:dyDescent="0.3">
      <c r="A29" s="31" t="s">
        <v>27</v>
      </c>
      <c r="B29" s="31">
        <v>0.6291815685620239</v>
      </c>
    </row>
    <row r="30" spans="1:4" x14ac:dyDescent="0.3">
      <c r="A30" s="31" t="s">
        <v>28</v>
      </c>
      <c r="B30" s="31">
        <v>5.9502525750946704</v>
      </c>
    </row>
    <row r="31" spans="1:4" ht="15" thickBot="1" x14ac:dyDescent="0.35">
      <c r="A31" s="32" t="s">
        <v>29</v>
      </c>
      <c r="B31" s="32">
        <v>17</v>
      </c>
    </row>
    <row r="33" spans="1:9" ht="15" thickBot="1" x14ac:dyDescent="0.35">
      <c r="A33" t="s">
        <v>30</v>
      </c>
    </row>
    <row r="34" spans="1:9" ht="15" thickBot="1" x14ac:dyDescent="0.35">
      <c r="A34" s="33"/>
      <c r="B34" s="33" t="s">
        <v>35</v>
      </c>
      <c r="C34" s="33" t="s">
        <v>36</v>
      </c>
      <c r="D34" s="33" t="s">
        <v>37</v>
      </c>
      <c r="E34" s="33" t="s">
        <v>38</v>
      </c>
      <c r="F34" s="33" t="s">
        <v>39</v>
      </c>
      <c r="G34" s="36" t="s">
        <v>50</v>
      </c>
    </row>
    <row r="35" spans="1:9" ht="15" thickBot="1" x14ac:dyDescent="0.35">
      <c r="A35" s="31" t="s">
        <v>31</v>
      </c>
      <c r="B35" s="31">
        <v>2</v>
      </c>
      <c r="C35" s="31">
        <v>1031.9926454708154</v>
      </c>
      <c r="D35" s="31">
        <v>515.99632273540772</v>
      </c>
      <c r="E35" s="31">
        <v>14.573900652611165</v>
      </c>
      <c r="F35" s="31">
        <v>3.7860431443353449E-4</v>
      </c>
      <c r="G35" s="35">
        <f>_xlfn.F.INV.RT(0.05,3,14)</f>
        <v>3.3438886781189128</v>
      </c>
    </row>
    <row r="36" spans="1:9" x14ac:dyDescent="0.3">
      <c r="A36" s="31" t="s">
        <v>32</v>
      </c>
      <c r="B36" s="31">
        <v>14</v>
      </c>
      <c r="C36" s="31">
        <v>495.67707990389061</v>
      </c>
      <c r="D36" s="31">
        <v>35.405505707420758</v>
      </c>
      <c r="E36" s="31"/>
      <c r="F36" s="31"/>
    </row>
    <row r="37" spans="1:9" ht="14.4" customHeight="1" thickBot="1" x14ac:dyDescent="0.35">
      <c r="A37" s="32" t="s">
        <v>33</v>
      </c>
      <c r="B37" s="32">
        <v>16</v>
      </c>
      <c r="C37" s="32">
        <v>1527.6697253747061</v>
      </c>
      <c r="D37" s="32"/>
      <c r="E37" s="32"/>
      <c r="F37" s="32"/>
    </row>
    <row r="38" spans="1:9" ht="15" thickBot="1" x14ac:dyDescent="0.35"/>
    <row r="39" spans="1:9" x14ac:dyDescent="0.3">
      <c r="A39" s="33"/>
      <c r="B39" s="33" t="s">
        <v>40</v>
      </c>
      <c r="C39" s="33" t="s">
        <v>28</v>
      </c>
      <c r="D39" s="33" t="s">
        <v>41</v>
      </c>
      <c r="E39" s="33" t="s">
        <v>42</v>
      </c>
      <c r="F39" s="33" t="s">
        <v>43</v>
      </c>
      <c r="G39" s="33" t="s">
        <v>44</v>
      </c>
      <c r="H39" s="33" t="s">
        <v>45</v>
      </c>
      <c r="I39" s="33" t="s">
        <v>46</v>
      </c>
    </row>
    <row r="40" spans="1:9" x14ac:dyDescent="0.3">
      <c r="A40" s="31" t="s">
        <v>34</v>
      </c>
      <c r="B40" s="31">
        <v>35.903758823529387</v>
      </c>
      <c r="C40" s="31">
        <v>4.8939537464780818</v>
      </c>
      <c r="D40" s="31">
        <v>7.3363502565522634</v>
      </c>
      <c r="E40" s="31">
        <v>3.6966394541157742E-6</v>
      </c>
      <c r="F40" s="31">
        <v>25.40727197679773</v>
      </c>
      <c r="G40" s="31">
        <v>46.400245670261043</v>
      </c>
      <c r="H40" s="31">
        <v>25.40727197679773</v>
      </c>
      <c r="I40" s="31">
        <v>46.400245670261043</v>
      </c>
    </row>
    <row r="41" spans="1:9" x14ac:dyDescent="0.3">
      <c r="A41" s="31" t="s">
        <v>22</v>
      </c>
      <c r="B41" s="31">
        <v>-3.6610633642930837</v>
      </c>
      <c r="C41" s="31">
        <v>1.2516288900617532</v>
      </c>
      <c r="D41" s="31">
        <v>-2.9250390378193116</v>
      </c>
      <c r="E41" s="31">
        <v>1.1079792433933883E-2</v>
      </c>
      <c r="F41" s="31">
        <v>-6.3455403459108695</v>
      </c>
      <c r="G41" s="31">
        <v>-0.97658638267529829</v>
      </c>
      <c r="H41" s="31">
        <v>-6.3455403459108695</v>
      </c>
      <c r="I41" s="31">
        <v>-0.97658638267529829</v>
      </c>
    </row>
    <row r="42" spans="1:9" ht="15" thickBot="1" x14ac:dyDescent="0.35">
      <c r="A42" s="32" t="s">
        <v>74</v>
      </c>
      <c r="B42" s="32">
        <v>0.11994742002063986</v>
      </c>
      <c r="C42" s="32">
        <v>6.7581607690759257E-2</v>
      </c>
      <c r="D42" s="32">
        <v>1.7748530128122539</v>
      </c>
      <c r="E42" s="32">
        <v>9.7658858094100728E-2</v>
      </c>
      <c r="F42" s="32">
        <v>-2.5000712502584108E-2</v>
      </c>
      <c r="G42" s="32">
        <v>0.26489555254386382</v>
      </c>
      <c r="H42" s="32">
        <v>-2.5000712502584108E-2</v>
      </c>
      <c r="I42" s="32">
        <v>0.26489555254386382</v>
      </c>
    </row>
    <row r="43" spans="1:9" ht="15" thickBot="1" x14ac:dyDescent="0.35">
      <c r="A43" s="36" t="s">
        <v>75</v>
      </c>
      <c r="D43" s="36">
        <f>_xlfn.T.INV.2T(0.05,13)</f>
        <v>2.1603686564627926</v>
      </c>
    </row>
    <row r="46" spans="1:9" x14ac:dyDescent="0.3">
      <c r="A46" t="s">
        <v>47</v>
      </c>
    </row>
    <row r="47" spans="1:9" ht="15" thickBot="1" x14ac:dyDescent="0.35"/>
    <row r="48" spans="1:9" x14ac:dyDescent="0.3">
      <c r="A48" s="33" t="s">
        <v>48</v>
      </c>
      <c r="B48" s="33" t="s">
        <v>57</v>
      </c>
      <c r="C48" s="33" t="s">
        <v>49</v>
      </c>
    </row>
    <row r="49" spans="1:3" x14ac:dyDescent="0.3">
      <c r="A49" s="31">
        <v>1</v>
      </c>
      <c r="B49" s="31">
        <v>32.362642879256938</v>
      </c>
      <c r="C49" s="31">
        <v>-3.9986428792569413</v>
      </c>
    </row>
    <row r="50" spans="1:3" x14ac:dyDescent="0.3">
      <c r="A50" s="31">
        <v>2</v>
      </c>
      <c r="B50" s="31">
        <v>29.061421775025781</v>
      </c>
      <c r="C50" s="31">
        <v>0.62757822497421856</v>
      </c>
    </row>
    <row r="51" spans="1:3" x14ac:dyDescent="0.3">
      <c r="A51" s="31">
        <v>3</v>
      </c>
      <c r="B51" s="31">
        <v>26.000095510835894</v>
      </c>
      <c r="C51" s="31">
        <v>8.1709044891641049</v>
      </c>
    </row>
    <row r="52" spans="1:3" x14ac:dyDescent="0.3">
      <c r="A52" s="31">
        <v>4</v>
      </c>
      <c r="B52" s="31">
        <v>23.178664086687292</v>
      </c>
      <c r="C52" s="31">
        <v>2.8463359133127071</v>
      </c>
    </row>
    <row r="53" spans="1:3" x14ac:dyDescent="0.3">
      <c r="A53" s="31">
        <v>5</v>
      </c>
      <c r="B53" s="31">
        <v>20.597127502579966</v>
      </c>
      <c r="C53" s="31">
        <v>-14.597127502579966</v>
      </c>
    </row>
    <row r="54" spans="1:3" x14ac:dyDescent="0.3">
      <c r="A54" s="31">
        <v>6</v>
      </c>
      <c r="B54" s="31">
        <v>18.25548575851392</v>
      </c>
      <c r="C54" s="31">
        <v>7.5445142414860804</v>
      </c>
    </row>
    <row r="55" spans="1:3" x14ac:dyDescent="0.3">
      <c r="A55" s="31">
        <v>7</v>
      </c>
      <c r="B55" s="31">
        <v>16.153738854489156</v>
      </c>
      <c r="C55" s="31">
        <v>4.746261145510843</v>
      </c>
    </row>
    <row r="56" spans="1:3" x14ac:dyDescent="0.3">
      <c r="A56" s="31">
        <v>8</v>
      </c>
      <c r="B56" s="31">
        <v>14.291886790505668</v>
      </c>
      <c r="C56" s="31">
        <v>-8.8918867905056675</v>
      </c>
    </row>
    <row r="57" spans="1:3" x14ac:dyDescent="0.3">
      <c r="A57" s="31">
        <v>9</v>
      </c>
      <c r="B57" s="31">
        <v>12.669929566563464</v>
      </c>
      <c r="C57" s="31">
        <v>4.0300704334365349</v>
      </c>
    </row>
    <row r="58" spans="1:3" x14ac:dyDescent="0.3">
      <c r="A58" s="31">
        <v>10</v>
      </c>
      <c r="B58" s="31">
        <v>11.287867182662538</v>
      </c>
      <c r="C58" s="31">
        <v>-0.3878671826625375</v>
      </c>
    </row>
    <row r="59" spans="1:3" x14ac:dyDescent="0.3">
      <c r="A59" s="31">
        <v>11</v>
      </c>
      <c r="B59" s="31">
        <v>10.14569963880289</v>
      </c>
      <c r="C59" s="31">
        <v>-1.2456996388028898</v>
      </c>
    </row>
    <row r="60" spans="1:3" x14ac:dyDescent="0.3">
      <c r="A60" s="31">
        <v>12</v>
      </c>
      <c r="B60" s="31">
        <v>9.2434269349845231</v>
      </c>
      <c r="C60" s="31">
        <v>1.8565730650154766</v>
      </c>
    </row>
    <row r="61" spans="1:3" x14ac:dyDescent="0.3">
      <c r="A61" s="31">
        <v>13</v>
      </c>
      <c r="B61" s="31">
        <v>8.5810490712074348</v>
      </c>
      <c r="C61" s="31">
        <v>1.017050928792564</v>
      </c>
    </row>
    <row r="62" spans="1:3" x14ac:dyDescent="0.3">
      <c r="A62" s="31">
        <v>14</v>
      </c>
      <c r="B62" s="31">
        <v>8.1585660474716306</v>
      </c>
      <c r="C62" s="31">
        <v>-2.7133660474716308</v>
      </c>
    </row>
    <row r="63" spans="1:3" x14ac:dyDescent="0.3">
      <c r="A63" s="31">
        <v>15</v>
      </c>
      <c r="B63" s="31">
        <v>7.9759778637771035</v>
      </c>
      <c r="C63" s="31">
        <v>0.82402213622289722</v>
      </c>
    </row>
    <row r="64" spans="1:3" x14ac:dyDescent="0.3">
      <c r="A64" s="31">
        <v>16</v>
      </c>
      <c r="B64" s="31">
        <v>8.0332845201238534</v>
      </c>
      <c r="C64" s="31">
        <v>-1.0004845201238535</v>
      </c>
    </row>
    <row r="65" spans="1:3" ht="15" thickBot="1" x14ac:dyDescent="0.35">
      <c r="A65" s="32">
        <v>17</v>
      </c>
      <c r="B65" s="32">
        <v>8.3304860165118839</v>
      </c>
      <c r="C65" s="32">
        <v>1.1717639834881162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281A4-FA80-42CE-8BFF-E7A986F3D9B1}">
  <dimension ref="A1:F5"/>
  <sheetViews>
    <sheetView zoomScale="85" zoomScaleNormal="85" workbookViewId="0">
      <selection activeCell="I22" sqref="I21:I22"/>
    </sheetView>
  </sheetViews>
  <sheetFormatPr defaultRowHeight="14.4" x14ac:dyDescent="0.3"/>
  <cols>
    <col min="2" max="2" width="30.5546875" customWidth="1"/>
    <col min="3" max="3" width="36.109375" customWidth="1"/>
    <col min="4" max="4" width="8" bestFit="1" customWidth="1"/>
    <col min="5" max="5" width="27.44140625" bestFit="1" customWidth="1"/>
    <col min="6" max="6" width="36.44140625" bestFit="1" customWidth="1"/>
  </cols>
  <sheetData>
    <row r="1" spans="1:6" x14ac:dyDescent="0.3">
      <c r="A1" s="95" t="s">
        <v>58</v>
      </c>
      <c r="B1" s="95"/>
      <c r="C1" s="95"/>
      <c r="D1" s="95"/>
      <c r="E1" s="95"/>
      <c r="F1" s="95"/>
    </row>
    <row r="2" spans="1:6" x14ac:dyDescent="0.3">
      <c r="A2" s="40" t="s">
        <v>59</v>
      </c>
      <c r="B2" s="40" t="s">
        <v>60</v>
      </c>
      <c r="C2" s="40" t="s">
        <v>61</v>
      </c>
      <c r="D2" s="40" t="s">
        <v>62</v>
      </c>
      <c r="E2" s="40" t="s">
        <v>63</v>
      </c>
      <c r="F2" s="40" t="s">
        <v>64</v>
      </c>
    </row>
    <row r="3" spans="1:6" x14ac:dyDescent="0.3">
      <c r="A3" s="40">
        <v>1</v>
      </c>
      <c r="B3" s="40" t="s">
        <v>65</v>
      </c>
      <c r="C3" s="40" t="s">
        <v>77</v>
      </c>
      <c r="D3" s="40">
        <v>0.60299999999999998</v>
      </c>
      <c r="E3" s="40" t="s">
        <v>68</v>
      </c>
      <c r="F3" s="40" t="s">
        <v>68</v>
      </c>
    </row>
    <row r="4" spans="1:6" x14ac:dyDescent="0.3">
      <c r="A4" s="40">
        <v>2</v>
      </c>
      <c r="B4" s="40" t="s">
        <v>66</v>
      </c>
      <c r="C4" s="40" t="s">
        <v>73</v>
      </c>
      <c r="D4" s="40">
        <v>0.5</v>
      </c>
      <c r="E4" s="40" t="s">
        <v>68</v>
      </c>
      <c r="F4" s="40" t="s">
        <v>68</v>
      </c>
    </row>
    <row r="5" spans="1:6" ht="28.8" x14ac:dyDescent="0.3">
      <c r="A5" s="40">
        <v>3</v>
      </c>
      <c r="B5" s="40" t="s">
        <v>67</v>
      </c>
      <c r="C5" s="40" t="s">
        <v>76</v>
      </c>
      <c r="D5" s="40">
        <v>0.67600000000000005</v>
      </c>
      <c r="E5" s="40" t="s">
        <v>68</v>
      </c>
      <c r="F5" s="40" t="s">
        <v>14</v>
      </c>
    </row>
  </sheetData>
  <mergeCells count="1">
    <mergeCell ref="A1:F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58FC-032D-443B-85E6-9035C646D3A1}">
  <dimension ref="A1:O71"/>
  <sheetViews>
    <sheetView tabSelected="1" zoomScale="55" zoomScaleNormal="55" workbookViewId="0">
      <selection activeCell="C47" sqref="C47"/>
    </sheetView>
  </sheetViews>
  <sheetFormatPr defaultRowHeight="14.4" x14ac:dyDescent="0.3"/>
  <cols>
    <col min="1" max="1" width="24.88671875" bestFit="1" customWidth="1"/>
    <col min="2" max="2" width="55.77734375" bestFit="1" customWidth="1"/>
    <col min="3" max="3" width="21.88671875" bestFit="1" customWidth="1"/>
    <col min="4" max="4" width="15.109375" bestFit="1" customWidth="1"/>
    <col min="5" max="5" width="10.5546875" bestFit="1" customWidth="1"/>
    <col min="6" max="6" width="14.6640625" bestFit="1" customWidth="1"/>
    <col min="7" max="7" width="13.21875" bestFit="1" customWidth="1"/>
  </cols>
  <sheetData>
    <row r="1" spans="1:15" ht="31.2" x14ac:dyDescent="0.3">
      <c r="A1" s="3" t="s">
        <v>0</v>
      </c>
      <c r="B1" s="4" t="s">
        <v>96</v>
      </c>
      <c r="C1" s="4" t="s">
        <v>3</v>
      </c>
      <c r="D1" s="4" t="s">
        <v>91</v>
      </c>
      <c r="E1" s="4" t="s">
        <v>92</v>
      </c>
      <c r="F1" s="4" t="s">
        <v>22</v>
      </c>
      <c r="H1" s="50" t="s">
        <v>83</v>
      </c>
      <c r="I1" s="50" t="s">
        <v>84</v>
      </c>
      <c r="J1" s="50" t="s">
        <v>85</v>
      </c>
      <c r="K1" s="50" t="s">
        <v>86</v>
      </c>
      <c r="L1" s="50" t="s">
        <v>87</v>
      </c>
      <c r="M1" s="50" t="s">
        <v>88</v>
      </c>
      <c r="N1" s="50" t="s">
        <v>89</v>
      </c>
      <c r="O1" s="50" t="s">
        <v>90</v>
      </c>
    </row>
    <row r="2" spans="1:15" x14ac:dyDescent="0.3">
      <c r="A2" s="1">
        <v>2000</v>
      </c>
      <c r="B2" s="5">
        <v>19.553000000000001</v>
      </c>
      <c r="C2" s="39"/>
      <c r="D2" s="39"/>
      <c r="E2" s="39"/>
      <c r="F2" s="39">
        <v>1</v>
      </c>
      <c r="H2">
        <v>1</v>
      </c>
      <c r="I2" s="42">
        <f>CORREL(B3:B24,C3:C24)</f>
        <v>0.56822099069716769</v>
      </c>
      <c r="J2" s="42">
        <f>1/SQRT($F$24-H2)</f>
        <v>0.21320071635561041</v>
      </c>
      <c r="K2" s="42">
        <f>-1.96*J2</f>
        <v>-0.41787340405699641</v>
      </c>
      <c r="L2" s="42">
        <f>1.96*J2</f>
        <v>0.41787340405699641</v>
      </c>
      <c r="M2" s="42">
        <f>ABS(I2)/J2</f>
        <v>2.6651926898284781</v>
      </c>
      <c r="N2" s="42">
        <f>_xlfn.T.INV.2T(0.05,16)</f>
        <v>2.119905299221255</v>
      </c>
      <c r="O2" s="42">
        <f>_xlfn.T.DIST.2T(N2,16)</f>
        <v>5.000000000000001E-2</v>
      </c>
    </row>
    <row r="3" spans="1:15" x14ac:dyDescent="0.3">
      <c r="A3" s="1">
        <v>2001</v>
      </c>
      <c r="B3" s="5">
        <v>28.911000000000001</v>
      </c>
      <c r="C3" s="5">
        <v>19.553000000000001</v>
      </c>
      <c r="D3" s="39"/>
      <c r="E3" s="39"/>
      <c r="F3" s="39">
        <v>2</v>
      </c>
      <c r="H3">
        <v>2</v>
      </c>
      <c r="I3" s="42">
        <f>CORREL(B4:B24,D4:D24)</f>
        <v>0.39746025525607998</v>
      </c>
      <c r="J3" s="42">
        <f t="shared" ref="J3:J4" si="0">1/SQRT($F$24-H3)</f>
        <v>0.21821789023599239</v>
      </c>
      <c r="K3" s="42">
        <f>-1.96*J3</f>
        <v>-0.42770706486254506</v>
      </c>
      <c r="L3" s="42">
        <f>1.96*J3</f>
        <v>0.42770706486254506</v>
      </c>
      <c r="M3" s="42">
        <f t="shared" ref="M3:M4" si="1">ABS(I3)/J3</f>
        <v>1.8213917054474562</v>
      </c>
      <c r="N3" s="42">
        <f>_xlfn.T.INV.2T(0.05,15)</f>
        <v>2.1314495455597742</v>
      </c>
      <c r="O3" s="42">
        <f>_xlfn.T.DIST.2T(N2,15)</f>
        <v>5.1102139984096115E-2</v>
      </c>
    </row>
    <row r="4" spans="1:15" x14ac:dyDescent="0.3">
      <c r="A4" s="1">
        <v>2002</v>
      </c>
      <c r="B4" s="5">
        <v>33.094999999999999</v>
      </c>
      <c r="C4" s="5">
        <v>28.911000000000001</v>
      </c>
      <c r="D4" s="5">
        <v>19.553000000000001</v>
      </c>
      <c r="E4" s="39"/>
      <c r="F4" s="39">
        <v>3</v>
      </c>
      <c r="H4">
        <v>3</v>
      </c>
      <c r="I4" s="42">
        <f>CORREL(B5:B24,E5:E24)</f>
        <v>0.59713785509446449</v>
      </c>
      <c r="J4" s="42">
        <f t="shared" si="0"/>
        <v>0.22360679774997896</v>
      </c>
      <c r="K4" s="42">
        <f t="shared" ref="K4" si="2">-1.96*J4</f>
        <v>-0.43826932358995874</v>
      </c>
      <c r="L4" s="42">
        <f t="shared" ref="L4" si="3">1.96*J4</f>
        <v>0.43826932358995874</v>
      </c>
      <c r="M4" s="42">
        <f t="shared" si="1"/>
        <v>2.6704816718592834</v>
      </c>
      <c r="N4" s="42">
        <f>_xlfn.T.INV.2T(0.05,14)</f>
        <v>2.1447866879178044</v>
      </c>
      <c r="O4" s="42">
        <f>_xlfn.T.DIST.2T(N2,14)</f>
        <v>5.236602898870199E-2</v>
      </c>
    </row>
    <row r="5" spans="1:15" x14ac:dyDescent="0.3">
      <c r="A5" s="1">
        <v>2003</v>
      </c>
      <c r="B5" s="5">
        <v>19.315000000000001</v>
      </c>
      <c r="C5" s="5">
        <v>33.094999999999999</v>
      </c>
      <c r="D5" s="5">
        <v>28.911000000000001</v>
      </c>
      <c r="E5" s="5">
        <v>19.553000000000001</v>
      </c>
      <c r="F5" s="39">
        <v>4</v>
      </c>
    </row>
    <row r="6" spans="1:15" x14ac:dyDescent="0.3">
      <c r="A6" s="1">
        <v>2004</v>
      </c>
      <c r="B6" s="5">
        <v>18.852</v>
      </c>
      <c r="C6" s="5">
        <v>19.315000000000001</v>
      </c>
      <c r="D6" s="5">
        <v>33.094999999999999</v>
      </c>
      <c r="E6" s="5">
        <v>28.911000000000001</v>
      </c>
      <c r="F6" s="39">
        <v>5</v>
      </c>
    </row>
    <row r="7" spans="1:15" x14ac:dyDescent="0.3">
      <c r="A7" s="1">
        <v>2005</v>
      </c>
      <c r="B7" s="5">
        <v>22.4</v>
      </c>
      <c r="C7" s="5">
        <v>18.852</v>
      </c>
      <c r="D7" s="5">
        <v>19.315000000000001</v>
      </c>
      <c r="E7" s="5">
        <v>33.094999999999999</v>
      </c>
      <c r="F7" s="39">
        <v>6</v>
      </c>
    </row>
    <row r="8" spans="1:15" x14ac:dyDescent="0.3">
      <c r="A8" s="1">
        <v>2006</v>
      </c>
      <c r="B8" s="5">
        <v>28.363999999999997</v>
      </c>
      <c r="C8" s="5">
        <v>22.4</v>
      </c>
      <c r="D8" s="5">
        <v>18.852</v>
      </c>
      <c r="E8" s="5">
        <v>19.315000000000001</v>
      </c>
      <c r="F8" s="39">
        <v>7</v>
      </c>
    </row>
    <row r="9" spans="1:15" x14ac:dyDescent="0.3">
      <c r="A9" s="1">
        <v>2007</v>
      </c>
      <c r="B9" s="5">
        <v>29.689</v>
      </c>
      <c r="C9" s="5">
        <v>28.363999999999997</v>
      </c>
      <c r="D9" s="5">
        <v>22.4</v>
      </c>
      <c r="E9" s="5">
        <v>18.852</v>
      </c>
      <c r="F9" s="39">
        <v>8</v>
      </c>
    </row>
    <row r="10" spans="1:15" x14ac:dyDescent="0.3">
      <c r="A10" s="1">
        <v>2008</v>
      </c>
      <c r="B10" s="5">
        <v>34.170999999999999</v>
      </c>
      <c r="C10" s="5">
        <v>29.689</v>
      </c>
      <c r="D10" s="5">
        <v>28.363999999999997</v>
      </c>
      <c r="E10" s="5">
        <v>22.4</v>
      </c>
      <c r="F10" s="39">
        <v>9</v>
      </c>
    </row>
    <row r="11" spans="1:15" x14ac:dyDescent="0.3">
      <c r="A11" s="1">
        <v>2009</v>
      </c>
      <c r="B11" s="5">
        <v>26.024999999999999</v>
      </c>
      <c r="C11" s="5">
        <v>34.170999999999999</v>
      </c>
      <c r="D11" s="5">
        <v>29.689</v>
      </c>
      <c r="E11" s="5">
        <v>28.363999999999997</v>
      </c>
      <c r="F11" s="39">
        <v>10</v>
      </c>
    </row>
    <row r="12" spans="1:15" x14ac:dyDescent="0.3">
      <c r="A12" s="1">
        <v>2010</v>
      </c>
      <c r="B12" s="5">
        <v>6</v>
      </c>
      <c r="C12" s="5">
        <v>26.024999999999999</v>
      </c>
      <c r="D12" s="5">
        <v>34.170999999999999</v>
      </c>
      <c r="E12" s="5">
        <v>29.689</v>
      </c>
      <c r="F12" s="39">
        <v>11</v>
      </c>
    </row>
    <row r="13" spans="1:15" x14ac:dyDescent="0.3">
      <c r="A13" s="1">
        <v>2011</v>
      </c>
      <c r="B13" s="5">
        <v>25.8</v>
      </c>
      <c r="C13" s="5">
        <v>6</v>
      </c>
      <c r="D13" s="5">
        <v>26.024999999999999</v>
      </c>
      <c r="E13" s="5">
        <v>34.170999999999999</v>
      </c>
      <c r="F13" s="39">
        <v>12</v>
      </c>
    </row>
    <row r="14" spans="1:15" x14ac:dyDescent="0.3">
      <c r="A14" s="1">
        <v>2012</v>
      </c>
      <c r="B14" s="5">
        <v>20.9</v>
      </c>
      <c r="C14" s="5">
        <v>25.8</v>
      </c>
      <c r="D14" s="5">
        <v>6</v>
      </c>
      <c r="E14" s="5">
        <v>26.024999999999999</v>
      </c>
      <c r="F14" s="39">
        <v>13</v>
      </c>
    </row>
    <row r="15" spans="1:15" x14ac:dyDescent="0.3">
      <c r="A15" s="1">
        <v>2013</v>
      </c>
      <c r="B15" s="5">
        <v>5.4</v>
      </c>
      <c r="C15" s="5">
        <v>20.9</v>
      </c>
      <c r="D15" s="5">
        <v>25.8</v>
      </c>
      <c r="E15" s="5">
        <v>6</v>
      </c>
      <c r="F15" s="39">
        <v>14</v>
      </c>
    </row>
    <row r="16" spans="1:15" x14ac:dyDescent="0.3">
      <c r="A16" s="1">
        <v>2014</v>
      </c>
      <c r="B16" s="5">
        <v>16.7</v>
      </c>
      <c r="C16" s="5">
        <v>5.4</v>
      </c>
      <c r="D16" s="5">
        <v>20.9</v>
      </c>
      <c r="E16" s="5">
        <v>25.8</v>
      </c>
      <c r="F16" s="39">
        <v>15</v>
      </c>
    </row>
    <row r="17" spans="1:6" x14ac:dyDescent="0.3">
      <c r="A17" s="1">
        <v>2015</v>
      </c>
      <c r="B17" s="5">
        <v>10.9</v>
      </c>
      <c r="C17" s="5">
        <v>16.7</v>
      </c>
      <c r="D17" s="5">
        <v>5.4</v>
      </c>
      <c r="E17" s="5">
        <v>20.9</v>
      </c>
      <c r="F17" s="39">
        <v>16</v>
      </c>
    </row>
    <row r="18" spans="1:6" x14ac:dyDescent="0.3">
      <c r="A18" s="1">
        <v>2016</v>
      </c>
      <c r="B18" s="5">
        <v>8.9</v>
      </c>
      <c r="C18" s="5">
        <v>10.9</v>
      </c>
      <c r="D18" s="5">
        <v>16.7</v>
      </c>
      <c r="E18" s="5">
        <v>5.4</v>
      </c>
      <c r="F18" s="39">
        <v>17</v>
      </c>
    </row>
    <row r="19" spans="1:6" x14ac:dyDescent="0.3">
      <c r="A19" s="1">
        <v>2017</v>
      </c>
      <c r="B19" s="5">
        <v>11.1</v>
      </c>
      <c r="C19" s="5">
        <v>8.9</v>
      </c>
      <c r="D19" s="5">
        <v>10.9</v>
      </c>
      <c r="E19" s="5">
        <v>16.7</v>
      </c>
      <c r="F19" s="39">
        <v>18</v>
      </c>
    </row>
    <row r="20" spans="1:6" x14ac:dyDescent="0.3">
      <c r="A20" s="1">
        <v>2018</v>
      </c>
      <c r="B20" s="5">
        <v>9.5980999999999987</v>
      </c>
      <c r="C20" s="5">
        <v>11.1</v>
      </c>
      <c r="D20" s="5">
        <v>8.9</v>
      </c>
      <c r="E20" s="5">
        <v>10.9</v>
      </c>
      <c r="F20" s="39">
        <v>19</v>
      </c>
    </row>
    <row r="21" spans="1:6" x14ac:dyDescent="0.3">
      <c r="A21" s="1">
        <v>2019</v>
      </c>
      <c r="B21" s="5">
        <v>5.4451999999999998</v>
      </c>
      <c r="C21" s="5">
        <v>9.5980999999999987</v>
      </c>
      <c r="D21" s="5">
        <v>11.1</v>
      </c>
      <c r="E21" s="5">
        <v>8.9</v>
      </c>
      <c r="F21" s="39">
        <v>20</v>
      </c>
    </row>
    <row r="22" spans="1:6" x14ac:dyDescent="0.3">
      <c r="A22" s="1">
        <v>2020</v>
      </c>
      <c r="B22" s="5">
        <v>8.8000000000000007</v>
      </c>
      <c r="C22" s="5">
        <v>5.4451999999999998</v>
      </c>
      <c r="D22" s="5">
        <v>9.5980999999999987</v>
      </c>
      <c r="E22" s="5">
        <v>11.1</v>
      </c>
      <c r="F22" s="39">
        <v>21</v>
      </c>
    </row>
    <row r="23" spans="1:6" x14ac:dyDescent="0.3">
      <c r="A23" s="1">
        <v>2021</v>
      </c>
      <c r="B23" s="5">
        <v>7.0327999999999999</v>
      </c>
      <c r="C23" s="5">
        <v>8.8000000000000007</v>
      </c>
      <c r="D23" s="5">
        <v>5.4451999999999998</v>
      </c>
      <c r="E23" s="5">
        <v>9.5980999999999987</v>
      </c>
      <c r="F23" s="39">
        <v>22</v>
      </c>
    </row>
    <row r="24" spans="1:6" ht="15" thickBot="1" x14ac:dyDescent="0.35">
      <c r="A24" s="2">
        <v>2022</v>
      </c>
      <c r="B24" s="6">
        <v>9.5022500000000001</v>
      </c>
      <c r="C24" s="5">
        <v>7.0327999999999999</v>
      </c>
      <c r="D24" s="5">
        <v>8.8000000000000007</v>
      </c>
      <c r="E24" s="5">
        <v>5.4451999999999998</v>
      </c>
      <c r="F24" s="39">
        <v>23</v>
      </c>
    </row>
    <row r="25" spans="1:6" ht="15" thickBot="1" x14ac:dyDescent="0.35">
      <c r="A25" s="7"/>
      <c r="B25" s="8"/>
      <c r="C25" s="30"/>
      <c r="D25" s="30"/>
      <c r="E25" s="30"/>
      <c r="F25" s="30"/>
    </row>
    <row r="28" spans="1:6" x14ac:dyDescent="0.3">
      <c r="A28" t="s">
        <v>23</v>
      </c>
    </row>
    <row r="29" spans="1:6" ht="15" thickBot="1" x14ac:dyDescent="0.35"/>
    <row r="30" spans="1:6" x14ac:dyDescent="0.3">
      <c r="A30" s="34" t="s">
        <v>24</v>
      </c>
      <c r="B30" s="34"/>
    </row>
    <row r="31" spans="1:6" x14ac:dyDescent="0.3">
      <c r="A31" s="31" t="s">
        <v>25</v>
      </c>
      <c r="B31" s="31">
        <v>0.59713785509446426</v>
      </c>
    </row>
    <row r="32" spans="1:6" x14ac:dyDescent="0.3">
      <c r="A32" s="31" t="s">
        <v>26</v>
      </c>
      <c r="B32" s="31">
        <v>0.35657361798681736</v>
      </c>
    </row>
    <row r="33" spans="1:9" x14ac:dyDescent="0.3">
      <c r="A33" s="31" t="s">
        <v>27</v>
      </c>
      <c r="B33" s="31">
        <v>0.32082770787497389</v>
      </c>
    </row>
    <row r="34" spans="1:9" x14ac:dyDescent="0.3">
      <c r="A34" s="31" t="s">
        <v>28</v>
      </c>
      <c r="B34" s="31">
        <v>7.5390080121577947</v>
      </c>
    </row>
    <row r="35" spans="1:9" ht="15" thickBot="1" x14ac:dyDescent="0.35">
      <c r="A35" s="32" t="s">
        <v>29</v>
      </c>
      <c r="B35" s="32">
        <v>20</v>
      </c>
    </row>
    <row r="37" spans="1:9" ht="15" thickBot="1" x14ac:dyDescent="0.35">
      <c r="A37" t="s">
        <v>30</v>
      </c>
    </row>
    <row r="38" spans="1:9" ht="15" thickBot="1" x14ac:dyDescent="0.35">
      <c r="A38" s="33"/>
      <c r="B38" s="49" t="s">
        <v>35</v>
      </c>
      <c r="C38" s="49" t="s">
        <v>36</v>
      </c>
      <c r="D38" s="49" t="s">
        <v>37</v>
      </c>
      <c r="E38" s="49" t="s">
        <v>38</v>
      </c>
      <c r="F38" s="49" t="s">
        <v>39</v>
      </c>
      <c r="G38" s="67" t="s">
        <v>50</v>
      </c>
    </row>
    <row r="39" spans="1:9" ht="15" thickBot="1" x14ac:dyDescent="0.35">
      <c r="A39" s="31" t="s">
        <v>31</v>
      </c>
      <c r="B39" s="31">
        <v>1</v>
      </c>
      <c r="C39" s="31">
        <v>566.95848392354469</v>
      </c>
      <c r="D39" s="31">
        <v>566.95848392354469</v>
      </c>
      <c r="E39" s="31">
        <v>9.9752284071423301</v>
      </c>
      <c r="F39" s="31">
        <v>5.4377170948839756E-3</v>
      </c>
      <c r="G39" s="35">
        <f>_xlfn.F.INV.RT(0.05,2,21)</f>
        <v>3.4668001115424172</v>
      </c>
      <c r="H39" t="s">
        <v>93</v>
      </c>
    </row>
    <row r="40" spans="1:9" x14ac:dyDescent="0.3">
      <c r="A40" s="31" t="s">
        <v>32</v>
      </c>
      <c r="B40" s="31">
        <v>18</v>
      </c>
      <c r="C40" s="31">
        <v>1023.0595525328297</v>
      </c>
      <c r="D40" s="31">
        <v>56.836641807379429</v>
      </c>
      <c r="E40" s="31"/>
      <c r="F40" s="31"/>
    </row>
    <row r="41" spans="1:9" ht="15" thickBot="1" x14ac:dyDescent="0.35">
      <c r="A41" s="32" t="s">
        <v>33</v>
      </c>
      <c r="B41" s="32">
        <v>19</v>
      </c>
      <c r="C41" s="32">
        <v>1590.0180364563744</v>
      </c>
      <c r="D41" s="32"/>
      <c r="E41" s="32"/>
      <c r="F41" s="32"/>
    </row>
    <row r="42" spans="1:9" ht="15" thickBot="1" x14ac:dyDescent="0.35"/>
    <row r="43" spans="1:9" ht="28.8" x14ac:dyDescent="0.3">
      <c r="A43" s="33"/>
      <c r="B43" s="49" t="s">
        <v>40</v>
      </c>
      <c r="C43" s="49" t="s">
        <v>28</v>
      </c>
      <c r="D43" s="49" t="s">
        <v>41</v>
      </c>
      <c r="E43" s="49" t="s">
        <v>42</v>
      </c>
      <c r="F43" s="49" t="s">
        <v>43</v>
      </c>
      <c r="G43" s="49" t="s">
        <v>44</v>
      </c>
      <c r="H43" s="49" t="s">
        <v>45</v>
      </c>
      <c r="I43" s="49" t="s">
        <v>46</v>
      </c>
    </row>
    <row r="44" spans="1:9" x14ac:dyDescent="0.3">
      <c r="A44" s="31" t="s">
        <v>34</v>
      </c>
      <c r="B44" s="31">
        <v>5.2448921777229396</v>
      </c>
      <c r="C44" s="31">
        <v>3.8693016048525992</v>
      </c>
      <c r="D44" s="66">
        <v>1.3555139178463571</v>
      </c>
      <c r="E44" s="31">
        <v>0.19201953565329541</v>
      </c>
      <c r="F44" s="31">
        <v>-2.8842088442519014</v>
      </c>
      <c r="G44" s="31">
        <v>13.373993199697789</v>
      </c>
      <c r="H44" s="31">
        <v>-2.8842088442519014</v>
      </c>
      <c r="I44" s="31">
        <v>13.373993199697789</v>
      </c>
    </row>
    <row r="45" spans="1:9" ht="15" thickBot="1" x14ac:dyDescent="0.35">
      <c r="A45" s="32" t="s">
        <v>69</v>
      </c>
      <c r="B45" s="32">
        <v>0.57723942000565498</v>
      </c>
      <c r="C45" s="32">
        <v>0.18276564241177268</v>
      </c>
      <c r="D45" s="32">
        <v>3.1583584988316851</v>
      </c>
      <c r="E45" s="32">
        <v>5.4377170948839678E-3</v>
      </c>
      <c r="F45" s="32">
        <v>0.19326305366394947</v>
      </c>
      <c r="G45" s="32">
        <v>0.96121578634736027</v>
      </c>
      <c r="H45" s="32">
        <v>0.19326305366394947</v>
      </c>
      <c r="I45" s="32">
        <v>0.96121578634736027</v>
      </c>
    </row>
    <row r="46" spans="1:9" ht="15" thickBot="1" x14ac:dyDescent="0.35">
      <c r="A46" s="36" t="s">
        <v>95</v>
      </c>
      <c r="D46" s="36">
        <f>_xlfn.T.INV.2T(0.05,20)</f>
        <v>2.0859634472658648</v>
      </c>
    </row>
    <row r="47" spans="1:9" x14ac:dyDescent="0.3">
      <c r="D47" t="s">
        <v>94</v>
      </c>
    </row>
    <row r="49" spans="1:3" x14ac:dyDescent="0.3">
      <c r="A49" t="s">
        <v>47</v>
      </c>
    </row>
    <row r="50" spans="1:3" ht="15" thickBot="1" x14ac:dyDescent="0.35"/>
    <row r="51" spans="1:3" x14ac:dyDescent="0.3">
      <c r="A51" s="33" t="s">
        <v>48</v>
      </c>
      <c r="B51" s="33" t="s">
        <v>57</v>
      </c>
      <c r="C51" s="33" t="s">
        <v>49</v>
      </c>
    </row>
    <row r="52" spans="1:3" x14ac:dyDescent="0.3">
      <c r="A52" s="31">
        <v>1</v>
      </c>
      <c r="B52" s="31">
        <v>16.531654557093514</v>
      </c>
      <c r="C52" s="31">
        <v>2.7833454429064872</v>
      </c>
    </row>
    <row r="53" spans="1:3" x14ac:dyDescent="0.3">
      <c r="A53" s="31">
        <v>2</v>
      </c>
      <c r="B53" s="31">
        <v>21.933461049506434</v>
      </c>
      <c r="C53" s="31">
        <v>-3.0814610495064336</v>
      </c>
    </row>
    <row r="54" spans="1:3" x14ac:dyDescent="0.3">
      <c r="A54" s="31">
        <v>3</v>
      </c>
      <c r="B54" s="31">
        <v>24.348630782810091</v>
      </c>
      <c r="C54" s="31">
        <v>-1.9486307828100919</v>
      </c>
    </row>
    <row r="55" spans="1:3" x14ac:dyDescent="0.3">
      <c r="A55" s="31">
        <v>4</v>
      </c>
      <c r="B55" s="31">
        <v>16.394271575132169</v>
      </c>
      <c r="C55" s="31">
        <v>11.969728424867828</v>
      </c>
    </row>
    <row r="56" spans="1:3" x14ac:dyDescent="0.3">
      <c r="A56" s="31">
        <v>5</v>
      </c>
      <c r="B56" s="31">
        <v>16.127009723669552</v>
      </c>
      <c r="C56" s="31">
        <v>13.561990276330448</v>
      </c>
    </row>
    <row r="57" spans="1:3" x14ac:dyDescent="0.3">
      <c r="A57" s="31">
        <v>6</v>
      </c>
      <c r="B57" s="31">
        <v>18.175055185849612</v>
      </c>
      <c r="C57" s="31">
        <v>15.995944814150388</v>
      </c>
    </row>
    <row r="58" spans="1:3" x14ac:dyDescent="0.3">
      <c r="A58" s="31">
        <v>7</v>
      </c>
      <c r="B58" s="31">
        <v>21.617711086763336</v>
      </c>
      <c r="C58" s="31">
        <v>4.4072889132366626</v>
      </c>
    </row>
    <row r="59" spans="1:3" x14ac:dyDescent="0.3">
      <c r="A59" s="31">
        <v>8</v>
      </c>
      <c r="B59" s="31">
        <v>22.38255331827083</v>
      </c>
      <c r="C59" s="31">
        <v>-16.38255331827083</v>
      </c>
    </row>
    <row r="60" spans="1:3" x14ac:dyDescent="0.3">
      <c r="A60" s="31">
        <v>9</v>
      </c>
      <c r="B60" s="31">
        <v>24.969740398736178</v>
      </c>
      <c r="C60" s="31">
        <v>0.83025960126382259</v>
      </c>
    </row>
    <row r="61" spans="1:3" x14ac:dyDescent="0.3">
      <c r="A61" s="31">
        <v>10</v>
      </c>
      <c r="B61" s="31">
        <v>20.267548083370109</v>
      </c>
      <c r="C61" s="31">
        <v>0.63245191662988987</v>
      </c>
    </row>
    <row r="62" spans="1:3" x14ac:dyDescent="0.3">
      <c r="A62" s="31">
        <v>11</v>
      </c>
      <c r="B62" s="31">
        <v>8.7083286977568726</v>
      </c>
      <c r="C62" s="31">
        <v>-3.3083286977568722</v>
      </c>
    </row>
    <row r="63" spans="1:3" x14ac:dyDescent="0.3">
      <c r="A63" s="31">
        <v>12</v>
      </c>
      <c r="B63" s="31">
        <v>20.13766921386884</v>
      </c>
      <c r="C63" s="31">
        <v>-3.4376692138688405</v>
      </c>
    </row>
    <row r="64" spans="1:3" x14ac:dyDescent="0.3">
      <c r="A64" s="31">
        <v>13</v>
      </c>
      <c r="B64" s="31">
        <v>17.309196055841127</v>
      </c>
      <c r="C64" s="31">
        <v>-6.4091960558411269</v>
      </c>
    </row>
    <row r="65" spans="1:3" x14ac:dyDescent="0.3">
      <c r="A65" s="31">
        <v>14</v>
      </c>
      <c r="B65" s="31">
        <v>8.3619850457534799</v>
      </c>
      <c r="C65" s="31">
        <v>0.53801495424652046</v>
      </c>
    </row>
    <row r="66" spans="1:3" x14ac:dyDescent="0.3">
      <c r="A66" s="31">
        <v>15</v>
      </c>
      <c r="B66" s="31">
        <v>14.88479049181738</v>
      </c>
      <c r="C66" s="31">
        <v>-3.7847904918173807</v>
      </c>
    </row>
    <row r="67" spans="1:3" x14ac:dyDescent="0.3">
      <c r="A67" s="31">
        <v>16</v>
      </c>
      <c r="B67" s="31">
        <v>11.536801855784582</v>
      </c>
      <c r="C67" s="31">
        <v>-1.9387018557845828</v>
      </c>
    </row>
    <row r="68" spans="1:3" x14ac:dyDescent="0.3">
      <c r="A68" s="31">
        <v>17</v>
      </c>
      <c r="B68" s="31">
        <v>10.382323015773274</v>
      </c>
      <c r="C68" s="31">
        <v>-4.9371230157732739</v>
      </c>
    </row>
    <row r="69" spans="1:3" x14ac:dyDescent="0.3">
      <c r="A69" s="31">
        <v>18</v>
      </c>
      <c r="B69" s="31">
        <v>11.652249739785713</v>
      </c>
      <c r="C69" s="31">
        <v>-2.8522497397857123</v>
      </c>
    </row>
    <row r="70" spans="1:3" x14ac:dyDescent="0.3">
      <c r="A70" s="31">
        <v>19</v>
      </c>
      <c r="B70" s="31">
        <v>10.785293854879219</v>
      </c>
      <c r="C70" s="31">
        <v>-3.7524938548792193</v>
      </c>
    </row>
    <row r="71" spans="1:3" ht="15" thickBot="1" x14ac:dyDescent="0.35">
      <c r="A71" s="32">
        <v>20</v>
      </c>
      <c r="B71" s="32">
        <v>8.3880762675377358</v>
      </c>
      <c r="C71" s="32">
        <v>1.1141737324622643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Исходные данные</vt:lpstr>
      <vt:lpstr>Показатели изменения уровней</vt:lpstr>
      <vt:lpstr>Периодизация</vt:lpstr>
      <vt:lpstr>Линейный тренд</vt:lpstr>
      <vt:lpstr>Показательный тренд</vt:lpstr>
      <vt:lpstr>Полиномиальный тренд</vt:lpstr>
      <vt:lpstr>Выбор тренда</vt:lpstr>
      <vt:lpstr>Автокорреляция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Васильев Михаил Ильич</dc:creator>
  <cp:lastModifiedBy>Васильев Михаил Ильич</cp:lastModifiedBy>
  <dcterms:created xsi:type="dcterms:W3CDTF">2024-11-25T18:15:53Z</dcterms:created>
  <dcterms:modified xsi:type="dcterms:W3CDTF">2024-12-01T14:37:18Z</dcterms:modified>
</cp:coreProperties>
</file>