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si\OneDrive\Рабочий стол\ПОЛИТЕХ\"/>
    </mc:Choice>
  </mc:AlternateContent>
  <xr:revisionPtr revIDLastSave="0" documentId="13_ncr:1_{EB094E2F-6D08-4AA2-B9A4-015658CFB73E}" xr6:coauthVersionLast="36" xr6:coauthVersionMax="36" xr10:uidLastSave="{00000000-0000-0000-0000-000000000000}"/>
  <bookViews>
    <workbookView xWindow="0" yWindow="0" windowWidth="18984" windowHeight="9060" activeTab="7" xr2:uid="{8CD3C285-663A-4128-8A5C-87EDEE6BAE9E}"/>
  </bookViews>
  <sheets>
    <sheet name="Раздел 1" sheetId="1" r:id="rId1"/>
    <sheet name="Раздел 2" sheetId="2" r:id="rId2"/>
    <sheet name="Раздел 3" sheetId="3" r:id="rId3"/>
    <sheet name="Раздел 4" sheetId="4" r:id="rId4"/>
    <sheet name="Раздел 5" sheetId="5" r:id="rId5"/>
    <sheet name="Раздел 6" sheetId="6" r:id="rId6"/>
    <sheet name="Раздел 7" sheetId="7" r:id="rId7"/>
    <sheet name="Раздел 8" sheetId="8" r:id="rId8"/>
  </sheets>
  <calcPr calcId="191029"/>
  <customWorkbookViews>
    <customWorkbookView name="Mike Vas` - Личное представление" guid="{AA87E068-5849-482C-8AC0-FA82B1C10C62}" mergeInterval="0" personalView="1" maximized="1" xWindow="-9" yWindow="-9" windowWidth="1938" windowHeight="1048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8" l="1"/>
  <c r="B11" i="8"/>
  <c r="C7" i="6" l="1"/>
  <c r="E7" i="6"/>
  <c r="F22" i="8"/>
  <c r="D68" i="8"/>
  <c r="C68" i="8"/>
  <c r="D22" i="8"/>
  <c r="E22" i="8"/>
  <c r="D63" i="8" l="1"/>
  <c r="D39" i="8"/>
  <c r="D23" i="8" l="1"/>
  <c r="D24" i="8"/>
  <c r="D58" i="8" l="1"/>
  <c r="D47" i="8"/>
  <c r="D48" i="8"/>
  <c r="D43" i="8"/>
  <c r="D44" i="8"/>
  <c r="D45" i="8"/>
  <c r="D46" i="8"/>
  <c r="D42" i="8"/>
  <c r="D41" i="8"/>
  <c r="D32" i="8"/>
  <c r="D37" i="8"/>
  <c r="D38" i="8"/>
  <c r="D36" i="8"/>
  <c r="D34" i="8"/>
  <c r="D35" i="8"/>
  <c r="D33" i="8"/>
  <c r="B22" i="8"/>
  <c r="D56" i="8"/>
  <c r="D57" i="8" s="1"/>
  <c r="B23" i="8"/>
  <c r="B24" i="8"/>
  <c r="B7" i="8"/>
  <c r="G31" i="7"/>
  <c r="G32" i="7"/>
  <c r="G30" i="7"/>
  <c r="F31" i="7"/>
  <c r="F32" i="7"/>
  <c r="F30" i="7"/>
  <c r="C32" i="7"/>
  <c r="C31" i="7"/>
  <c r="C30" i="7"/>
  <c r="B5" i="8"/>
  <c r="B12" i="8"/>
  <c r="B13" i="8"/>
  <c r="B10" i="8"/>
  <c r="B9" i="8"/>
  <c r="B8" i="8" s="1"/>
  <c r="C4" i="6"/>
  <c r="B6" i="8"/>
  <c r="B4" i="8" s="1"/>
  <c r="K5" i="7"/>
  <c r="K6" i="7"/>
  <c r="K4" i="7"/>
  <c r="O6" i="7"/>
  <c r="P6" i="7" s="1"/>
  <c r="O4" i="7"/>
  <c r="P4" i="7" s="1"/>
  <c r="J5" i="7"/>
  <c r="J6" i="7"/>
  <c r="J4" i="7"/>
  <c r="D61" i="8" l="1"/>
  <c r="D62" i="8"/>
  <c r="P7" i="7"/>
  <c r="K7" i="7"/>
  <c r="B38" i="7"/>
  <c r="B37" i="7"/>
  <c r="B36" i="7"/>
  <c r="D32" i="7"/>
  <c r="D31" i="7"/>
  <c r="D30" i="7"/>
  <c r="B39" i="7"/>
  <c r="B33" i="7"/>
  <c r="B32" i="7"/>
  <c r="B31" i="7"/>
  <c r="B30" i="7"/>
  <c r="G21" i="7"/>
  <c r="G22" i="7"/>
  <c r="G23" i="7"/>
  <c r="G24" i="7"/>
  <c r="G20" i="7"/>
  <c r="H20" i="7" s="1"/>
  <c r="F21" i="7"/>
  <c r="F22" i="7"/>
  <c r="H22" i="7" s="1"/>
  <c r="F23" i="7"/>
  <c r="F24" i="7"/>
  <c r="F20" i="7"/>
  <c r="D44" i="3"/>
  <c r="D50" i="3" s="1"/>
  <c r="F15" i="7"/>
  <c r="F14" i="7"/>
  <c r="D14" i="7"/>
  <c r="F13" i="7"/>
  <c r="D12" i="7"/>
  <c r="F12" i="7" s="1"/>
  <c r="D11" i="7"/>
  <c r="F11" i="7" s="1"/>
  <c r="D6" i="7"/>
  <c r="D5" i="7"/>
  <c r="D4" i="7"/>
  <c r="C6" i="7"/>
  <c r="C5" i="7"/>
  <c r="E5" i="7" s="1"/>
  <c r="F5" i="7" s="1"/>
  <c r="C4" i="7"/>
  <c r="E4" i="7" s="1"/>
  <c r="F4" i="7" s="1"/>
  <c r="B6" i="7"/>
  <c r="B5" i="7"/>
  <c r="B4" i="7"/>
  <c r="D18" i="6"/>
  <c r="D17" i="6"/>
  <c r="C11" i="6"/>
  <c r="C10" i="6"/>
  <c r="C9" i="6"/>
  <c r="C5" i="6"/>
  <c r="E6" i="6"/>
  <c r="E9" i="6"/>
  <c r="E10" i="6"/>
  <c r="E11" i="6"/>
  <c r="E40" i="5"/>
  <c r="E37" i="5"/>
  <c r="E38" i="5"/>
  <c r="E39" i="5"/>
  <c r="E36" i="5"/>
  <c r="D37" i="5"/>
  <c r="D38" i="5"/>
  <c r="D39" i="5"/>
  <c r="D36" i="5"/>
  <c r="C37" i="5"/>
  <c r="C38" i="5"/>
  <c r="C39" i="5"/>
  <c r="C36" i="5"/>
  <c r="C25" i="5"/>
  <c r="C23" i="5"/>
  <c r="C22" i="5"/>
  <c r="C9" i="5"/>
  <c r="D18" i="5"/>
  <c r="D16" i="5"/>
  <c r="D17" i="5"/>
  <c r="D15" i="5"/>
  <c r="C17" i="5"/>
  <c r="C16" i="5"/>
  <c r="C15" i="5"/>
  <c r="C3" i="5"/>
  <c r="C4" i="5"/>
  <c r="C8" i="3"/>
  <c r="C7" i="3"/>
  <c r="B7" i="3" s="1"/>
  <c r="D7" i="3" s="1"/>
  <c r="C6" i="3"/>
  <c r="C5" i="3"/>
  <c r="C4" i="3"/>
  <c r="B4" i="3" s="1"/>
  <c r="D4" i="3" s="1"/>
  <c r="D11" i="2"/>
  <c r="E11" i="2"/>
  <c r="C11" i="2"/>
  <c r="B8" i="3"/>
  <c r="C50" i="3"/>
  <c r="D40" i="3"/>
  <c r="D41" i="3"/>
  <c r="D42" i="3"/>
  <c r="D43" i="3"/>
  <c r="D45" i="3"/>
  <c r="D46" i="3"/>
  <c r="D47" i="3"/>
  <c r="D48" i="3"/>
  <c r="D49" i="3"/>
  <c r="D39" i="3"/>
  <c r="B50" i="3"/>
  <c r="C40" i="3"/>
  <c r="C41" i="3"/>
  <c r="C42" i="3"/>
  <c r="C43" i="3"/>
  <c r="C39" i="3"/>
  <c r="D35" i="3"/>
  <c r="C35" i="3"/>
  <c r="D33" i="3"/>
  <c r="C33" i="3"/>
  <c r="B33" i="3"/>
  <c r="D32" i="3"/>
  <c r="B32" i="3"/>
  <c r="C32" i="3" s="1"/>
  <c r="D23" i="3"/>
  <c r="D24" i="3"/>
  <c r="D25" i="3"/>
  <c r="D26" i="3"/>
  <c r="C23" i="3"/>
  <c r="C24" i="3"/>
  <c r="C25" i="3"/>
  <c r="C26" i="3"/>
  <c r="C22" i="3"/>
  <c r="D22" i="3" s="1"/>
  <c r="B23" i="3"/>
  <c r="B24" i="3"/>
  <c r="B25" i="3"/>
  <c r="B26" i="3"/>
  <c r="B22" i="3"/>
  <c r="C17" i="3"/>
  <c r="C18" i="3" s="1"/>
  <c r="C16" i="3"/>
  <c r="C14" i="3"/>
  <c r="C15" i="3"/>
  <c r="H9" i="3"/>
  <c r="B6" i="3"/>
  <c r="H5" i="3"/>
  <c r="H6" i="3"/>
  <c r="H7" i="3"/>
  <c r="H8" i="3"/>
  <c r="G8" i="3"/>
  <c r="G6" i="3"/>
  <c r="G7" i="3"/>
  <c r="G5" i="3"/>
  <c r="H4" i="3"/>
  <c r="G4" i="3"/>
  <c r="F9" i="3"/>
  <c r="C9" i="2"/>
  <c r="H24" i="7" l="1"/>
  <c r="E6" i="7"/>
  <c r="F6" i="7" s="1"/>
  <c r="F7" i="7" s="1"/>
  <c r="H23" i="7"/>
  <c r="B40" i="7"/>
  <c r="G33" i="7"/>
  <c r="B14" i="8" s="1"/>
  <c r="H21" i="7"/>
  <c r="H25" i="7" s="1"/>
  <c r="F16" i="7"/>
  <c r="C34" i="3"/>
  <c r="D34" i="3" s="1"/>
  <c r="E4" i="6"/>
  <c r="E5" i="6"/>
  <c r="C8" i="6"/>
  <c r="E4" i="3"/>
  <c r="D27" i="3"/>
  <c r="E6" i="3"/>
  <c r="E7" i="3"/>
  <c r="D8" i="3"/>
  <c r="E8" i="3"/>
  <c r="D6" i="3"/>
  <c r="C9" i="3"/>
  <c r="G9" i="3"/>
  <c r="B5" i="3"/>
  <c r="C67" i="2"/>
  <c r="B67" i="2" s="1"/>
  <c r="C66" i="2"/>
  <c r="B66" i="2" s="1"/>
  <c r="C65" i="2"/>
  <c r="B65" i="2" s="1"/>
  <c r="B64" i="2"/>
  <c r="C64" i="2"/>
  <c r="B63" i="2"/>
  <c r="C63" i="2"/>
  <c r="D39" i="2"/>
  <c r="D35" i="2"/>
  <c r="D36" i="2"/>
  <c r="D37" i="2"/>
  <c r="D38" i="2"/>
  <c r="D34" i="2"/>
  <c r="D30" i="2"/>
  <c r="D21" i="2"/>
  <c r="D26" i="2"/>
  <c r="D27" i="2"/>
  <c r="D28" i="2"/>
  <c r="D29" i="2"/>
  <c r="D25" i="2"/>
  <c r="D16" i="2"/>
  <c r="D17" i="2"/>
  <c r="D18" i="2"/>
  <c r="D19" i="2"/>
  <c r="D20" i="2"/>
  <c r="D9" i="2"/>
  <c r="E9" i="2"/>
  <c r="E8" i="2"/>
  <c r="D8" i="2"/>
  <c r="C8" i="2"/>
  <c r="E7" i="2"/>
  <c r="D7" i="2"/>
  <c r="C7" i="2"/>
  <c r="A27" i="8" l="1"/>
  <c r="C12" i="6"/>
  <c r="E12" i="6" s="1"/>
  <c r="E17" i="6" s="1"/>
  <c r="E8" i="6"/>
  <c r="B9" i="3"/>
  <c r="E9" i="3" s="1"/>
  <c r="D5" i="3"/>
  <c r="D9" i="3" s="1"/>
  <c r="E5" i="3"/>
  <c r="G20" i="1"/>
  <c r="C33" i="1"/>
  <c r="C34" i="1" s="1"/>
  <c r="B33" i="1"/>
  <c r="B34" i="1" s="1"/>
  <c r="D33" i="1"/>
  <c r="D34" i="1" s="1"/>
  <c r="H20" i="1"/>
  <c r="I20" i="1"/>
  <c r="C70" i="8" l="1"/>
  <c r="D70" i="8"/>
  <c r="B27" i="8"/>
  <c r="C27" i="8"/>
  <c r="B15" i="8"/>
  <c r="C7" i="8" s="1"/>
  <c r="D38" i="6"/>
  <c r="D41" i="6"/>
  <c r="D34" i="6"/>
  <c r="D52" i="8" s="1"/>
  <c r="D51" i="8" s="1"/>
  <c r="E18" i="6"/>
  <c r="D27" i="8" l="1"/>
  <c r="C6" i="8"/>
  <c r="C8" i="8"/>
  <c r="C9" i="8"/>
  <c r="C10" i="8"/>
  <c r="C13" i="8"/>
  <c r="C4" i="8"/>
  <c r="C5" i="8"/>
  <c r="C15" i="8"/>
  <c r="C12" i="8"/>
  <c r="C14" i="8"/>
  <c r="C11" i="8"/>
  <c r="D32" i="6"/>
  <c r="D39" i="6"/>
  <c r="E27" i="8" l="1"/>
  <c r="C69" i="8"/>
  <c r="D71" i="8" l="1"/>
  <c r="D69" i="8"/>
  <c r="D60" i="8"/>
  <c r="D59" i="8"/>
  <c r="C71" i="8" l="1"/>
  <c r="D72" i="8"/>
  <c r="C72" i="8"/>
</calcChain>
</file>

<file path=xl/sharedStrings.xml><?xml version="1.0" encoding="utf-8"?>
<sst xmlns="http://schemas.openxmlformats.org/spreadsheetml/2006/main" count="579" uniqueCount="332">
  <si>
    <t>Шифр</t>
  </si>
  <si>
    <t>А</t>
  </si>
  <si>
    <t>Б</t>
  </si>
  <si>
    <t>В</t>
  </si>
  <si>
    <t>Наименование</t>
  </si>
  <si>
    <t>Номер цеха</t>
  </si>
  <si>
    <t>Таблица 1.3. Сведения о технологическом процессе изготовления изделия</t>
  </si>
  <si>
    <t>Номер операции</t>
  </si>
  <si>
    <t>Наименование операции</t>
  </si>
  <si>
    <t>Норма времени, мин/шт.</t>
  </si>
  <si>
    <t>Показатели</t>
  </si>
  <si>
    <t>Изделия</t>
  </si>
  <si>
    <t>1. Вид заготовки</t>
  </si>
  <si>
    <t>2. Материалы</t>
  </si>
  <si>
    <t>Наименование показателя</t>
  </si>
  <si>
    <t>Единица измерения</t>
  </si>
  <si>
    <t>Изделие</t>
  </si>
  <si>
    <t>Заготовка</t>
  </si>
  <si>
    <t>Материал</t>
  </si>
  <si>
    <t>Масса изделия</t>
  </si>
  <si>
    <t>кг/шт.</t>
  </si>
  <si>
    <t>Норма расхода материала</t>
  </si>
  <si>
    <t>Коэффициент использования материала</t>
  </si>
  <si>
    <t>%</t>
  </si>
  <si>
    <t>Цена материала</t>
  </si>
  <si>
    <t>руб./кг</t>
  </si>
  <si>
    <t>Цена отходов</t>
  </si>
  <si>
    <t>Таблица 2.1 Характеристика изделий</t>
  </si>
  <si>
    <t>№ операции</t>
  </si>
  <si>
    <t>Оборудование</t>
  </si>
  <si>
    <t>Трудоемкость операции, ч</t>
  </si>
  <si>
    <t>ИТОГО</t>
  </si>
  <si>
    <t>Таблица 2.2 Технологические процессы обработки деталей</t>
  </si>
  <si>
    <t>Марка оборудования</t>
  </si>
  <si>
    <t>Тип</t>
  </si>
  <si>
    <t>Габариты, мм</t>
  </si>
  <si>
    <t>Потребляемая мощность, кВт</t>
  </si>
  <si>
    <t>Цена, тыс. руб.</t>
  </si>
  <si>
    <t>Д</t>
  </si>
  <si>
    <t>Ш</t>
  </si>
  <si>
    <t>Таблица 2.3 Описание необходимого оборудования для выполнения производственной программы</t>
  </si>
  <si>
    <t>Операция</t>
  </si>
  <si>
    <t>Трудоемкость на ПП</t>
  </si>
  <si>
    <t>Т с запасом, ч</t>
  </si>
  <si>
    <t>Т пл, ч</t>
  </si>
  <si>
    <t>Наименование оборудования</t>
  </si>
  <si>
    <t>Трудоемкость на программу</t>
  </si>
  <si>
    <t>Плановый % потерь времени*, ч</t>
  </si>
  <si>
    <t>Итоговая трудоемкость</t>
  </si>
  <si>
    <t>Q пр, шт.</t>
  </si>
  <si>
    <t>Стоимость оборудования, тыс. руб.</t>
  </si>
  <si>
    <t>единицы</t>
  </si>
  <si>
    <t>суммарная</t>
  </si>
  <si>
    <t>х</t>
  </si>
  <si>
    <t>Таблица 3.1 Расчет потребности в оборудовании для основного производства</t>
  </si>
  <si>
    <t>Доля от основного оборудования</t>
  </si>
  <si>
    <t>Стоимость, тыс. руб.</t>
  </si>
  <si>
    <t>ремонтное</t>
  </si>
  <si>
    <t>для заточки</t>
  </si>
  <si>
    <t>транспортные средства</t>
  </si>
  <si>
    <t>хозяйственный инвентарь (столы, стулья и пр.)</t>
  </si>
  <si>
    <t>Таблица 3.2 Планирование ремонтного оборудования и вспомогательного(укрупненный подход)</t>
  </si>
  <si>
    <t>S на ед., кв. м</t>
  </si>
  <si>
    <t>S пр*, кв. м</t>
  </si>
  <si>
    <t>Таблица 3.3 Расчёт потребности в площадях</t>
  </si>
  <si>
    <t>Вид площади</t>
  </si>
  <si>
    <t>Производственная площадь</t>
  </si>
  <si>
    <t>Таблица 3.4 Расчёт потребных площадей</t>
  </si>
  <si>
    <t>Стоимость единицы, тыс. руб.</t>
  </si>
  <si>
    <t>Итого</t>
  </si>
  <si>
    <t>Таблица 3.6 Баланс наличия и потребности оборудования</t>
  </si>
  <si>
    <t>Выпуск продукции по плану, шт.</t>
  </si>
  <si>
    <t>Таблцица 4.1 Данные по выпуску и ЧТС</t>
  </si>
  <si>
    <t>Виды доплат</t>
  </si>
  <si>
    <t>Производственные рабочие</t>
  </si>
  <si>
    <t>Вспомогательные рабочие</t>
  </si>
  <si>
    <t>1. За работу в ночное время</t>
  </si>
  <si>
    <t>Наименование показателей</t>
  </si>
  <si>
    <t>Ед. измерения</t>
  </si>
  <si>
    <t>По плану на год</t>
  </si>
  <si>
    <t>1. Календарный фонд времени</t>
  </si>
  <si>
    <t>дни</t>
  </si>
  <si>
    <t>2. Количество выходных и праздничных дней</t>
  </si>
  <si>
    <t>3. Количество календарных рабочих дней</t>
  </si>
  <si>
    <t>в том числе:</t>
  </si>
  <si>
    <t>5. Число рабочих дней в году</t>
  </si>
  <si>
    <t>6. Средняя продолжительность рабочего дня</t>
  </si>
  <si>
    <t>час</t>
  </si>
  <si>
    <t>7. Эффективный фонд рабочего времени одного рабочего</t>
  </si>
  <si>
    <t>Таблица 5.1. Расчет фонда рабочего времени (одного рабочего при пятидневной рабочей неделе) на планируемый год</t>
  </si>
  <si>
    <t>Продукция</t>
  </si>
  <si>
    <t>Выпуск готовой продукции в планируемом году, шт.</t>
  </si>
  <si>
    <t>Трудоемкость продукции</t>
  </si>
  <si>
    <t>Единицы, нормо-час.</t>
  </si>
  <si>
    <t>Всего, нормо-час.</t>
  </si>
  <si>
    <t>Таблица 5.2. Расчет трудоемкости готовой продукции</t>
  </si>
  <si>
    <t>План на год</t>
  </si>
  <si>
    <t>1. Трудоемкость продукции на программу</t>
  </si>
  <si>
    <t>нормо-час</t>
  </si>
  <si>
    <t>2. Планируемый процент выполнения норм выработки</t>
  </si>
  <si>
    <t>3. Трудоемкость продукции на программу с учетом планируемого процента выполнения норм выработки</t>
  </si>
  <si>
    <t>4. Эффективный фонд рабочего времени одного рабочего в году</t>
  </si>
  <si>
    <t>час.</t>
  </si>
  <si>
    <t>5. Численность производственных рабочих, занятых на нормируемых работах (сдельщиков)</t>
  </si>
  <si>
    <t>чел.</t>
  </si>
  <si>
    <t>6. Численность вспомогательных рабочих, всего -</t>
  </si>
  <si>
    <t>повременщиков</t>
  </si>
  <si>
    <t>на окладах</t>
  </si>
  <si>
    <t>Всего рабочих</t>
  </si>
  <si>
    <t>Таблица 5.3. Расчет численности рабочих</t>
  </si>
  <si>
    <t>№ п/п</t>
  </si>
  <si>
    <t>Выпуск готовой продукции в пла-нируемом году, шт.</t>
  </si>
  <si>
    <t>Сдельная расценка за ед. продукции, руб.</t>
  </si>
  <si>
    <t>ФЗП по сдельным расценкам, тыс. руб.</t>
  </si>
  <si>
    <t>Всего</t>
  </si>
  <si>
    <t>Таблица 5.4. Расчет сдельной расценки и фонда заработной платы рабочих-сдельщиков</t>
  </si>
  <si>
    <t>Таблица 6.1. Расчет фонда заработной платы рабочих</t>
  </si>
  <si>
    <t>По плану на год, тыс. руб.</t>
  </si>
  <si>
    <t>Фонд прямой заработной платы рабочих:</t>
  </si>
  <si>
    <t xml:space="preserve"> -рабочие-сдельщики</t>
  </si>
  <si>
    <t xml:space="preserve"> -рабочие-повременщики, включая рабочих на окладах</t>
  </si>
  <si>
    <t>Итого фонд основной заработной платы рабочих</t>
  </si>
  <si>
    <t xml:space="preserve">Дополнительная заработная плата, входящая в фонд заработной платы рабочих - всего в том числе: </t>
  </si>
  <si>
    <t>Годовой фонд заработной платы</t>
  </si>
  <si>
    <t>Наименование категории работников</t>
  </si>
  <si>
    <t>Численность, чел.</t>
  </si>
  <si>
    <t>Среднемесячная заработная плата, руб.</t>
  </si>
  <si>
    <t>Годовой фонд заработной платы, тыс. руб.</t>
  </si>
  <si>
    <t>Служащие</t>
  </si>
  <si>
    <t>Итого:</t>
  </si>
  <si>
    <t>Таблица 6.2. Расчет фонда заработной платы руководителей, специалистов, служащих</t>
  </si>
  <si>
    <t>Таблица 6.3. План по труду и заработной плате</t>
  </si>
  <si>
    <t>На планируемый год</t>
  </si>
  <si>
    <t>Численность промышленно-производственного</t>
  </si>
  <si>
    <t>персонала - всего</t>
  </si>
  <si>
    <t>рабочие</t>
  </si>
  <si>
    <t>руководители</t>
  </si>
  <si>
    <t>специалисты</t>
  </si>
  <si>
    <t>служащие</t>
  </si>
  <si>
    <t>Годовой фонд заработной платы промышленно-</t>
  </si>
  <si>
    <t>производственного персонала - всего</t>
  </si>
  <si>
    <t>тыс. руб.</t>
  </si>
  <si>
    <t>Среднемесячная заработная плата промышленно-</t>
  </si>
  <si>
    <t>руб.</t>
  </si>
  <si>
    <t>Таблица 7.1. Расчет потребности в основных материалах</t>
  </si>
  <si>
    <t>Норма расхода материала Нр, кг</t>
  </si>
  <si>
    <t>Цена материала Ц, руб. за кг</t>
  </si>
  <si>
    <t>Стоимость материала</t>
  </si>
  <si>
    <t>на единицу изделия, руб.</t>
  </si>
  <si>
    <t>на программу, тыс. руб.</t>
  </si>
  <si>
    <t>Норма расхода, кг/станок</t>
  </si>
  <si>
    <t>Количество станков</t>
  </si>
  <si>
    <t>Общая по-требность в материалах, кг/л</t>
  </si>
  <si>
    <t>Цена 1кг/л материала, руб.*</t>
  </si>
  <si>
    <t>Таблица 7.3. Затраты на электроэнергию для производственных нужд</t>
  </si>
  <si>
    <t>Станок</t>
  </si>
  <si>
    <t>Количество, шт.</t>
  </si>
  <si>
    <t>Мощность, кВт</t>
  </si>
  <si>
    <t>Коэффициент загрузки двигателя по мощности</t>
  </si>
  <si>
    <t>Коэффициент загрузки двигателя по времени</t>
  </si>
  <si>
    <t>Годовой эффективный фонд времени</t>
  </si>
  <si>
    <t>Стоимость 1 кВт силовой энергии, тыс. руб.</t>
  </si>
  <si>
    <t>Общая потребность, тыс. руб.</t>
  </si>
  <si>
    <t>Таблица 7.4. Затраты на электроэнергию для освещения</t>
  </si>
  <si>
    <t>Тип помещения</t>
  </si>
  <si>
    <t>Продолжительность горения электроламп в год при соответствующем числе рабочих смен, ч</t>
  </si>
  <si>
    <t>Коэффициент одновременного горения светильников</t>
  </si>
  <si>
    <t>Стоимость 1 кВт электроэнергии, руб.</t>
  </si>
  <si>
    <t>Годовая потребность в электроэнергии, тыс. руб.</t>
  </si>
  <si>
    <t>Производственное</t>
  </si>
  <si>
    <t>Вспомогательное</t>
  </si>
  <si>
    <t>Служебно-бытовое</t>
  </si>
  <si>
    <t>Таблица 7.5. Прочие затраты, связанных с обслуживанием производства</t>
  </si>
  <si>
    <t>Затраты на воду, необходимую для бытовых нужд, тыс. руб.</t>
  </si>
  <si>
    <t>Стоимость СИЗ на всех работников, тыс. руб.</t>
  </si>
  <si>
    <t>ИТОГО, тыс. руб.</t>
  </si>
  <si>
    <t>Таблица 8.1. Калькуляция себестоимости выпуска по элементам затрат</t>
  </si>
  <si>
    <t>Элементы затрат</t>
  </si>
  <si>
    <t>Величина затрат,</t>
  </si>
  <si>
    <t>Структура затрат,</t>
  </si>
  <si>
    <t>1. Материальные затраты</t>
  </si>
  <si>
    <t>1.1. Сырье и материалы</t>
  </si>
  <si>
    <t>1.2. Покупные комплектующие изделия и полуфабрикаты</t>
  </si>
  <si>
    <t>1.3. Топливо и энергия на технологические цели</t>
  </si>
  <si>
    <t>2. Затраты на оплату труда</t>
  </si>
  <si>
    <t>2.1. По расценкам и тарифным ставкам (прямая)</t>
  </si>
  <si>
    <t>2.2. Доплаты по премиальным системам</t>
  </si>
  <si>
    <t>Арендная плата</t>
  </si>
  <si>
    <t>Расходы на содержание и эксплуатацию оборудования</t>
  </si>
  <si>
    <t>Общецеховые расходы</t>
  </si>
  <si>
    <t>Таблица 8.2. Расчет прибыли от реализации</t>
  </si>
  <si>
    <t>Наименование изделия</t>
  </si>
  <si>
    <t>Выпуск, шт.</t>
  </si>
  <si>
    <t>Цеховая себестоимость, тыс. руб.</t>
  </si>
  <si>
    <t>Коммерческие расходы, тыс. руб.</t>
  </si>
  <si>
    <t>Управлен-ческие расходы, тыс. руб.</t>
  </si>
  <si>
    <t>Полная себестоимость, тыс. руб.</t>
  </si>
  <si>
    <t>Прибыль от операций, тыс. руб.</t>
  </si>
  <si>
    <t>Таблица 8.3. Основные технико-экономические показатели предприятия</t>
  </si>
  <si>
    <t>Значение показателя</t>
  </si>
  <si>
    <t>Абсолютные показатели</t>
  </si>
  <si>
    <t>Годовой выпуск</t>
  </si>
  <si>
    <t>В натуральном выражении</t>
  </si>
  <si>
    <t>шт.</t>
  </si>
  <si>
    <t>В денежном выражении</t>
  </si>
  <si>
    <t>Общая стоимость ОПФ</t>
  </si>
  <si>
    <t>В том числе</t>
  </si>
  <si>
    <t>Здания и сооружения</t>
  </si>
  <si>
    <t>Машины и оборудование</t>
  </si>
  <si>
    <t>Инструменты</t>
  </si>
  <si>
    <t>Общая площадь цеха</t>
  </si>
  <si>
    <t>Производственная</t>
  </si>
  <si>
    <t>Вспомогательная</t>
  </si>
  <si>
    <t>Служебно-бытовая</t>
  </si>
  <si>
    <t>Численность персонала</t>
  </si>
  <si>
    <t>Основных производственных рабочих</t>
  </si>
  <si>
    <t>Вспомогательных рабочих</t>
  </si>
  <si>
    <t>Служащих и специалистов</t>
  </si>
  <si>
    <t>Фонд заработной платы</t>
  </si>
  <si>
    <t>Относительные показатели</t>
  </si>
  <si>
    <t>Фондоотдача</t>
  </si>
  <si>
    <t>руб./руб.</t>
  </si>
  <si>
    <t>Фондоемкость</t>
  </si>
  <si>
    <t>Фондовооруженность</t>
  </si>
  <si>
    <t>тыс. руб./чел.</t>
  </si>
  <si>
    <t>Рентабельность продаж</t>
  </si>
  <si>
    <t>Рентабельность затрат</t>
  </si>
  <si>
    <t>Производительность труда</t>
  </si>
  <si>
    <t>Съем продукции с единицы оборудования</t>
  </si>
  <si>
    <t>Кол-во, шт.</t>
  </si>
  <si>
    <t>Таблица 1.1. Годовая программа выпуска изделий</t>
  </si>
  <si>
    <t>Таблица 1.2. Последовательность операций технологического процесса изготовления изделий</t>
  </si>
  <si>
    <t>Таблица 1.4. Сведения о заготовке и массе изделия</t>
  </si>
  <si>
    <t>Свитшот</t>
  </si>
  <si>
    <t>Штаны</t>
  </si>
  <si>
    <t>Футболка</t>
  </si>
  <si>
    <t>1 - Раскройка</t>
  </si>
  <si>
    <t>2 - Оверлок</t>
  </si>
  <si>
    <t>3 - Сшивание деталей</t>
  </si>
  <si>
    <t>4 - Проглажка</t>
  </si>
  <si>
    <t>1-2-3-4</t>
  </si>
  <si>
    <t>Упаковка</t>
  </si>
  <si>
    <t>Подготовка ткани к раскрою</t>
  </si>
  <si>
    <t>Раскрой</t>
  </si>
  <si>
    <t>Пошив изделия</t>
  </si>
  <si>
    <t>Отделка изделия</t>
  </si>
  <si>
    <t>Норма времени на изделие, мин/шт. (суммарно)</t>
  </si>
  <si>
    <t>Метров в 1 кг</t>
  </si>
  <si>
    <t>3. Масса изделия,  кг/шт.</t>
  </si>
  <si>
    <t>Кг в одном метре</t>
  </si>
  <si>
    <t>Кулирка</t>
  </si>
  <si>
    <t>Футер</t>
  </si>
  <si>
    <t>Ткань</t>
  </si>
  <si>
    <t>5. Цена материала, руб./кг.</t>
  </si>
  <si>
    <t>Цена ткани, рублей/кг</t>
  </si>
  <si>
    <t>Раскройный стол</t>
  </si>
  <si>
    <t>Оверлок, раскройный стол, распошивальная машинка</t>
  </si>
  <si>
    <t>Распошивальная машинка, оверлок, режущий плоттер</t>
  </si>
  <si>
    <t>Раскройный стол, ножницы</t>
  </si>
  <si>
    <t>Парогенератор, пресс для термофиксации</t>
  </si>
  <si>
    <t>Оверлок Jack JK-T109</t>
  </si>
  <si>
    <t>Jack</t>
  </si>
  <si>
    <t>Промышленная швейная машина Jack W4-D-01GB</t>
  </si>
  <si>
    <t>VP 4050A VELLES Heat press</t>
  </si>
  <si>
    <t>VELLES</t>
  </si>
  <si>
    <t>REDSAIL</t>
  </si>
  <si>
    <t>RS720C</t>
  </si>
  <si>
    <t>JATI JT-2002</t>
  </si>
  <si>
    <t>JATI</t>
  </si>
  <si>
    <t>На заказ</t>
  </si>
  <si>
    <t>REDSAIL RS720C</t>
  </si>
  <si>
    <t>Технологический процесс обработки свитшота PMKV</t>
  </si>
  <si>
    <t>Технологический процесс обработки штанов PMKV</t>
  </si>
  <si>
    <t>Технологический процесс обработки футболки PMKV</t>
  </si>
  <si>
    <t>Служебно-бытовая площадь</t>
  </si>
  <si>
    <t>Вспомогательная площадь</t>
  </si>
  <si>
    <t>Стул</t>
  </si>
  <si>
    <t>Рабочий стол</t>
  </si>
  <si>
    <t>Стеллаж</t>
  </si>
  <si>
    <t>Диван</t>
  </si>
  <si>
    <t>Резак для ткани</t>
  </si>
  <si>
    <t>Суммарная стоимость, тыс.руб.</t>
  </si>
  <si>
    <t>4. Норма расхода ткани на изделие, кг/шт.</t>
  </si>
  <si>
    <t>Таблица 2.4 Расчет трудоемкости производственной программы (ПП) по операциям</t>
  </si>
  <si>
    <t>Свитшот PMKV</t>
  </si>
  <si>
    <t>Штаны PMKV</t>
  </si>
  <si>
    <t>Футболка PMKV</t>
  </si>
  <si>
    <t>Подготовка ткани к раскрою, упаковка</t>
  </si>
  <si>
    <t>Сдельная ставка, руб/шт.</t>
  </si>
  <si>
    <t xml:space="preserve">1. За работу в ночное время </t>
  </si>
  <si>
    <t>2. За работу в выходные и праздничные дни</t>
  </si>
  <si>
    <t>3. Прочие</t>
  </si>
  <si>
    <t>-</t>
  </si>
  <si>
    <t>Таблица 4.2. Размер дополнительной заработная платы, в % к сдельной ставке</t>
  </si>
  <si>
    <t>4. Предполагаемые пропуски</t>
  </si>
  <si>
    <t>2. Прочие</t>
  </si>
  <si>
    <t>Таблица 7.2. Затраты на вспомогательные материалы на производственную программу</t>
  </si>
  <si>
    <t>Машинное масло, л</t>
  </si>
  <si>
    <t>Маркеры для ткани, шт</t>
  </si>
  <si>
    <t>Булавки, шт</t>
  </si>
  <si>
    <t>Иглы, шт</t>
  </si>
  <si>
    <t>Мусорные пакеты, шт</t>
  </si>
  <si>
    <t>Страхование имущества</t>
  </si>
  <si>
    <t>Расход на отопление, тыс. руб.</t>
  </si>
  <si>
    <t>Нитки</t>
  </si>
  <si>
    <t>Норма расхода материала Нр, метров</t>
  </si>
  <si>
    <t>Цена материала Ц, руб. за метр</t>
  </si>
  <si>
    <t>Киперная лента</t>
  </si>
  <si>
    <r>
      <t>Площадь помещения, 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</si>
  <si>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Часовой расход электроэнергии, кВт/м</t>
    </r>
    <r>
      <rPr>
        <vertAlign val="superscript"/>
        <sz val="14"/>
        <color theme="1"/>
        <rFont val="Times New Roman"/>
        <family val="1"/>
        <charset val="204"/>
      </rPr>
      <t>2</t>
    </r>
  </si>
  <si>
    <t>3. Прочие затраты</t>
  </si>
  <si>
    <r>
      <t>м</t>
    </r>
    <r>
      <rPr>
        <vertAlign val="superscript"/>
        <sz val="14"/>
        <rFont val="Times New Roman"/>
        <family val="1"/>
        <charset val="204"/>
      </rPr>
      <t>2</t>
    </r>
  </si>
  <si>
    <r>
      <t>Съем продукции с 1 м</t>
    </r>
    <r>
      <rPr>
        <vertAlign val="superscript"/>
        <sz val="14"/>
        <rFont val="Times New Roman"/>
        <family val="1"/>
        <charset val="204"/>
      </rPr>
      <t>2</t>
    </r>
    <r>
      <rPr>
        <sz val="14"/>
        <rFont val="Times New Roman"/>
        <family val="1"/>
        <charset val="204"/>
      </rPr>
      <t xml:space="preserve"> площади</t>
    </r>
  </si>
  <si>
    <t>Выручка, тыс. руб. (с учетом НДС)</t>
  </si>
  <si>
    <t>Цена с НДС, руб</t>
  </si>
  <si>
    <t>Прибыль от операций, тыс. руб. ( с учетом налога на прибыль  и обязательных страховых взносов)</t>
  </si>
  <si>
    <t>№</t>
  </si>
  <si>
    <t>Статьи расходов</t>
  </si>
  <si>
    <t>Значение</t>
  </si>
  <si>
    <t>за месяц, руб.</t>
  </si>
  <si>
    <t xml:space="preserve"> за год, руб.</t>
  </si>
  <si>
    <t>Доходы от продаж</t>
  </si>
  <si>
    <t>Расходы</t>
  </si>
  <si>
    <t>Валовая прибыль</t>
  </si>
  <si>
    <t>Налоги*</t>
  </si>
  <si>
    <t>Чистая прибыль</t>
  </si>
  <si>
    <t>Таблица 8.4 Прогноз доходов и расходов</t>
  </si>
  <si>
    <t>Итого выручка, тыс. руб. (с учетом НДС)</t>
  </si>
  <si>
    <t>Итого выручка, тыс. руб. (без учета НДС)</t>
  </si>
  <si>
    <r>
      <t xml:space="preserve">Площадь </t>
    </r>
    <r>
      <rPr>
        <i/>
        <sz val="14"/>
        <color theme="1"/>
        <rFont val="Times New Roman"/>
        <family val="1"/>
        <charset val="204"/>
      </rPr>
      <t>S k, кв. м</t>
    </r>
  </si>
  <si>
    <r>
      <t xml:space="preserve">Цена аренды в месяц </t>
    </r>
    <r>
      <rPr>
        <i/>
        <sz val="14"/>
        <color theme="1"/>
        <rFont val="Times New Roman"/>
        <family val="1"/>
        <charset val="204"/>
      </rPr>
      <t>Ц k, руб. за кв. м</t>
    </r>
  </si>
  <si>
    <r>
      <t xml:space="preserve">Итого стоимость аренды* за год, </t>
    </r>
    <r>
      <rPr>
        <i/>
        <sz val="14"/>
        <color theme="1"/>
        <rFont val="Times New Roman"/>
        <family val="1"/>
        <charset val="204"/>
      </rPr>
      <t>тыс. руб.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</si>
</sst>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/>
    <xf numFmtId="0" fontId="3" fillId="2" borderId="1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2" fontId="6" fillId="2" borderId="6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0" fontId="6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/>
    <xf numFmtId="2" fontId="5" fillId="2" borderId="1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5" fillId="2" borderId="6" xfId="0" applyNumberFormat="1" applyFont="1" applyFill="1" applyBorder="1" applyAlignment="1">
      <alignment horizontal="center" vertical="center" wrapText="1"/>
    </xf>
    <xf numFmtId="2" fontId="5" fillId="2" borderId="5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0" xfId="0" applyFont="1" applyFill="1"/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2" fontId="3" fillId="2" borderId="0" xfId="0" applyNumberFormat="1" applyFont="1" applyFill="1"/>
    <xf numFmtId="0" fontId="3" fillId="2" borderId="11" xfId="0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14" fontId="5" fillId="2" borderId="1" xfId="0" applyNumberFormat="1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vertical="center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7" fontId="5" fillId="2" borderId="0" xfId="0" applyNumberFormat="1" applyFont="1" applyFill="1"/>
    <xf numFmtId="0" fontId="5" fillId="2" borderId="6" xfId="0" applyFont="1" applyFill="1" applyBorder="1" applyAlignment="1">
      <alignment vertical="top" wrapText="1"/>
    </xf>
    <xf numFmtId="4" fontId="5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justify" vertical="center"/>
    </xf>
    <xf numFmtId="4" fontId="3" fillId="2" borderId="6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top"/>
    </xf>
    <xf numFmtId="0" fontId="3" fillId="2" borderId="0" xfId="0" applyFont="1" applyFill="1" applyAlignment="1">
      <alignment vertical="center" wrapText="1"/>
    </xf>
    <xf numFmtId="2" fontId="6" fillId="2" borderId="1" xfId="0" applyNumberFormat="1" applyFont="1" applyFill="1" applyBorder="1"/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1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justify" vertical="center"/>
    </xf>
    <xf numFmtId="0" fontId="5" fillId="2" borderId="5" xfId="0" applyFont="1" applyFill="1" applyBorder="1" applyAlignment="1">
      <alignment horizontal="justify" vertical="center"/>
    </xf>
    <xf numFmtId="0" fontId="5" fillId="2" borderId="2" xfId="0" applyFont="1" applyFill="1" applyBorder="1" applyAlignment="1">
      <alignment horizontal="justify" vertical="center"/>
    </xf>
    <xf numFmtId="0" fontId="5" fillId="2" borderId="4" xfId="0" applyFont="1" applyFill="1" applyBorder="1" applyAlignment="1">
      <alignment horizontal="justify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0" xfId="0" applyFont="1" applyFill="1"/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Производимая продукция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4B-400C-BCC2-63739566B0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4B-400C-BCC2-63739566B0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4B-400C-BCC2-63739566B0EB}"/>
              </c:ext>
            </c:extLst>
          </c:dPt>
          <c:cat>
            <c:strRef>
              <c:f>'Раздел 1'!$B$3:$B$5</c:f>
              <c:strCache>
                <c:ptCount val="3"/>
                <c:pt idx="0">
                  <c:v>Свитшот</c:v>
                </c:pt>
                <c:pt idx="1">
                  <c:v>Штаны</c:v>
                </c:pt>
                <c:pt idx="2">
                  <c:v>Футболка</c:v>
                </c:pt>
              </c:strCache>
            </c:strRef>
          </c:cat>
          <c:val>
            <c:numRef>
              <c:f>'Раздел 1'!$C$3:$C$5</c:f>
              <c:numCache>
                <c:formatCode>General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6BA-B38D-BAEAEDF0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Калькуляция себестоимости выпуска по элементам затрат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E-4C45-A824-F083C9E5CE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E-4C45-A824-F083C9E5CE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BE-4C45-A824-F083C9E5CE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BE-4C45-A824-F083C9E5CE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BE-4C45-A824-F083C9E5CE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BE-4C45-A824-F083C9E5CE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BE-4C45-A824-F083C9E5CE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BE-4C45-A824-F083C9E5CE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BE-4C45-A824-F083C9E5CE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6BE-4C45-A824-F083C9E5CE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6BE-4C45-A824-F083C9E5CE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'Раздел 8'!$A$4:$A$14</c:f>
              <c:strCache>
                <c:ptCount val="11"/>
                <c:pt idx="0">
                  <c:v>1. Материальные затраты</c:v>
                </c:pt>
                <c:pt idx="1">
                  <c:v>1.1. Сырье и материалы</c:v>
                </c:pt>
                <c:pt idx="2">
                  <c:v>1.2. Покупные комплектующие изделия и полуфабрикаты</c:v>
                </c:pt>
                <c:pt idx="3">
                  <c:v>1.3. Топливо и энергия на технологические цели</c:v>
                </c:pt>
                <c:pt idx="4">
                  <c:v>2. Затраты на оплату труда</c:v>
                </c:pt>
                <c:pt idx="5">
                  <c:v>2.1. По расценкам и тарифным ставкам (прямая)</c:v>
                </c:pt>
                <c:pt idx="6">
                  <c:v>2.2. Доплаты по премиальным системам</c:v>
                </c:pt>
                <c:pt idx="7">
                  <c:v>3. Прочие затраты</c:v>
                </c:pt>
                <c:pt idx="8">
                  <c:v>Арендная плата</c:v>
                </c:pt>
                <c:pt idx="9">
                  <c:v>Расходы на содержание и эксплуатацию оборудования</c:v>
                </c:pt>
                <c:pt idx="10">
                  <c:v>Общецеховые расходы</c:v>
                </c:pt>
              </c:strCache>
            </c:strRef>
          </c:cat>
          <c:val>
            <c:numRef>
              <c:f>'Раздел 8'!$C$4:$C$14</c:f>
              <c:numCache>
                <c:formatCode>0.00%</c:formatCode>
                <c:ptCount val="11"/>
                <c:pt idx="0">
                  <c:v>0.24744805462720226</c:v>
                </c:pt>
                <c:pt idx="1">
                  <c:v>0.21914784783560204</c:v>
                </c:pt>
                <c:pt idx="2">
                  <c:v>1.7755963233940266E-2</c:v>
                </c:pt>
                <c:pt idx="3">
                  <c:v>1.0544243557659949E-2</c:v>
                </c:pt>
                <c:pt idx="4">
                  <c:v>0.51351563147061652</c:v>
                </c:pt>
                <c:pt idx="5">
                  <c:v>0.47608737844797677</c:v>
                </c:pt>
                <c:pt idx="6">
                  <c:v>3.7428253022639683E-2</c:v>
                </c:pt>
                <c:pt idx="7">
                  <c:v>0.23903631390218122</c:v>
                </c:pt>
                <c:pt idx="8">
                  <c:v>0.171750767470289</c:v>
                </c:pt>
                <c:pt idx="9">
                  <c:v>4.1125803912343368E-3</c:v>
                </c:pt>
                <c:pt idx="10">
                  <c:v>3.8919458081987379E-2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650-9F38-467BE6A110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Норма времени на изделие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7E-4093-B23A-FE6DAA0857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7E-4093-B23A-FE6DAA0857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7E-4093-B23A-FE6DAA08576B}"/>
              </c:ext>
            </c:extLst>
          </c:dPt>
          <c:cat>
            <c:strRef>
              <c:f>'Раздел 1'!$G$19:$I$19</c:f>
              <c:strCache>
                <c:ptCount val="3"/>
                <c:pt idx="0">
                  <c:v>Свитшот</c:v>
                </c:pt>
                <c:pt idx="1">
                  <c:v>Штаны</c:v>
                </c:pt>
                <c:pt idx="2">
                  <c:v>Футболка</c:v>
                </c:pt>
              </c:strCache>
            </c:strRef>
          </c:cat>
          <c:val>
            <c:numRef>
              <c:f>'Раздел 1'!$G$20:$I$20</c:f>
              <c:numCache>
                <c:formatCode>General</c:formatCode>
                <c:ptCount val="3"/>
                <c:pt idx="0">
                  <c:v>133</c:v>
                </c:pt>
                <c:pt idx="1">
                  <c:v>118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4-40CF-8B14-41D469BF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Стоимость необходимого оборудования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6B-439B-8BD2-40714838DF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6B-439B-8BD2-40714838DF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6B-439B-8BD2-40714838DF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6B-439B-8BD2-40714838DF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6B-439B-8BD2-40714838DF1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D6B-439B-8BD2-40714838DF15}"/>
              </c:ext>
            </c:extLst>
          </c:dPt>
          <c:cat>
            <c:strRef>
              <c:f>'Раздел 2'!$B$47:$B$52</c:f>
              <c:strCache>
                <c:ptCount val="6"/>
                <c:pt idx="0">
                  <c:v>Оверлок Jack JK-T109</c:v>
                </c:pt>
                <c:pt idx="1">
                  <c:v>Промышленная швейная машина Jack W4-D-01GB</c:v>
                </c:pt>
                <c:pt idx="2">
                  <c:v>VP 4050A VELLES Heat press</c:v>
                </c:pt>
                <c:pt idx="3">
                  <c:v>RS720C</c:v>
                </c:pt>
                <c:pt idx="4">
                  <c:v>JATI JT-2002</c:v>
                </c:pt>
                <c:pt idx="5">
                  <c:v>Раскройный стол</c:v>
                </c:pt>
              </c:strCache>
            </c:strRef>
          </c:cat>
          <c:val>
            <c:numRef>
              <c:f>'Раздел 2'!$F$47:$F$52</c:f>
              <c:numCache>
                <c:formatCode>General</c:formatCode>
                <c:ptCount val="6"/>
                <c:pt idx="0">
                  <c:v>1.32</c:v>
                </c:pt>
                <c:pt idx="1">
                  <c:v>1.32</c:v>
                </c:pt>
                <c:pt idx="2">
                  <c:v>1.8</c:v>
                </c:pt>
                <c:pt idx="3">
                  <c:v>1.2</c:v>
                </c:pt>
                <c:pt idx="4">
                  <c:v>0.8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7-4D91-8D85-23B45A5AC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Трудоемкость по операциям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B8-4B19-9A03-D72B0EFF77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B8-4B19-9A03-D72B0EFF77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B8-4B19-9A03-D72B0EFF77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B8-4B19-9A03-D72B0EFF77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B8-4B19-9A03-D72B0EFF7761}"/>
              </c:ext>
            </c:extLst>
          </c:dPt>
          <c:cat>
            <c:strRef>
              <c:f>'Раздел 2'!$A$63:$A$67</c:f>
              <c:strCache>
                <c:ptCount val="5"/>
                <c:pt idx="0">
                  <c:v>Подготовка ткани к раскрою</c:v>
                </c:pt>
                <c:pt idx="1">
                  <c:v>Раскрой</c:v>
                </c:pt>
                <c:pt idx="2">
                  <c:v>Пошив изделия</c:v>
                </c:pt>
                <c:pt idx="3">
                  <c:v>Отделка изделия</c:v>
                </c:pt>
                <c:pt idx="4">
                  <c:v>Упаковка</c:v>
                </c:pt>
              </c:strCache>
            </c:strRef>
          </c:cat>
          <c:val>
            <c:numRef>
              <c:f>'Раздел 2'!$B$63:$B$67</c:f>
              <c:numCache>
                <c:formatCode>General</c:formatCode>
                <c:ptCount val="5"/>
                <c:pt idx="0">
                  <c:v>618</c:v>
                </c:pt>
                <c:pt idx="1">
                  <c:v>1277.2</c:v>
                </c:pt>
                <c:pt idx="2">
                  <c:v>3502</c:v>
                </c:pt>
                <c:pt idx="3">
                  <c:v>1071.2</c:v>
                </c:pt>
                <c:pt idx="4">
                  <c:v>741.6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1-4296-9246-26E5FCA9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Плата за</a:t>
            </a:r>
            <a:r>
              <a:rPr lang="ru-RU" baseline="0"/>
              <a:t> потребные площади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95-4F16-BCFA-32699EB548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95-4F16-BCFA-32699EB548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95-4F16-BCFA-32699EB54863}"/>
              </c:ext>
            </c:extLst>
          </c:dPt>
          <c:cat>
            <c:strRef>
              <c:f>'Раздел 3'!$A$32:$A$34</c:f>
              <c:strCache>
                <c:ptCount val="3"/>
                <c:pt idx="0">
                  <c:v>Производственная площадь</c:v>
                </c:pt>
                <c:pt idx="1">
                  <c:v>Вспомогательная площадь</c:v>
                </c:pt>
                <c:pt idx="2">
                  <c:v>Служебно-бытовая площадь</c:v>
                </c:pt>
              </c:strCache>
            </c:strRef>
          </c:cat>
          <c:val>
            <c:numRef>
              <c:f>'Раздел 3'!$C$32:$C$34</c:f>
              <c:numCache>
                <c:formatCode>General</c:formatCode>
                <c:ptCount val="3"/>
                <c:pt idx="0">
                  <c:v>19200</c:v>
                </c:pt>
                <c:pt idx="1">
                  <c:v>4800</c:v>
                </c:pt>
                <c:pt idx="2">
                  <c:v>33360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C-459D-99E1-BE27A8B1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Баланс наличия и потребности оборудования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0A-4ECB-9EB8-A1A360CF77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0A-4ECB-9EB8-A1A360CF77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0A-4ECB-9EB8-A1A360CF77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0A-4ECB-9EB8-A1A360CF77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0A-4ECB-9EB8-A1A360CF77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0A-4ECB-9EB8-A1A360CF77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0A-4ECB-9EB8-A1A360CF77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D0A-4ECB-9EB8-A1A360CF77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D0A-4ECB-9EB8-A1A360CF77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D0A-4ECB-9EB8-A1A360CF77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D0A-4ECB-9EB8-A1A360CF7785}"/>
              </c:ext>
            </c:extLst>
          </c:dPt>
          <c:cat>
            <c:strRef>
              <c:f>'Раздел 3'!$A$39:$A$49</c:f>
              <c:strCache>
                <c:ptCount val="11"/>
                <c:pt idx="0">
                  <c:v>Оверлок Jack JK-T109</c:v>
                </c:pt>
                <c:pt idx="1">
                  <c:v>Промышленная швейная машина Jack W4-D-01GB</c:v>
                </c:pt>
                <c:pt idx="2">
                  <c:v>VP 4050A VELLES Heat press</c:v>
                </c:pt>
                <c:pt idx="3">
                  <c:v>REDSAIL RS720C</c:v>
                </c:pt>
                <c:pt idx="4">
                  <c:v>JATI JT-2002</c:v>
                </c:pt>
                <c:pt idx="5">
                  <c:v>Раскройный стол</c:v>
                </c:pt>
                <c:pt idx="6">
                  <c:v>Стул</c:v>
                </c:pt>
                <c:pt idx="7">
                  <c:v>Рабочий стол</c:v>
                </c:pt>
                <c:pt idx="8">
                  <c:v>Стеллаж</c:v>
                </c:pt>
                <c:pt idx="9">
                  <c:v>Диван</c:v>
                </c:pt>
                <c:pt idx="10">
                  <c:v>Резак для ткани</c:v>
                </c:pt>
              </c:strCache>
            </c:strRef>
          </c:cat>
          <c:val>
            <c:numRef>
              <c:f>'Раздел 3'!$D$39:$D$49</c:f>
              <c:numCache>
                <c:formatCode>General</c:formatCode>
                <c:ptCount val="11"/>
                <c:pt idx="0">
                  <c:v>135.82</c:v>
                </c:pt>
                <c:pt idx="1">
                  <c:v>62.777000000000001</c:v>
                </c:pt>
                <c:pt idx="2">
                  <c:v>81.683000000000007</c:v>
                </c:pt>
                <c:pt idx="3">
                  <c:v>14.741</c:v>
                </c:pt>
                <c:pt idx="4">
                  <c:v>15.4</c:v>
                </c:pt>
                <c:pt idx="5">
                  <c:v>29</c:v>
                </c:pt>
                <c:pt idx="6">
                  <c:v>8</c:v>
                </c:pt>
                <c:pt idx="7">
                  <c:v>10</c:v>
                </c:pt>
                <c:pt idx="8">
                  <c:v>35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2-4ED9-9432-130187CB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Вес ставки за произведенное</a:t>
            </a:r>
            <a:r>
              <a:rPr lang="ru-RU" baseline="0"/>
              <a:t> изделие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6D-4239-BC80-D8858A2759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6D-4239-BC80-D8858A2759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6D-4239-BC80-D8858A2759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6D-4239-BC80-D8858A275940}"/>
              </c:ext>
            </c:extLst>
          </c:dPt>
          <c:cat>
            <c:strRef>
              <c:f>'Раздел 4'!$A$3:$A$6</c:f>
              <c:strCache>
                <c:ptCount val="4"/>
                <c:pt idx="0">
                  <c:v>Подготовка ткани к раскрою, упаковка</c:v>
                </c:pt>
                <c:pt idx="1">
                  <c:v>Раскрой</c:v>
                </c:pt>
                <c:pt idx="2">
                  <c:v>Пошив изделия</c:v>
                </c:pt>
                <c:pt idx="3">
                  <c:v>Отделка изделия</c:v>
                </c:pt>
              </c:strCache>
            </c:strRef>
          </c:cat>
          <c:val>
            <c:numRef>
              <c:f>'Раздел 4'!$C$3:$C$6</c:f>
              <c:numCache>
                <c:formatCode>General</c:formatCode>
                <c:ptCount val="4"/>
                <c:pt idx="0">
                  <c:v>50</c:v>
                </c:pt>
                <c:pt idx="1">
                  <c:v>90</c:v>
                </c:pt>
                <c:pt idx="2">
                  <c:v>300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4-4835-B890-7AD93AE6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Процентное соотношение ФЗП рабочих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BC-4EE6-968D-B44569BEC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BC-4EE6-968D-B44569BEC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BC-4EE6-968D-B44569BECB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BC-4EE6-968D-B44569BECB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'Раздел 5'!$B$36:$B$39</c:f>
              <c:strCache>
                <c:ptCount val="4"/>
                <c:pt idx="0">
                  <c:v>Подготовка ткани к раскрою, упаковка</c:v>
                </c:pt>
                <c:pt idx="1">
                  <c:v>Раскрой</c:v>
                </c:pt>
                <c:pt idx="2">
                  <c:v>Пошив изделия</c:v>
                </c:pt>
                <c:pt idx="3">
                  <c:v>Отделка изделия</c:v>
                </c:pt>
              </c:strCache>
            </c:strRef>
          </c:cat>
          <c:val>
            <c:numRef>
              <c:f>'Раздел 5'!$E$36:$E$39</c:f>
              <c:numCache>
                <c:formatCode>General</c:formatCode>
                <c:ptCount val="4"/>
                <c:pt idx="0">
                  <c:v>180000</c:v>
                </c:pt>
                <c:pt idx="1">
                  <c:v>324000</c:v>
                </c:pt>
                <c:pt idx="2">
                  <c:v>1080000</c:v>
                </c:pt>
                <c:pt idx="3">
                  <c:v>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D17-A469-78E350EFFB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Затраты на электроэнергию для освещения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6-41EA-B4DB-43F5785999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6-41EA-B4DB-43F5785999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6-41EA-B4DB-43F57859995E}"/>
              </c:ext>
            </c:extLst>
          </c:dPt>
          <c:dLbls>
            <c:delete val="1"/>
          </c:dLbls>
          <c:cat>
            <c:strRef>
              <c:f>'Раздел 7'!$A$30:$A$32</c:f>
              <c:strCache>
                <c:ptCount val="3"/>
                <c:pt idx="0">
                  <c:v>Производственное</c:v>
                </c:pt>
                <c:pt idx="1">
                  <c:v>Вспомогательное</c:v>
                </c:pt>
                <c:pt idx="2">
                  <c:v>Служебно-бытовое</c:v>
                </c:pt>
              </c:strCache>
            </c:strRef>
          </c:cat>
          <c:val>
            <c:numRef>
              <c:f>'Раздел 7'!$C$30:$C$32</c:f>
              <c:numCache>
                <c:formatCode>General</c:formatCode>
                <c:ptCount val="3"/>
                <c:pt idx="0">
                  <c:v>7.8E-2</c:v>
                </c:pt>
                <c:pt idx="1">
                  <c:v>3.9E-2</c:v>
                </c:pt>
                <c:pt idx="2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9-40A9-8FE7-69B6F82C8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185056</xdr:colOff>
      <xdr:row>1</xdr:row>
      <xdr:rowOff>16328</xdr:rowOff>
    </xdr:from>
    <xdr:to>
      <xdr:col>11</xdr:col>
      <xdr:colOff>217713</xdr:colOff>
      <xdr:row>14</xdr:row>
      <xdr:rowOff>92528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0A7929-FF80-4960-8980-D18863DF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859971</xdr:colOff>
      <xdr:row>15</xdr:row>
      <xdr:rowOff>16329</xdr:rowOff>
    </xdr:from>
    <xdr:to>
      <xdr:col>16</xdr:col>
      <xdr:colOff>511628</xdr:colOff>
      <xdr:row>28</xdr:row>
      <xdr:rowOff>92529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25B52E-77DA-4EE9-91EA-D33F39B27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402770</xdr:colOff>
      <xdr:row>43</xdr:row>
      <xdr:rowOff>125185</xdr:rowOff>
    </xdr:from>
    <xdr:to>
      <xdr:col>17</xdr:col>
      <xdr:colOff>511627</xdr:colOff>
      <xdr:row>59</xdr:row>
      <xdr:rowOff>108857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E3D253-848C-4C39-9763-F9CB022F6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61</xdr:row>
      <xdr:rowOff>103415</xdr:rowOff>
    </xdr:from>
    <xdr:to>
      <xdr:col>11</xdr:col>
      <xdr:colOff>163286</xdr:colOff>
      <xdr:row>80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C11929-F38C-45BE-A804-C43B6CD1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653142</xdr:colOff>
      <xdr:row>27</xdr:row>
      <xdr:rowOff>38100</xdr:rowOff>
    </xdr:from>
    <xdr:to>
      <xdr:col>10</xdr:col>
      <xdr:colOff>544286</xdr:colOff>
      <xdr:row>37</xdr:row>
      <xdr:rowOff>54429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95662C-3C55-4670-BA07-C1F91B9BD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108856</xdr:colOff>
      <xdr:row>37</xdr:row>
      <xdr:rowOff>397327</xdr:rowOff>
    </xdr:from>
    <xdr:to>
      <xdr:col>15</xdr:col>
      <xdr:colOff>163285</xdr:colOff>
      <xdr:row>54</xdr:row>
      <xdr:rowOff>152398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3CC649-0728-4DD2-AF9E-C61867ADF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522514</xdr:colOff>
      <xdr:row>0</xdr:row>
      <xdr:rowOff>114300</xdr:rowOff>
    </xdr:from>
    <xdr:to>
      <xdr:col>10</xdr:col>
      <xdr:colOff>315685</xdr:colOff>
      <xdr:row>11</xdr:row>
      <xdr:rowOff>201386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95894D-1ACC-4BF0-B806-F8D1A1709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32</xdr:row>
      <xdr:rowOff>179615</xdr:rowOff>
    </xdr:from>
    <xdr:to>
      <xdr:col>12</xdr:col>
      <xdr:colOff>566056</xdr:colOff>
      <xdr:row>41</xdr:row>
      <xdr:rowOff>81644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AABAD-BE5F-4C8E-A7F6-C32CB4D3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401781</xdr:colOff>
      <xdr:row>27</xdr:row>
      <xdr:rowOff>69273</xdr:rowOff>
    </xdr:from>
    <xdr:to>
      <xdr:col>15</xdr:col>
      <xdr:colOff>471053</xdr:colOff>
      <xdr:row>33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E6C4E1-6C6C-45D2-AE8B-C21266F9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1981200</xdr:colOff>
      <xdr:row>0</xdr:row>
      <xdr:rowOff>163284</xdr:rowOff>
    </xdr:from>
    <xdr:to>
      <xdr:col>23</xdr:col>
      <xdr:colOff>457200</xdr:colOff>
      <xdr:row>20</xdr:row>
      <xdr:rowOff>609600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5D709B-199A-4769-AE66-2E3976D6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5736-FF95-4831-A7C0-B492BBA54F6C}">
  <dimension ref="A1:AI81"/>
  <sheetViews>
    <sheetView zoomScale="55" zoomScaleNormal="55" workbookViewId="0">
      <selection activeCell="AI81" sqref="A1:AI81"/>
    </sheetView>
  </sheetViews>
  <sheetFormatPr defaultRowHeight="14.4" x14ac:dyDescent="0.3"/>
  <cols>
    <col min="1" max="1" width="30" customWidth="1"/>
    <col min="2" max="2" width="29" customWidth="1"/>
    <col min="3" max="3" width="22" customWidth="1"/>
    <col min="4" max="4" width="30.6640625" customWidth="1"/>
    <col min="5" max="5" width="17.77734375" customWidth="1"/>
    <col min="7" max="7" width="24.44140625" customWidth="1"/>
    <col min="8" max="8" width="18.33203125" customWidth="1"/>
    <col min="9" max="9" width="20.44140625" customWidth="1"/>
    <col min="10" max="10" width="18.44140625" customWidth="1"/>
  </cols>
  <sheetData>
    <row r="1" spans="1:35" ht="18.600000000000001" thickBot="1" x14ac:dyDescent="0.4">
      <c r="A1" s="102" t="s">
        <v>230</v>
      </c>
      <c r="B1" s="103"/>
      <c r="C1" s="104"/>
      <c r="D1" s="48"/>
      <c r="E1" s="48"/>
      <c r="F1" s="48"/>
      <c r="G1" s="48"/>
      <c r="H1" s="48"/>
      <c r="I1" s="48"/>
      <c r="J1" s="4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8.600000000000001" thickBot="1" x14ac:dyDescent="0.4">
      <c r="A2" s="62" t="s">
        <v>0</v>
      </c>
      <c r="B2" s="29" t="s">
        <v>4</v>
      </c>
      <c r="C2" s="29" t="s">
        <v>229</v>
      </c>
      <c r="D2" s="48"/>
      <c r="E2" s="48"/>
      <c r="F2" s="48"/>
      <c r="G2" s="48"/>
      <c r="H2" s="48"/>
      <c r="I2" s="48"/>
      <c r="J2" s="4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18.600000000000001" thickBot="1" x14ac:dyDescent="0.4">
      <c r="A3" s="30" t="s">
        <v>1</v>
      </c>
      <c r="B3" s="63" t="s">
        <v>233</v>
      </c>
      <c r="C3" s="22">
        <v>1200</v>
      </c>
      <c r="D3" s="48"/>
      <c r="E3" s="48"/>
      <c r="F3" s="48"/>
      <c r="G3" s="48"/>
      <c r="H3" s="48"/>
      <c r="I3" s="48"/>
      <c r="J3" s="4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8.600000000000001" thickBot="1" x14ac:dyDescent="0.4">
      <c r="A4" s="30" t="s">
        <v>2</v>
      </c>
      <c r="B4" s="63" t="s">
        <v>234</v>
      </c>
      <c r="C4" s="22">
        <v>1200</v>
      </c>
      <c r="D4" s="48"/>
      <c r="E4" s="48"/>
      <c r="F4" s="48"/>
      <c r="G4" s="48"/>
      <c r="H4" s="48"/>
      <c r="I4" s="48"/>
      <c r="J4" s="4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ht="18.600000000000001" thickBot="1" x14ac:dyDescent="0.4">
      <c r="A5" s="30" t="s">
        <v>3</v>
      </c>
      <c r="B5" s="63" t="s">
        <v>235</v>
      </c>
      <c r="C5" s="22">
        <v>1200</v>
      </c>
      <c r="D5" s="48"/>
      <c r="E5" s="48"/>
      <c r="F5" s="48"/>
      <c r="G5" s="48"/>
      <c r="H5" s="48"/>
      <c r="I5" s="48"/>
      <c r="J5" s="4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18.600000000000001" thickBot="1" x14ac:dyDescent="0.4">
      <c r="A6" s="48"/>
      <c r="B6" s="48"/>
      <c r="C6" s="48"/>
      <c r="D6" s="48"/>
      <c r="E6" s="48"/>
      <c r="F6" s="48"/>
      <c r="G6" s="48"/>
      <c r="H6" s="48"/>
      <c r="I6" s="48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8.600000000000001" thickBot="1" x14ac:dyDescent="0.4">
      <c r="A7" s="64" t="s">
        <v>231</v>
      </c>
      <c r="B7" s="65"/>
      <c r="C7" s="65"/>
      <c r="D7" s="66"/>
      <c r="E7" s="48"/>
      <c r="F7" s="48"/>
      <c r="G7" s="48"/>
      <c r="H7" s="48"/>
      <c r="I7" s="48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18.600000000000001" thickBot="1" x14ac:dyDescent="0.4">
      <c r="A8" s="62" t="s">
        <v>5</v>
      </c>
      <c r="B8" s="63" t="s">
        <v>233</v>
      </c>
      <c r="C8" s="63" t="s">
        <v>234</v>
      </c>
      <c r="D8" s="63" t="s">
        <v>235</v>
      </c>
      <c r="E8" s="48"/>
      <c r="F8" s="48"/>
      <c r="G8" s="48"/>
      <c r="H8" s="48"/>
      <c r="I8" s="48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8.600000000000001" thickBot="1" x14ac:dyDescent="0.4">
      <c r="A9" s="62" t="s">
        <v>236</v>
      </c>
      <c r="B9" s="67" t="s">
        <v>240</v>
      </c>
      <c r="C9" s="68" t="s">
        <v>240</v>
      </c>
      <c r="D9" s="68" t="s">
        <v>240</v>
      </c>
      <c r="E9" s="48"/>
      <c r="F9" s="48"/>
      <c r="G9" s="48"/>
      <c r="H9" s="48"/>
      <c r="I9" s="48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18.600000000000001" thickBot="1" x14ac:dyDescent="0.4">
      <c r="A10" s="69" t="s">
        <v>237</v>
      </c>
      <c r="B10" s="70"/>
      <c r="C10" s="70"/>
      <c r="D10" s="70"/>
      <c r="E10" s="48"/>
      <c r="F10" s="48"/>
      <c r="G10" s="48"/>
      <c r="H10" s="48"/>
      <c r="I10" s="48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8.600000000000001" thickBot="1" x14ac:dyDescent="0.4">
      <c r="A11" s="69" t="s">
        <v>238</v>
      </c>
      <c r="B11" s="70"/>
      <c r="C11" s="70"/>
      <c r="D11" s="70"/>
      <c r="E11" s="48"/>
      <c r="F11" s="48"/>
      <c r="G11" s="48"/>
      <c r="H11" s="48"/>
      <c r="I11" s="48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8.600000000000001" thickBot="1" x14ac:dyDescent="0.4">
      <c r="A12" s="69" t="s">
        <v>239</v>
      </c>
      <c r="B12" s="70"/>
      <c r="C12" s="70"/>
      <c r="D12" s="70"/>
      <c r="E12" s="48"/>
      <c r="F12" s="48"/>
      <c r="G12" s="48"/>
      <c r="H12" s="48"/>
      <c r="I12" s="48"/>
      <c r="J12" s="4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8" x14ac:dyDescent="0.3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8" x14ac:dyDescent="0.3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8" x14ac:dyDescent="0.3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8.600000000000001" thickBot="1" x14ac:dyDescent="0.4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8.600000000000001" thickBot="1" x14ac:dyDescent="0.4">
      <c r="A17" s="102" t="s">
        <v>6</v>
      </c>
      <c r="B17" s="103"/>
      <c r="C17" s="103"/>
      <c r="D17" s="103"/>
      <c r="E17" s="104"/>
      <c r="F17" s="48"/>
      <c r="G17" s="48"/>
      <c r="H17" s="48"/>
      <c r="I17" s="48"/>
      <c r="J17" s="4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8.600000000000001" thickBot="1" x14ac:dyDescent="0.4">
      <c r="A18" s="50" t="s">
        <v>7</v>
      </c>
      <c r="B18" s="50" t="s">
        <v>8</v>
      </c>
      <c r="C18" s="60" t="s">
        <v>9</v>
      </c>
      <c r="D18" s="49"/>
      <c r="E18" s="29"/>
      <c r="F18" s="48"/>
      <c r="G18" s="69" t="s">
        <v>246</v>
      </c>
      <c r="H18" s="69"/>
      <c r="I18" s="69"/>
      <c r="J18" s="4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8.600000000000001" thickBot="1" x14ac:dyDescent="0.4">
      <c r="A19" s="51"/>
      <c r="B19" s="51"/>
      <c r="C19" s="22" t="s">
        <v>233</v>
      </c>
      <c r="D19" s="22" t="s">
        <v>234</v>
      </c>
      <c r="E19" s="22" t="s">
        <v>235</v>
      </c>
      <c r="F19" s="48"/>
      <c r="G19" s="71" t="s">
        <v>233</v>
      </c>
      <c r="H19" s="71" t="s">
        <v>234</v>
      </c>
      <c r="I19" s="71" t="s">
        <v>235</v>
      </c>
      <c r="J19" s="4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8.600000000000001" thickBot="1" x14ac:dyDescent="0.4">
      <c r="A20" s="30">
        <v>1</v>
      </c>
      <c r="B20" s="63" t="s">
        <v>242</v>
      </c>
      <c r="C20" s="72">
        <v>10</v>
      </c>
      <c r="D20" s="22">
        <v>10</v>
      </c>
      <c r="E20" s="22">
        <v>10</v>
      </c>
      <c r="F20" s="48"/>
      <c r="G20" s="72">
        <f>SUM(C20:C24)</f>
        <v>133</v>
      </c>
      <c r="H20" s="72">
        <f>SUM(D20:D24)</f>
        <v>118</v>
      </c>
      <c r="I20" s="72">
        <f>SUM(E20:E24)</f>
        <v>99</v>
      </c>
      <c r="J20" s="4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8.600000000000001" thickBot="1" x14ac:dyDescent="0.4">
      <c r="A21" s="30">
        <v>2</v>
      </c>
      <c r="B21" s="63" t="s">
        <v>243</v>
      </c>
      <c r="C21" s="72">
        <v>26</v>
      </c>
      <c r="D21" s="22">
        <v>21</v>
      </c>
      <c r="E21" s="22">
        <v>15</v>
      </c>
      <c r="F21" s="48"/>
      <c r="G21" s="48"/>
      <c r="H21" s="48"/>
      <c r="I21" s="48"/>
      <c r="J21" s="4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8.600000000000001" thickBot="1" x14ac:dyDescent="0.4">
      <c r="A22" s="30">
        <v>3</v>
      </c>
      <c r="B22" s="63" t="s">
        <v>244</v>
      </c>
      <c r="C22" s="72">
        <v>65</v>
      </c>
      <c r="D22" s="22">
        <v>58</v>
      </c>
      <c r="E22" s="22">
        <v>47</v>
      </c>
      <c r="F22" s="48"/>
      <c r="G22" s="73"/>
      <c r="H22" s="48"/>
      <c r="I22" s="48"/>
      <c r="J22" s="4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8.600000000000001" thickBot="1" x14ac:dyDescent="0.4">
      <c r="A23" s="30">
        <v>4</v>
      </c>
      <c r="B23" s="63" t="s">
        <v>245</v>
      </c>
      <c r="C23" s="72">
        <v>20</v>
      </c>
      <c r="D23" s="22">
        <v>17</v>
      </c>
      <c r="E23" s="22">
        <v>15</v>
      </c>
      <c r="F23" s="48"/>
      <c r="G23" s="48"/>
      <c r="H23" s="48"/>
      <c r="I23" s="48"/>
      <c r="J23" s="4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8.600000000000001" thickBot="1" x14ac:dyDescent="0.4">
      <c r="A24" s="30">
        <v>5</v>
      </c>
      <c r="B24" s="63" t="s">
        <v>241</v>
      </c>
      <c r="C24" s="72">
        <v>12</v>
      </c>
      <c r="D24" s="22">
        <v>12</v>
      </c>
      <c r="E24" s="22">
        <v>12</v>
      </c>
      <c r="F24" s="48"/>
      <c r="G24" s="48"/>
      <c r="H24" s="48"/>
      <c r="I24" s="48"/>
      <c r="J24" s="4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18" x14ac:dyDescent="0.3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18" x14ac:dyDescent="0.3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18.600000000000001" thickBot="1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18.600000000000001" thickBot="1" x14ac:dyDescent="0.4">
      <c r="A28" s="102" t="s">
        <v>232</v>
      </c>
      <c r="B28" s="103"/>
      <c r="C28" s="103"/>
      <c r="D28" s="104"/>
      <c r="E28" s="48"/>
      <c r="F28" s="48"/>
      <c r="G28" s="48"/>
      <c r="H28" s="48"/>
      <c r="I28" s="48"/>
      <c r="J28" s="4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18.600000000000001" thickBot="1" x14ac:dyDescent="0.4">
      <c r="A29" s="105" t="s">
        <v>10</v>
      </c>
      <c r="B29" s="102" t="s">
        <v>11</v>
      </c>
      <c r="C29" s="103"/>
      <c r="D29" s="104"/>
      <c r="E29" s="48"/>
      <c r="F29" s="48"/>
      <c r="G29" s="69" t="s">
        <v>254</v>
      </c>
      <c r="H29" s="69" t="s">
        <v>247</v>
      </c>
      <c r="I29" s="69" t="s">
        <v>249</v>
      </c>
      <c r="J29" s="4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18.600000000000001" thickBot="1" x14ac:dyDescent="0.4">
      <c r="A30" s="106"/>
      <c r="B30" s="22" t="s">
        <v>233</v>
      </c>
      <c r="C30" s="22" t="s">
        <v>234</v>
      </c>
      <c r="D30" s="22" t="s">
        <v>235</v>
      </c>
      <c r="E30" s="48"/>
      <c r="F30" s="69" t="s">
        <v>250</v>
      </c>
      <c r="G30" s="36">
        <v>1152</v>
      </c>
      <c r="H30" s="71">
        <v>3.3</v>
      </c>
      <c r="I30" s="72">
        <v>0.3</v>
      </c>
      <c r="J30" s="4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18.600000000000001" thickBot="1" x14ac:dyDescent="0.4">
      <c r="A31" s="53" t="s">
        <v>12</v>
      </c>
      <c r="B31" s="72" t="s">
        <v>252</v>
      </c>
      <c r="C31" s="72" t="s">
        <v>252</v>
      </c>
      <c r="D31" s="72" t="s">
        <v>252</v>
      </c>
      <c r="E31" s="48"/>
      <c r="F31" s="69" t="s">
        <v>251</v>
      </c>
      <c r="G31" s="71">
        <v>630</v>
      </c>
      <c r="H31" s="72">
        <v>2.4</v>
      </c>
      <c r="I31" s="72">
        <v>0.24</v>
      </c>
      <c r="J31" s="4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8.600000000000001" thickBot="1" x14ac:dyDescent="0.4">
      <c r="A32" s="53" t="s">
        <v>13</v>
      </c>
      <c r="B32" s="72" t="s">
        <v>251</v>
      </c>
      <c r="C32" s="72" t="s">
        <v>251</v>
      </c>
      <c r="D32" s="72" t="s">
        <v>250</v>
      </c>
      <c r="E32" s="48"/>
      <c r="F32" s="48"/>
      <c r="G32" s="48"/>
      <c r="H32" s="48"/>
      <c r="I32" s="48"/>
      <c r="J32" s="4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8.600000000000001" thickBot="1" x14ac:dyDescent="0.4">
      <c r="A33" s="53" t="s">
        <v>248</v>
      </c>
      <c r="B33" s="22">
        <f xml:space="preserve"> 1.2 * I31</f>
        <v>0.28799999999999998</v>
      </c>
      <c r="C33" s="22">
        <f xml:space="preserve"> 1.3 * I31</f>
        <v>0.312</v>
      </c>
      <c r="D33" s="22">
        <f xml:space="preserve"> 0.7 * I30</f>
        <v>0.21</v>
      </c>
      <c r="E33" s="48"/>
      <c r="F33" s="48"/>
      <c r="G33" s="48"/>
      <c r="H33" s="48"/>
      <c r="I33" s="48"/>
      <c r="J33" s="4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36.6" thickBot="1" x14ac:dyDescent="0.4">
      <c r="A34" s="53" t="s">
        <v>282</v>
      </c>
      <c r="B34" s="22">
        <f>B33*1.2</f>
        <v>0.34559999999999996</v>
      </c>
      <c r="C34" s="22">
        <f>C33*1.2</f>
        <v>0.37440000000000001</v>
      </c>
      <c r="D34" s="22">
        <f>D33*1.15</f>
        <v>0.24149999999999996</v>
      </c>
      <c r="E34" s="48"/>
      <c r="F34" s="48"/>
      <c r="G34" s="48"/>
      <c r="H34" s="48"/>
      <c r="I34" s="48"/>
      <c r="J34" s="4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36.6" thickBot="1" x14ac:dyDescent="0.4">
      <c r="A35" s="53" t="s">
        <v>253</v>
      </c>
      <c r="B35" s="71">
        <v>630</v>
      </c>
      <c r="C35" s="71">
        <v>630</v>
      </c>
      <c r="D35" s="36">
        <v>1152</v>
      </c>
      <c r="E35" s="48"/>
      <c r="F35" s="48"/>
      <c r="G35" s="48"/>
      <c r="H35" s="48"/>
      <c r="I35" s="48"/>
      <c r="J35" s="4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</sheetData>
  <customSheetViews>
    <customSheetView guid="{AA87E068-5849-482C-8AC0-FA82B1C10C62}" scale="70">
      <selection activeCell="L8" sqref="L8"/>
      <pageMargins left="0.7" right="0.7" top="0.75" bottom="0.75" header="0.3" footer="0.3"/>
      <pageSetup paperSize="9" orientation="portrait" verticalDpi="0" r:id="rId1"/>
    </customSheetView>
  </customSheetViews>
  <mergeCells count="5">
    <mergeCell ref="A1:C1"/>
    <mergeCell ref="A17:E17"/>
    <mergeCell ref="A29:A30"/>
    <mergeCell ref="B29:D29"/>
    <mergeCell ref="A28:D28"/>
  </mergeCell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BC96-01B2-4E2B-88DE-B5B401270529}">
  <dimension ref="A1:AX218"/>
  <sheetViews>
    <sheetView topLeftCell="A43" zoomScale="55" zoomScaleNormal="55" workbookViewId="0">
      <selection activeCell="AK113" sqref="A1:AK113"/>
    </sheetView>
  </sheetViews>
  <sheetFormatPr defaultRowHeight="14.4" x14ac:dyDescent="0.3"/>
  <cols>
    <col min="1" max="1" width="35.109375" customWidth="1"/>
    <col min="2" max="2" width="24.33203125" customWidth="1"/>
    <col min="3" max="3" width="22.5546875" customWidth="1"/>
    <col min="4" max="4" width="16.44140625" customWidth="1"/>
    <col min="5" max="5" width="23.5546875" customWidth="1"/>
  </cols>
  <sheetData>
    <row r="1" spans="1:50" ht="18.600000000000001" thickBot="1" x14ac:dyDescent="0.4">
      <c r="A1" s="111" t="s">
        <v>27</v>
      </c>
      <c r="B1" s="112"/>
      <c r="C1" s="112"/>
      <c r="D1" s="112"/>
      <c r="E1" s="113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8.600000000000001" thickBot="1" x14ac:dyDescent="0.4">
      <c r="A2" s="114" t="s">
        <v>14</v>
      </c>
      <c r="B2" s="114" t="s">
        <v>15</v>
      </c>
      <c r="C2" s="116" t="s">
        <v>16</v>
      </c>
      <c r="D2" s="117"/>
      <c r="E2" s="11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8.600000000000001" thickBot="1" x14ac:dyDescent="0.4">
      <c r="A3" s="122"/>
      <c r="B3" s="122"/>
      <c r="C3" s="36" t="s">
        <v>1</v>
      </c>
      <c r="D3" s="36" t="s">
        <v>2</v>
      </c>
      <c r="E3" s="36" t="s">
        <v>3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8.600000000000001" thickBot="1" x14ac:dyDescent="0.4">
      <c r="A4" s="115"/>
      <c r="B4" s="115"/>
      <c r="C4" s="22" t="s">
        <v>233</v>
      </c>
      <c r="D4" s="22" t="s">
        <v>234</v>
      </c>
      <c r="E4" s="22" t="s">
        <v>235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8.600000000000001" thickBot="1" x14ac:dyDescent="0.4">
      <c r="A5" s="53" t="s">
        <v>17</v>
      </c>
      <c r="B5" s="74"/>
      <c r="C5" s="72" t="s">
        <v>252</v>
      </c>
      <c r="D5" s="72" t="s">
        <v>252</v>
      </c>
      <c r="E5" s="72" t="s">
        <v>252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8.600000000000001" thickBot="1" x14ac:dyDescent="0.4">
      <c r="A6" s="53" t="s">
        <v>18</v>
      </c>
      <c r="B6" s="74"/>
      <c r="C6" s="72" t="s">
        <v>251</v>
      </c>
      <c r="D6" s="72" t="s">
        <v>251</v>
      </c>
      <c r="E6" s="72" t="s">
        <v>250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8.600000000000001" thickBot="1" x14ac:dyDescent="0.4">
      <c r="A7" s="53" t="s">
        <v>19</v>
      </c>
      <c r="B7" s="36" t="s">
        <v>20</v>
      </c>
      <c r="C7" s="22">
        <f>'Раздел 1'!B33</f>
        <v>0.28799999999999998</v>
      </c>
      <c r="D7" s="22">
        <f>'Раздел 1'!C33</f>
        <v>0.312</v>
      </c>
      <c r="E7" s="22">
        <f>'Раздел 1'!D33</f>
        <v>0.21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8.600000000000001" thickBot="1" x14ac:dyDescent="0.4">
      <c r="A8" s="53" t="s">
        <v>21</v>
      </c>
      <c r="B8" s="36" t="s">
        <v>20</v>
      </c>
      <c r="C8" s="36">
        <f>'Раздел 1'!B34</f>
        <v>0.34559999999999996</v>
      </c>
      <c r="D8" s="36">
        <f>'Раздел 1'!C34</f>
        <v>0.37440000000000001</v>
      </c>
      <c r="E8" s="36">
        <f>'Раздел 1'!D34</f>
        <v>0.24149999999999996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36.6" thickBot="1" x14ac:dyDescent="0.4">
      <c r="A9" s="53" t="s">
        <v>22</v>
      </c>
      <c r="B9" s="36" t="s">
        <v>23</v>
      </c>
      <c r="C9" s="37">
        <f>C7/C8</f>
        <v>0.83333333333333337</v>
      </c>
      <c r="D9" s="37">
        <f t="shared" ref="D9:E9" si="0">D7/D8</f>
        <v>0.83333333333333326</v>
      </c>
      <c r="E9" s="37">
        <f t="shared" si="0"/>
        <v>0.86956521739130443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8.600000000000001" thickBot="1" x14ac:dyDescent="0.4">
      <c r="A10" s="53" t="s">
        <v>24</v>
      </c>
      <c r="B10" s="36" t="s">
        <v>25</v>
      </c>
      <c r="C10" s="71">
        <v>630</v>
      </c>
      <c r="D10" s="71">
        <v>630</v>
      </c>
      <c r="E10" s="36">
        <v>1152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8.600000000000001" thickBot="1" x14ac:dyDescent="0.4">
      <c r="A11" s="53" t="s">
        <v>26</v>
      </c>
      <c r="B11" s="36" t="s">
        <v>25</v>
      </c>
      <c r="C11" s="75">
        <f>C10  * ( 1 -C9)</f>
        <v>104.99999999999997</v>
      </c>
      <c r="D11" s="75">
        <f t="shared" ref="D11:E11" si="1">D10  * ( 1 -D9)</f>
        <v>105.00000000000004</v>
      </c>
      <c r="E11" s="75">
        <f t="shared" si="1"/>
        <v>150.26086956521729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8.600000000000001" thickBot="1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47.4" customHeight="1" thickBot="1" x14ac:dyDescent="0.4">
      <c r="A13" s="116" t="s">
        <v>32</v>
      </c>
      <c r="B13" s="117"/>
      <c r="C13" s="117"/>
      <c r="D13" s="11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8.600000000000001" thickBot="1" x14ac:dyDescent="0.4">
      <c r="A14" s="119" t="s">
        <v>271</v>
      </c>
      <c r="B14" s="120"/>
      <c r="C14" s="120"/>
      <c r="D14" s="121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36.6" thickBot="1" x14ac:dyDescent="0.4">
      <c r="A15" s="53" t="s">
        <v>28</v>
      </c>
      <c r="B15" s="24" t="s">
        <v>8</v>
      </c>
      <c r="C15" s="24" t="s">
        <v>29</v>
      </c>
      <c r="D15" s="24" t="s">
        <v>30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8.600000000000001" thickBot="1" x14ac:dyDescent="0.4">
      <c r="A16" s="53">
        <v>1</v>
      </c>
      <c r="B16" s="63" t="s">
        <v>242</v>
      </c>
      <c r="C16" s="24" t="s">
        <v>255</v>
      </c>
      <c r="D16" s="34">
        <f xml:space="preserve"> 'Раздел 1'!C20 /60</f>
        <v>0.16666666666666666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36.6" thickBot="1" x14ac:dyDescent="0.4">
      <c r="A17" s="53">
        <v>2</v>
      </c>
      <c r="B17" s="63" t="s">
        <v>243</v>
      </c>
      <c r="C17" s="24" t="s">
        <v>258</v>
      </c>
      <c r="D17" s="34">
        <f xml:space="preserve"> 'Раздел 1'!C21 /60</f>
        <v>0.43333333333333335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72.599999999999994" thickBot="1" x14ac:dyDescent="0.4">
      <c r="A18" s="27">
        <v>3</v>
      </c>
      <c r="B18" s="63" t="s">
        <v>244</v>
      </c>
      <c r="C18" s="27" t="s">
        <v>256</v>
      </c>
      <c r="D18" s="34">
        <f xml:space="preserve"> 'Раздел 1'!C22 /60</f>
        <v>1.0833333333333333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54.6" thickBot="1" x14ac:dyDescent="0.4">
      <c r="A19" s="27">
        <v>4</v>
      </c>
      <c r="B19" s="63" t="s">
        <v>245</v>
      </c>
      <c r="C19" s="10" t="s">
        <v>257</v>
      </c>
      <c r="D19" s="34">
        <f xml:space="preserve"> 'Раздел 1'!C23 /60</f>
        <v>0.33333333333333331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54.6" thickBot="1" x14ac:dyDescent="0.4">
      <c r="A20" s="27">
        <v>5</v>
      </c>
      <c r="B20" s="63" t="s">
        <v>241</v>
      </c>
      <c r="C20" s="76" t="s">
        <v>259</v>
      </c>
      <c r="D20" s="34">
        <f xml:space="preserve"> 'Раздел 1'!C24 /60</f>
        <v>0.2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8.600000000000001" thickBot="1" x14ac:dyDescent="0.4">
      <c r="A21" s="27"/>
      <c r="B21" s="27" t="s">
        <v>31</v>
      </c>
      <c r="C21" s="27"/>
      <c r="D21" s="34">
        <f>SUM(D16:D20)</f>
        <v>2.2166666666666668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8.600000000000001" thickBot="1" x14ac:dyDescent="0.4">
      <c r="A22" s="5"/>
      <c r="B22" s="5"/>
      <c r="C22" s="5"/>
      <c r="D22" s="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8.600000000000001" thickBot="1" x14ac:dyDescent="0.4">
      <c r="A23" s="60" t="s">
        <v>272</v>
      </c>
      <c r="B23" s="61"/>
      <c r="C23" s="61"/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36.6" thickBot="1" x14ac:dyDescent="0.4">
      <c r="A24" s="53" t="s">
        <v>28</v>
      </c>
      <c r="B24" s="24" t="s">
        <v>8</v>
      </c>
      <c r="C24" s="24" t="s">
        <v>29</v>
      </c>
      <c r="D24" s="24" t="s">
        <v>30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8.600000000000001" thickBot="1" x14ac:dyDescent="0.4">
      <c r="A25" s="53">
        <v>1</v>
      </c>
      <c r="B25" s="63" t="s">
        <v>242</v>
      </c>
      <c r="C25" s="24" t="s">
        <v>255</v>
      </c>
      <c r="D25" s="39">
        <f>'Раздел 1'!D20 / 60</f>
        <v>0.16666666666666666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36.6" thickBot="1" x14ac:dyDescent="0.4">
      <c r="A26" s="53">
        <v>2</v>
      </c>
      <c r="B26" s="63" t="s">
        <v>243</v>
      </c>
      <c r="C26" s="24" t="s">
        <v>258</v>
      </c>
      <c r="D26" s="39">
        <f>'Раздел 1'!D21 / 60</f>
        <v>0.35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72.599999999999994" thickBot="1" x14ac:dyDescent="0.4">
      <c r="A27" s="53">
        <v>3</v>
      </c>
      <c r="B27" s="63" t="s">
        <v>244</v>
      </c>
      <c r="C27" s="27" t="s">
        <v>256</v>
      </c>
      <c r="D27" s="39">
        <f>'Раздел 1'!D22 / 60</f>
        <v>0.96666666666666667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54.6" thickBot="1" x14ac:dyDescent="0.4">
      <c r="A28" s="27">
        <v>4</v>
      </c>
      <c r="B28" s="63" t="s">
        <v>245</v>
      </c>
      <c r="C28" s="10" t="s">
        <v>257</v>
      </c>
      <c r="D28" s="39">
        <f>'Раздел 1'!D23 / 60</f>
        <v>0.28333333333333333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54.6" thickBot="1" x14ac:dyDescent="0.4">
      <c r="A29" s="27">
        <v>5</v>
      </c>
      <c r="B29" s="63" t="s">
        <v>241</v>
      </c>
      <c r="C29" s="76" t="s">
        <v>259</v>
      </c>
      <c r="D29" s="39">
        <f>'Раздел 1'!D24 / 60</f>
        <v>0.2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8.600000000000001" thickBot="1" x14ac:dyDescent="0.4">
      <c r="A30" s="27"/>
      <c r="B30" s="27" t="s">
        <v>31</v>
      </c>
      <c r="C30" s="27"/>
      <c r="D30" s="77">
        <f>SUM(D25:D29)</f>
        <v>1.9666666666666666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8.600000000000001" thickBot="1" x14ac:dyDescent="0.4">
      <c r="A31" s="5"/>
      <c r="B31" s="5"/>
      <c r="C31" s="5"/>
      <c r="D31" s="5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8.600000000000001" thickBot="1" x14ac:dyDescent="0.4">
      <c r="A32" s="60" t="s">
        <v>273</v>
      </c>
      <c r="B32" s="61"/>
      <c r="C32" s="61"/>
      <c r="D32" s="29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36.6" thickBot="1" x14ac:dyDescent="0.4">
      <c r="A33" s="53" t="s">
        <v>28</v>
      </c>
      <c r="B33" s="24" t="s">
        <v>8</v>
      </c>
      <c r="C33" s="24" t="s">
        <v>29</v>
      </c>
      <c r="D33" s="24" t="s">
        <v>30</v>
      </c>
      <c r="E33" s="5"/>
      <c r="F33" s="5"/>
      <c r="G33" s="5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46.2" customHeight="1" thickBot="1" x14ac:dyDescent="0.4">
      <c r="A34" s="53">
        <v>1</v>
      </c>
      <c r="B34" s="63" t="s">
        <v>242</v>
      </c>
      <c r="C34" s="24" t="s">
        <v>255</v>
      </c>
      <c r="D34" s="39">
        <f>'Раздел 1'!E20 / 60</f>
        <v>0.16666666666666666</v>
      </c>
      <c r="E34" s="5"/>
      <c r="F34" s="5"/>
      <c r="G34" s="5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36.6" thickBot="1" x14ac:dyDescent="0.4">
      <c r="A35" s="27">
        <v>2</v>
      </c>
      <c r="B35" s="63" t="s">
        <v>243</v>
      </c>
      <c r="C35" s="24" t="s">
        <v>258</v>
      </c>
      <c r="D35" s="39">
        <f>'Раздел 1'!E21 / 60</f>
        <v>0.25</v>
      </c>
      <c r="E35" s="5"/>
      <c r="F35" s="5"/>
      <c r="G35" s="5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72.599999999999994" thickBot="1" x14ac:dyDescent="0.4">
      <c r="A36" s="27">
        <v>3</v>
      </c>
      <c r="B36" s="63" t="s">
        <v>244</v>
      </c>
      <c r="C36" s="27" t="s">
        <v>256</v>
      </c>
      <c r="D36" s="39">
        <f>'Раздел 1'!E22 / 60</f>
        <v>0.78333333333333333</v>
      </c>
      <c r="E36" s="5"/>
      <c r="F36" s="5"/>
      <c r="G36" s="5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54.6" thickBot="1" x14ac:dyDescent="0.4">
      <c r="A37" s="27">
        <v>4</v>
      </c>
      <c r="B37" s="63" t="s">
        <v>245</v>
      </c>
      <c r="C37" s="10" t="s">
        <v>257</v>
      </c>
      <c r="D37" s="39">
        <f>'Раздел 1'!E23 / 60</f>
        <v>0.25</v>
      </c>
      <c r="E37" s="5"/>
      <c r="F37" s="5"/>
      <c r="G37" s="5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54.6" thickBot="1" x14ac:dyDescent="0.4">
      <c r="A38" s="27">
        <v>5</v>
      </c>
      <c r="B38" s="63" t="s">
        <v>241</v>
      </c>
      <c r="C38" s="76" t="s">
        <v>259</v>
      </c>
      <c r="D38" s="39">
        <f>'Раздел 1'!E24 / 60</f>
        <v>0.2</v>
      </c>
      <c r="E38" s="5"/>
      <c r="F38" s="5"/>
      <c r="G38" s="5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8.600000000000001" thickBot="1" x14ac:dyDescent="0.4">
      <c r="A39" s="27"/>
      <c r="B39" s="27" t="s">
        <v>31</v>
      </c>
      <c r="C39" s="24"/>
      <c r="D39" s="77">
        <f>SUM(D34:D38)</f>
        <v>1.65</v>
      </c>
      <c r="E39" s="5"/>
      <c r="F39" s="5"/>
      <c r="G39" s="5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8" x14ac:dyDescent="0.35">
      <c r="A40" s="5"/>
      <c r="B40" s="5"/>
      <c r="C40" s="5"/>
      <c r="D40" s="5"/>
      <c r="E40" s="5"/>
      <c r="F40" s="5"/>
      <c r="G40" s="5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8" x14ac:dyDescent="0.35">
      <c r="A41" s="5"/>
      <c r="B41" s="5"/>
      <c r="C41" s="5"/>
      <c r="D41" s="5"/>
      <c r="E41" s="5"/>
      <c r="F41" s="5"/>
      <c r="G41" s="5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8" x14ac:dyDescent="0.35">
      <c r="A42" s="5"/>
      <c r="B42" s="5"/>
      <c r="C42" s="5"/>
      <c r="D42" s="5"/>
      <c r="E42" s="5"/>
      <c r="F42" s="5"/>
      <c r="G42" s="5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8.600000000000001" thickBot="1" x14ac:dyDescent="0.4">
      <c r="A43" s="5"/>
      <c r="B43" s="5"/>
      <c r="C43" s="5"/>
      <c r="D43" s="5"/>
      <c r="E43" s="5"/>
      <c r="F43" s="5"/>
      <c r="G43" s="5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8.600000000000001" thickBot="1" x14ac:dyDescent="0.4">
      <c r="A44" s="111" t="s">
        <v>40</v>
      </c>
      <c r="B44" s="112"/>
      <c r="C44" s="112"/>
      <c r="D44" s="112"/>
      <c r="E44" s="112"/>
      <c r="F44" s="112"/>
      <c r="G44" s="113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8.600000000000001" thickBot="1" x14ac:dyDescent="0.4">
      <c r="A45" s="114" t="s">
        <v>33</v>
      </c>
      <c r="B45" s="114" t="s">
        <v>34</v>
      </c>
      <c r="C45" s="116" t="s">
        <v>35</v>
      </c>
      <c r="D45" s="117"/>
      <c r="E45" s="118"/>
      <c r="F45" s="114" t="s">
        <v>36</v>
      </c>
      <c r="G45" s="114" t="s">
        <v>37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28.8" customHeight="1" thickBot="1" x14ac:dyDescent="0.4">
      <c r="A46" s="115"/>
      <c r="B46" s="115"/>
      <c r="C46" s="36" t="s">
        <v>38</v>
      </c>
      <c r="D46" s="36" t="s">
        <v>39</v>
      </c>
      <c r="E46" s="36" t="s">
        <v>3</v>
      </c>
      <c r="F46" s="115"/>
      <c r="G46" s="115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36.6" thickBot="1" x14ac:dyDescent="0.4">
      <c r="A47" s="53" t="s">
        <v>261</v>
      </c>
      <c r="B47" s="24" t="s">
        <v>260</v>
      </c>
      <c r="C47" s="36">
        <v>720</v>
      </c>
      <c r="D47" s="36">
        <v>450</v>
      </c>
      <c r="E47" s="36">
        <v>555</v>
      </c>
      <c r="F47" s="36">
        <v>1.32</v>
      </c>
      <c r="G47" s="36">
        <v>67910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54.6" thickBot="1" x14ac:dyDescent="0.4">
      <c r="A48" s="24" t="s">
        <v>261</v>
      </c>
      <c r="B48" s="24" t="s">
        <v>262</v>
      </c>
      <c r="C48" s="36">
        <v>333</v>
      </c>
      <c r="D48" s="36">
        <v>290</v>
      </c>
      <c r="E48" s="36">
        <v>369</v>
      </c>
      <c r="F48" s="36">
        <v>1.32</v>
      </c>
      <c r="G48" s="36">
        <v>62777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36.6" thickBot="1" x14ac:dyDescent="0.4">
      <c r="A49" s="24" t="s">
        <v>264</v>
      </c>
      <c r="B49" s="24" t="s">
        <v>263</v>
      </c>
      <c r="C49" s="36">
        <v>910</v>
      </c>
      <c r="D49" s="36">
        <v>590</v>
      </c>
      <c r="E49" s="36">
        <v>590</v>
      </c>
      <c r="F49" s="36">
        <v>1.8</v>
      </c>
      <c r="G49" s="36">
        <v>81683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8.600000000000001" thickBot="1" x14ac:dyDescent="0.4">
      <c r="A50" s="24" t="s">
        <v>265</v>
      </c>
      <c r="B50" s="24" t="s">
        <v>266</v>
      </c>
      <c r="C50" s="36">
        <v>880</v>
      </c>
      <c r="D50" s="36">
        <v>240</v>
      </c>
      <c r="E50" s="36">
        <v>220</v>
      </c>
      <c r="F50" s="36">
        <v>1.2</v>
      </c>
      <c r="G50" s="36">
        <v>14741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8.600000000000001" thickBot="1" x14ac:dyDescent="0.4">
      <c r="A51" s="24" t="s">
        <v>268</v>
      </c>
      <c r="B51" s="24" t="s">
        <v>267</v>
      </c>
      <c r="C51" s="36">
        <v>285</v>
      </c>
      <c r="D51" s="36">
        <v>340</v>
      </c>
      <c r="E51" s="36">
        <v>325</v>
      </c>
      <c r="F51" s="36">
        <v>0.8</v>
      </c>
      <c r="G51" s="36">
        <v>15400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8.600000000000001" thickBot="1" x14ac:dyDescent="0.4">
      <c r="A52" s="24" t="s">
        <v>269</v>
      </c>
      <c r="B52" s="24" t="s">
        <v>255</v>
      </c>
      <c r="C52" s="36">
        <v>900</v>
      </c>
      <c r="D52" s="36">
        <v>1800</v>
      </c>
      <c r="E52" s="36">
        <v>2200</v>
      </c>
      <c r="F52" s="36">
        <v>0</v>
      </c>
      <c r="G52" s="36">
        <v>29046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8" x14ac:dyDescent="0.35">
      <c r="A53" s="5"/>
      <c r="B53" s="5"/>
      <c r="C53" s="5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8" x14ac:dyDescent="0.35">
      <c r="A54" s="5"/>
      <c r="B54" s="5"/>
      <c r="C54" s="5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8" x14ac:dyDescent="0.35">
      <c r="A55" s="5"/>
      <c r="B55" s="5"/>
      <c r="C55" s="5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8" x14ac:dyDescent="0.35">
      <c r="A56" s="5"/>
      <c r="B56" s="5"/>
      <c r="C56" s="5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8" x14ac:dyDescent="0.35">
      <c r="A57" s="5"/>
      <c r="B57" s="5"/>
      <c r="C57" s="5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8" x14ac:dyDescent="0.35">
      <c r="A58" s="5"/>
      <c r="B58" s="5"/>
      <c r="C58" s="5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8.600000000000001" thickBot="1" x14ac:dyDescent="0.4">
      <c r="A59" s="5"/>
      <c r="B59" s="5"/>
      <c r="C59" s="5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8.600000000000001" thickBot="1" x14ac:dyDescent="0.4">
      <c r="A60" s="111" t="s">
        <v>283</v>
      </c>
      <c r="B60" s="112"/>
      <c r="C60" s="113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8.600000000000001" thickBot="1" x14ac:dyDescent="0.4">
      <c r="A61" s="107" t="s">
        <v>41</v>
      </c>
      <c r="B61" s="109" t="s">
        <v>42</v>
      </c>
      <c r="C61" s="110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8.600000000000001" thickBot="1" x14ac:dyDescent="0.4">
      <c r="A62" s="108"/>
      <c r="B62" s="78" t="s">
        <v>43</v>
      </c>
      <c r="C62" s="78" t="s">
        <v>44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8.600000000000001" thickBot="1" x14ac:dyDescent="0.4">
      <c r="A63" s="24" t="s">
        <v>242</v>
      </c>
      <c r="B63" s="36">
        <f>C63*1.03</f>
        <v>618</v>
      </c>
      <c r="C63" s="36">
        <f>('Раздел 1'!C20*'Раздел 1'!C3+'Раздел 1'!D20*'Раздел 1'!C4+'Раздел 1'!E20*'Раздел 1'!C5)/60</f>
        <v>600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8.600000000000001" thickBot="1" x14ac:dyDescent="0.4">
      <c r="A64" s="24" t="s">
        <v>243</v>
      </c>
      <c r="B64" s="36">
        <f>C64*1.03</f>
        <v>1277.2</v>
      </c>
      <c r="C64" s="36">
        <f>('Раздел 1'!C21*'Раздел 1'!C3 + 'Раздел 1'!D21*'Раздел 1'!C4 + 'Раздел 1'!E21*'Раздел 1'!C5)/60</f>
        <v>1240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8.600000000000001" thickBot="1" x14ac:dyDescent="0.4">
      <c r="A65" s="24" t="s">
        <v>244</v>
      </c>
      <c r="B65" s="36">
        <f t="shared" ref="B65:B67" si="2">C65*1.03</f>
        <v>3502</v>
      </c>
      <c r="C65" s="36">
        <f>('Раздел 1'!C22*'Раздел 1'!C3 +'Раздел 1'!D22*'Раздел 1'!C4 + 'Раздел 1'!E22*'Раздел 1'!C5)/60</f>
        <v>3400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8.600000000000001" thickBot="1" x14ac:dyDescent="0.4">
      <c r="A66" s="24" t="s">
        <v>245</v>
      </c>
      <c r="B66" s="36">
        <f t="shared" si="2"/>
        <v>1071.2</v>
      </c>
      <c r="C66" s="36">
        <f>('Раздел 1'!C23*'Раздел 1'!C3 + 'Раздел 1'!D23*'Раздел 1'!C4 + 'Раздел 1'!E23*'Раздел 1'!C5)/60</f>
        <v>1040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8.600000000000001" thickBot="1" x14ac:dyDescent="0.4">
      <c r="A67" s="24" t="s">
        <v>241</v>
      </c>
      <c r="B67" s="36">
        <f t="shared" si="2"/>
        <v>741.6</v>
      </c>
      <c r="C67" s="36">
        <f>('Раздел 1'!C24*'Раздел 1'!C3 + 'Раздел 1'!D24*'Раздел 1'!C4 + 'Раздел 1'!E24*'Раздел 1'!C5)/60</f>
        <v>720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8" x14ac:dyDescent="0.35">
      <c r="A68" s="5"/>
      <c r="B68" s="5"/>
      <c r="C68" s="5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8" x14ac:dyDescent="0.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8" x14ac:dyDescent="0.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8" x14ac:dyDescent="0.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8" x14ac:dyDescent="0.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8" x14ac:dyDescent="0.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8" x14ac:dyDescent="0.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8" x14ac:dyDescent="0.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8" x14ac:dyDescent="0.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8" x14ac:dyDescent="0.3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8" x14ac:dyDescent="0.3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8" x14ac:dyDescent="0.3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8" x14ac:dyDescent="0.3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8" x14ac:dyDescent="0.3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8" x14ac:dyDescent="0.3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8" x14ac:dyDescent="0.3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8" x14ac:dyDescent="0.3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8" x14ac:dyDescent="0.3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8" x14ac:dyDescent="0.3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8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8" x14ac:dyDescent="0.3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8" x14ac:dyDescent="0.3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8" x14ac:dyDescent="0.3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8" x14ac:dyDescent="0.3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8" x14ac:dyDescent="0.3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8" x14ac:dyDescent="0.3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8" x14ac:dyDescent="0.3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8" x14ac:dyDescent="0.3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8" x14ac:dyDescent="0.3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8" x14ac:dyDescent="0.3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8" x14ac:dyDescent="0.3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8" x14ac:dyDescent="0.3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8" x14ac:dyDescent="0.3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8" x14ac:dyDescent="0.3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8" x14ac:dyDescent="0.3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8" x14ac:dyDescent="0.3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8" x14ac:dyDescent="0.3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8" x14ac:dyDescent="0.3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8" x14ac:dyDescent="0.3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8" x14ac:dyDescent="0.3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8" x14ac:dyDescent="0.3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8" x14ac:dyDescent="0.3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8" x14ac:dyDescent="0.3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8" x14ac:dyDescent="0.3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8" x14ac:dyDescent="0.3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8" x14ac:dyDescent="0.3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</sheetData>
  <customSheetViews>
    <customSheetView guid="{AA87E068-5849-482C-8AC0-FA82B1C10C62}" scale="70" topLeftCell="A43">
      <selection activeCell="J50" sqref="J50"/>
      <pageMargins left="0.7" right="0.7" top="0.75" bottom="0.75" header="0.3" footer="0.3"/>
      <pageSetup paperSize="9" orientation="portrait" verticalDpi="0" r:id="rId1"/>
    </customSheetView>
  </customSheetViews>
  <mergeCells count="15">
    <mergeCell ref="A1:E1"/>
    <mergeCell ref="F45:F46"/>
    <mergeCell ref="G45:G46"/>
    <mergeCell ref="A44:G44"/>
    <mergeCell ref="A13:D13"/>
    <mergeCell ref="A14:D14"/>
    <mergeCell ref="A2:A4"/>
    <mergeCell ref="B2:B4"/>
    <mergeCell ref="C2:E2"/>
    <mergeCell ref="A61:A62"/>
    <mergeCell ref="B61:C61"/>
    <mergeCell ref="A60:C60"/>
    <mergeCell ref="A45:A46"/>
    <mergeCell ref="B45:B46"/>
    <mergeCell ref="C45:E45"/>
  </mergeCell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3E31-9F86-4D49-A89D-9AFE3EEB620B}">
  <dimension ref="A1:AA88"/>
  <sheetViews>
    <sheetView topLeftCell="A31" zoomScale="55" zoomScaleNormal="55" workbookViewId="0">
      <selection activeCell="AA80" sqref="A1:AA80"/>
    </sheetView>
  </sheetViews>
  <sheetFormatPr defaultRowHeight="14.4" x14ac:dyDescent="0.3"/>
  <cols>
    <col min="1" max="1" width="28.33203125" customWidth="1"/>
    <col min="2" max="2" width="42" customWidth="1"/>
    <col min="3" max="3" width="32.5546875" customWidth="1"/>
    <col min="4" max="4" width="19" customWidth="1"/>
    <col min="5" max="5" width="12.77734375" bestFit="1" customWidth="1"/>
    <col min="7" max="7" width="14" customWidth="1"/>
    <col min="8" max="8" width="12.109375" customWidth="1"/>
  </cols>
  <sheetData>
    <row r="1" spans="1:27" ht="18.600000000000001" thickBot="1" x14ac:dyDescent="0.4">
      <c r="A1" s="126" t="s">
        <v>54</v>
      </c>
      <c r="B1" s="127"/>
      <c r="C1" s="127"/>
      <c r="D1" s="127"/>
      <c r="E1" s="127"/>
      <c r="F1" s="127"/>
      <c r="G1" s="127"/>
      <c r="H1" s="128"/>
      <c r="I1" s="5"/>
      <c r="J1" s="4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6" thickBot="1" x14ac:dyDescent="0.4">
      <c r="A2" s="129" t="s">
        <v>45</v>
      </c>
      <c r="B2" s="123" t="s">
        <v>46</v>
      </c>
      <c r="C2" s="125"/>
      <c r="D2" s="129" t="s">
        <v>47</v>
      </c>
      <c r="E2" s="20" t="s">
        <v>48</v>
      </c>
      <c r="F2" s="129" t="s">
        <v>49</v>
      </c>
      <c r="G2" s="123" t="s">
        <v>50</v>
      </c>
      <c r="H2" s="125"/>
      <c r="I2" s="5"/>
      <c r="J2" s="4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36.6" thickBot="1" x14ac:dyDescent="0.4">
      <c r="A3" s="130"/>
      <c r="B3" s="18" t="s">
        <v>43</v>
      </c>
      <c r="C3" s="18" t="s">
        <v>44</v>
      </c>
      <c r="D3" s="130"/>
      <c r="E3" s="8"/>
      <c r="F3" s="130"/>
      <c r="G3" s="8" t="s">
        <v>51</v>
      </c>
      <c r="H3" s="8" t="s">
        <v>52</v>
      </c>
      <c r="I3" s="5"/>
      <c r="J3" s="4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600000000000001" thickBot="1" x14ac:dyDescent="0.4">
      <c r="A4" s="15" t="s">
        <v>260</v>
      </c>
      <c r="B4" s="16">
        <f>C4*1.08</f>
        <v>2829.1680000000001</v>
      </c>
      <c r="C4" s="16">
        <f>1200*('Раздел 1'!C22+ 'Раздел 1'!D22+'Раздел 1'!E22+'Раздел 1'!C23+'Раздел 1'!D23+'Раздел 1'!E23)*0.59/60</f>
        <v>2619.6</v>
      </c>
      <c r="D4" s="16">
        <f>B4-C4</f>
        <v>209.56800000000021</v>
      </c>
      <c r="E4" s="9">
        <f>C4/B4</f>
        <v>0.92592592592592582</v>
      </c>
      <c r="F4" s="8">
        <v>2</v>
      </c>
      <c r="G4" s="8">
        <f>'Раздел 2'!G47/1000</f>
        <v>67.91</v>
      </c>
      <c r="H4" s="8">
        <f>G4*F4</f>
        <v>135.82</v>
      </c>
      <c r="I4" s="5"/>
      <c r="J4" s="4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54.6" thickBot="1" x14ac:dyDescent="0.4">
      <c r="A5" s="15" t="s">
        <v>262</v>
      </c>
      <c r="B5" s="16">
        <f>C5*1.08</f>
        <v>959.04000000000008</v>
      </c>
      <c r="C5" s="8">
        <f>1200*('Раздел 1'!C22+'Раздел 1'!D22+'Раздел 1'!E22+'Раздел 1'!C23+'Раздел 1'!D23+'Раздел 1'!E23)*0.2/60</f>
        <v>888</v>
      </c>
      <c r="D5" s="16">
        <f t="shared" ref="D5:D8" si="0">B5-C5</f>
        <v>71.040000000000077</v>
      </c>
      <c r="E5" s="9">
        <f t="shared" ref="E5:E8" si="1">C5/B5</f>
        <v>0.92592592592592582</v>
      </c>
      <c r="F5" s="8">
        <v>1</v>
      </c>
      <c r="G5" s="8">
        <f>'Раздел 2'!G48/1000</f>
        <v>62.777000000000001</v>
      </c>
      <c r="H5" s="8">
        <f t="shared" ref="H5:H8" si="2">G5*F5</f>
        <v>62.777000000000001</v>
      </c>
      <c r="I5" s="5"/>
      <c r="J5" s="4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6.6" thickBot="1" x14ac:dyDescent="0.4">
      <c r="A6" s="15" t="s">
        <v>263</v>
      </c>
      <c r="B6" s="16">
        <f>C6*1.06</f>
        <v>267.12</v>
      </c>
      <c r="C6" s="8">
        <f>1200*('Раздел 1'!C24+'Раздел 1'!D24+'Раздел 1'!E24)*0.35/60</f>
        <v>251.99999999999997</v>
      </c>
      <c r="D6" s="16">
        <f t="shared" si="0"/>
        <v>15.120000000000033</v>
      </c>
      <c r="E6" s="9">
        <f t="shared" si="1"/>
        <v>0.94339622641509424</v>
      </c>
      <c r="F6" s="8">
        <v>1</v>
      </c>
      <c r="G6" s="8">
        <f>'Раздел 2'!G49/1000</f>
        <v>81.683000000000007</v>
      </c>
      <c r="H6" s="8">
        <f t="shared" si="2"/>
        <v>81.683000000000007</v>
      </c>
      <c r="I6" s="5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600000000000001" thickBot="1" x14ac:dyDescent="0.4">
      <c r="A7" s="15" t="s">
        <v>270</v>
      </c>
      <c r="B7" s="16">
        <f>C7*1.04</f>
        <v>82.368000000000009</v>
      </c>
      <c r="C7" s="8">
        <f>1200*('Раздел 1'!C24+'Раздел 1'!D24+'Раздел 1'!E24)*0.11/60</f>
        <v>79.2</v>
      </c>
      <c r="D7" s="16">
        <f t="shared" si="0"/>
        <v>3.1680000000000064</v>
      </c>
      <c r="E7" s="9">
        <f t="shared" si="1"/>
        <v>0.96153846153846145</v>
      </c>
      <c r="F7" s="8">
        <v>1</v>
      </c>
      <c r="G7" s="8">
        <f>'Раздел 2'!G50/1000</f>
        <v>14.741</v>
      </c>
      <c r="H7" s="8">
        <f t="shared" si="2"/>
        <v>14.741</v>
      </c>
      <c r="I7" s="5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600000000000001" thickBot="1" x14ac:dyDescent="0.4">
      <c r="A8" s="15" t="s">
        <v>267</v>
      </c>
      <c r="B8" s="16">
        <f>C8*1.05</f>
        <v>158.76</v>
      </c>
      <c r="C8" s="8">
        <f>1200*('Раздел 1'!C24+'Раздел 1'!D24+'Раздел 1'!E24)*0.21/60</f>
        <v>151.19999999999999</v>
      </c>
      <c r="D8" s="16">
        <f t="shared" si="0"/>
        <v>7.5600000000000023</v>
      </c>
      <c r="E8" s="9">
        <f t="shared" si="1"/>
        <v>0.95238095238095233</v>
      </c>
      <c r="F8" s="8">
        <v>1</v>
      </c>
      <c r="G8" s="8">
        <f>'Раздел 2'!G51/1000</f>
        <v>15.4</v>
      </c>
      <c r="H8" s="8">
        <f t="shared" si="2"/>
        <v>15.4</v>
      </c>
      <c r="I8" s="5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600000000000001" thickBot="1" x14ac:dyDescent="0.4">
      <c r="A9" s="12" t="s">
        <v>31</v>
      </c>
      <c r="B9" s="79">
        <f>SUM(B4:B8)</f>
        <v>4296.4560000000001</v>
      </c>
      <c r="C9" s="79">
        <f>SUM(C4:C8)</f>
        <v>3989.9999999999995</v>
      </c>
      <c r="D9" s="79">
        <f t="shared" ref="D9:G9" si="3">SUM(D4:D8)</f>
        <v>306.4560000000003</v>
      </c>
      <c r="E9" s="9">
        <f>C9/B9</f>
        <v>0.9286723755579015</v>
      </c>
      <c r="F9" s="80">
        <f t="shared" si="3"/>
        <v>6</v>
      </c>
      <c r="G9" s="79">
        <f t="shared" si="3"/>
        <v>242.511</v>
      </c>
      <c r="H9" s="79">
        <f>SUM(H4:H8)</f>
        <v>310.42099999999994</v>
      </c>
      <c r="I9" s="5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" x14ac:dyDescent="0.35">
      <c r="A10" s="5"/>
      <c r="B10" s="5"/>
      <c r="C10" s="5"/>
      <c r="D10" s="5"/>
      <c r="E10" s="5"/>
      <c r="F10" s="5"/>
      <c r="G10" s="5"/>
      <c r="H10" s="5"/>
      <c r="I10" s="5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600000000000001" thickBot="1" x14ac:dyDescent="0.4">
      <c r="A11" s="5"/>
      <c r="B11" s="5"/>
      <c r="C11" s="5"/>
      <c r="D11" s="5"/>
      <c r="E11" s="5"/>
      <c r="F11" s="5"/>
      <c r="G11" s="5"/>
      <c r="H11" s="5"/>
      <c r="I11" s="5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600000000000001" thickBot="1" x14ac:dyDescent="0.4">
      <c r="A12" s="126" t="s">
        <v>61</v>
      </c>
      <c r="B12" s="127"/>
      <c r="C12" s="128"/>
      <c r="D12" s="5"/>
      <c r="E12" s="5"/>
      <c r="F12" s="5"/>
      <c r="G12" s="5"/>
      <c r="H12" s="5"/>
      <c r="I12" s="5"/>
      <c r="J12" s="4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36.6" thickBot="1" x14ac:dyDescent="0.4">
      <c r="A13" s="10" t="s">
        <v>45</v>
      </c>
      <c r="B13" s="11" t="s">
        <v>55</v>
      </c>
      <c r="C13" s="11" t="s">
        <v>56</v>
      </c>
      <c r="D13" s="5"/>
      <c r="E13" s="5"/>
      <c r="F13" s="5"/>
      <c r="G13" s="5"/>
      <c r="H13" s="5"/>
      <c r="I13" s="5"/>
      <c r="J13" s="4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600000000000001" thickBot="1" x14ac:dyDescent="0.4">
      <c r="A14" s="12" t="s">
        <v>57</v>
      </c>
      <c r="B14" s="81">
        <v>0.02</v>
      </c>
      <c r="C14" s="9">
        <f>H9*0.02</f>
        <v>6.2084199999999985</v>
      </c>
      <c r="D14" s="5"/>
      <c r="E14" s="5"/>
      <c r="F14" s="5"/>
      <c r="G14" s="5"/>
      <c r="H14" s="5"/>
      <c r="I14" s="5"/>
      <c r="J14" s="4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600000000000001" thickBot="1" x14ac:dyDescent="0.4">
      <c r="A15" s="12" t="s">
        <v>58</v>
      </c>
      <c r="B15" s="81">
        <v>0.01</v>
      </c>
      <c r="C15" s="9">
        <f>$H$9*0.01</f>
        <v>3.1042099999999992</v>
      </c>
      <c r="D15" s="5"/>
      <c r="E15" s="5"/>
      <c r="F15" s="5"/>
      <c r="G15" s="5"/>
      <c r="H15" s="5"/>
      <c r="I15" s="5"/>
      <c r="J15" s="4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600000000000001" thickBot="1" x14ac:dyDescent="0.4">
      <c r="A16" s="12" t="s">
        <v>59</v>
      </c>
      <c r="B16" s="81">
        <v>0</v>
      </c>
      <c r="C16" s="9">
        <f>$H$9*0</f>
        <v>0</v>
      </c>
      <c r="D16" s="5"/>
      <c r="E16" s="5"/>
      <c r="F16" s="5"/>
      <c r="G16" s="5"/>
      <c r="H16" s="5"/>
      <c r="I16" s="5"/>
      <c r="J16" s="4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54.6" thickBot="1" x14ac:dyDescent="0.4">
      <c r="A17" s="12" t="s">
        <v>60</v>
      </c>
      <c r="B17" s="81">
        <v>0.22</v>
      </c>
      <c r="C17" s="9">
        <f>$H$9*0.22</f>
        <v>68.292619999999985</v>
      </c>
      <c r="D17" s="5"/>
      <c r="E17" s="5"/>
      <c r="F17" s="5"/>
      <c r="G17" s="5"/>
      <c r="H17" s="5"/>
      <c r="I17" s="5"/>
      <c r="J17" s="4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600000000000001" thickBot="1" x14ac:dyDescent="0.4">
      <c r="A18" s="12" t="s">
        <v>31</v>
      </c>
      <c r="B18" s="8" t="s">
        <v>53</v>
      </c>
      <c r="C18" s="9">
        <f>SUM(C14:C17)</f>
        <v>77.605249999999984</v>
      </c>
      <c r="D18" s="5"/>
      <c r="E18" s="5"/>
      <c r="F18" s="5"/>
      <c r="G18" s="5"/>
      <c r="H18" s="5"/>
      <c r="I18" s="5"/>
      <c r="J18" s="4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600000000000001" thickBot="1" x14ac:dyDescent="0.4">
      <c r="A19" s="5"/>
      <c r="B19" s="5"/>
      <c r="C19" s="5"/>
      <c r="D19" s="5"/>
      <c r="E19" s="5"/>
      <c r="F19" s="5"/>
      <c r="G19" s="5"/>
      <c r="H19" s="5"/>
      <c r="I19" s="5"/>
      <c r="J19" s="4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1.8" customHeight="1" thickBot="1" x14ac:dyDescent="0.4">
      <c r="A20" s="123" t="s">
        <v>64</v>
      </c>
      <c r="B20" s="124"/>
      <c r="C20" s="124"/>
      <c r="D20" s="125"/>
      <c r="E20" s="5"/>
      <c r="F20" s="5"/>
      <c r="G20" s="5"/>
      <c r="H20" s="5"/>
      <c r="I20" s="5"/>
      <c r="J20" s="4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6.6" thickBot="1" x14ac:dyDescent="0.4">
      <c r="A21" s="10" t="s">
        <v>45</v>
      </c>
      <c r="B21" s="82" t="s">
        <v>49</v>
      </c>
      <c r="C21" s="82" t="s">
        <v>62</v>
      </c>
      <c r="D21" s="82" t="s">
        <v>63</v>
      </c>
      <c r="E21" s="5"/>
      <c r="F21" s="5"/>
      <c r="G21" s="5"/>
      <c r="H21" s="5"/>
      <c r="I21" s="5"/>
      <c r="J21" s="4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600000000000001" thickBot="1" x14ac:dyDescent="0.4">
      <c r="A22" s="15" t="s">
        <v>260</v>
      </c>
      <c r="B22" s="8">
        <f>F4</f>
        <v>2</v>
      </c>
      <c r="C22" s="8">
        <f>(('Раздел 2'!C47*'Раздел 2'!D47)/10)/10000</f>
        <v>3.24</v>
      </c>
      <c r="D22" s="8">
        <f>C22*B22</f>
        <v>6.48</v>
      </c>
      <c r="E22" s="5"/>
      <c r="F22" s="5"/>
      <c r="G22" s="5"/>
      <c r="H22" s="5"/>
      <c r="I22" s="5"/>
      <c r="J22" s="4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54.6" thickBot="1" x14ac:dyDescent="0.4">
      <c r="A23" s="15" t="s">
        <v>262</v>
      </c>
      <c r="B23" s="8">
        <f t="shared" ref="B23:B26" si="4">F5</f>
        <v>1</v>
      </c>
      <c r="C23" s="8">
        <f>(('Раздел 2'!C48*'Раздел 2'!D48)/10)/10000</f>
        <v>0.9657</v>
      </c>
      <c r="D23" s="8">
        <f t="shared" ref="D23:D26" si="5">C23*B23</f>
        <v>0.9657</v>
      </c>
      <c r="E23" s="5"/>
      <c r="F23" s="5"/>
      <c r="G23" s="5"/>
      <c r="H23" s="5"/>
      <c r="I23" s="5"/>
      <c r="J23" s="4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6.6" thickBot="1" x14ac:dyDescent="0.4">
      <c r="A24" s="15" t="s">
        <v>263</v>
      </c>
      <c r="B24" s="8">
        <f t="shared" si="4"/>
        <v>1</v>
      </c>
      <c r="C24" s="8">
        <f>(('Раздел 2'!C49*'Раздел 2'!D49)/10)/10000</f>
        <v>5.3689999999999998</v>
      </c>
      <c r="D24" s="8">
        <f t="shared" si="5"/>
        <v>5.3689999999999998</v>
      </c>
      <c r="E24" s="5"/>
      <c r="F24" s="5"/>
      <c r="G24" s="5"/>
      <c r="H24" s="5"/>
      <c r="I24" s="5"/>
      <c r="J24" s="4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600000000000001" thickBot="1" x14ac:dyDescent="0.4">
      <c r="A25" s="15" t="s">
        <v>270</v>
      </c>
      <c r="B25" s="8">
        <f t="shared" si="4"/>
        <v>1</v>
      </c>
      <c r="C25" s="8">
        <f>(('Раздел 2'!C50*'Раздел 2'!D50)/10)/10000</f>
        <v>2.1120000000000001</v>
      </c>
      <c r="D25" s="8">
        <f t="shared" si="5"/>
        <v>2.1120000000000001</v>
      </c>
      <c r="E25" s="5"/>
      <c r="F25" s="5"/>
      <c r="G25" s="5"/>
      <c r="H25" s="5"/>
      <c r="I25" s="5"/>
      <c r="J25" s="4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600000000000001" thickBot="1" x14ac:dyDescent="0.4">
      <c r="A26" s="15" t="s">
        <v>267</v>
      </c>
      <c r="B26" s="8">
        <f t="shared" si="4"/>
        <v>1</v>
      </c>
      <c r="C26" s="8">
        <f>(('Раздел 2'!C51*'Раздел 2'!D51)/10)/10000</f>
        <v>0.96899999999999997</v>
      </c>
      <c r="D26" s="8">
        <f t="shared" si="5"/>
        <v>0.96899999999999997</v>
      </c>
      <c r="E26" s="5"/>
      <c r="F26" s="5"/>
      <c r="G26" s="5"/>
      <c r="H26" s="5"/>
      <c r="I26" s="5"/>
      <c r="J26" s="4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600000000000001" thickBot="1" x14ac:dyDescent="0.4">
      <c r="A27" s="12" t="s">
        <v>31</v>
      </c>
      <c r="B27" s="18"/>
      <c r="C27" s="18" t="s">
        <v>53</v>
      </c>
      <c r="D27" s="18">
        <f>SUM(D22:D26)</f>
        <v>15.8957</v>
      </c>
      <c r="E27" s="5"/>
      <c r="F27" s="5"/>
      <c r="G27" s="5"/>
      <c r="H27" s="5"/>
      <c r="I27" s="5"/>
      <c r="J27" s="4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" x14ac:dyDescent="0.35">
      <c r="A28" s="5"/>
      <c r="B28" s="5"/>
      <c r="C28" s="5"/>
      <c r="D28" s="5"/>
      <c r="E28" s="5"/>
      <c r="F28" s="5"/>
      <c r="G28" s="5"/>
      <c r="H28" s="5"/>
      <c r="I28" s="5"/>
      <c r="J28" s="4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600000000000001" thickBot="1" x14ac:dyDescent="0.4">
      <c r="A29" s="5"/>
      <c r="B29" s="5"/>
      <c r="C29" s="5"/>
      <c r="D29" s="5"/>
      <c r="E29" s="5"/>
      <c r="F29" s="5"/>
      <c r="G29" s="5"/>
      <c r="H29" s="5"/>
      <c r="I29" s="5"/>
      <c r="J29" s="4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600000000000001" thickBot="1" x14ac:dyDescent="0.4">
      <c r="A30" s="126" t="s">
        <v>67</v>
      </c>
      <c r="B30" s="127"/>
      <c r="C30" s="127"/>
      <c r="D30" s="128"/>
      <c r="E30" s="5"/>
      <c r="F30" s="5"/>
      <c r="G30" s="5"/>
      <c r="H30" s="5"/>
      <c r="I30" s="5"/>
      <c r="J30" s="4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72.599999999999994" thickBot="1" x14ac:dyDescent="0.4">
      <c r="A31" s="10" t="s">
        <v>65</v>
      </c>
      <c r="B31" s="11" t="s">
        <v>329</v>
      </c>
      <c r="C31" s="11" t="s">
        <v>330</v>
      </c>
      <c r="D31" s="11" t="s">
        <v>331</v>
      </c>
      <c r="E31" s="5"/>
      <c r="F31" s="5"/>
      <c r="G31" s="5"/>
      <c r="H31" s="5"/>
      <c r="I31" s="5"/>
      <c r="J31" s="4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6.6" thickBot="1" x14ac:dyDescent="0.4">
      <c r="A32" s="12" t="s">
        <v>66</v>
      </c>
      <c r="B32" s="8">
        <f>ROUNDUP(D27,0)</f>
        <v>16</v>
      </c>
      <c r="C32" s="8">
        <f>B32*1200</f>
        <v>19200</v>
      </c>
      <c r="D32" s="8">
        <f>C32*12</f>
        <v>230400</v>
      </c>
      <c r="E32" s="5"/>
      <c r="F32" s="5"/>
      <c r="G32" s="5"/>
      <c r="H32" s="5"/>
      <c r="I32" s="5"/>
      <c r="J32" s="4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6.6" thickBot="1" x14ac:dyDescent="0.4">
      <c r="A33" s="12" t="s">
        <v>275</v>
      </c>
      <c r="B33" s="8">
        <f>ROUNDUP(B32*0.2,0)</f>
        <v>4</v>
      </c>
      <c r="C33" s="8">
        <f t="shared" ref="C33:C34" si="6">B33*1200</f>
        <v>4800</v>
      </c>
      <c r="D33" s="8">
        <f t="shared" ref="D33:D34" si="7">C33*12</f>
        <v>57600</v>
      </c>
      <c r="E33" s="5"/>
      <c r="F33" s="5"/>
      <c r="G33" s="5"/>
      <c r="H33" s="5"/>
      <c r="I33" s="5"/>
      <c r="J33" s="4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36.6" thickBot="1" x14ac:dyDescent="0.4">
      <c r="A34" s="12" t="s">
        <v>274</v>
      </c>
      <c r="B34" s="8">
        <v>27.8</v>
      </c>
      <c r="C34" s="8">
        <f t="shared" si="6"/>
        <v>33360</v>
      </c>
      <c r="D34" s="8">
        <f t="shared" si="7"/>
        <v>400320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600000000000001" thickBot="1" x14ac:dyDescent="0.4">
      <c r="A35" s="12" t="s">
        <v>31</v>
      </c>
      <c r="B35" s="8">
        <v>47.8</v>
      </c>
      <c r="C35" s="8">
        <f>1200*B35</f>
        <v>57360</v>
      </c>
      <c r="D35" s="8">
        <f>C35*12</f>
        <v>688320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600000000000001" thickBot="1" x14ac:dyDescent="0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600000000000001" thickBot="1" x14ac:dyDescent="0.4">
      <c r="A37" s="123" t="s">
        <v>70</v>
      </c>
      <c r="B37" s="124"/>
      <c r="C37" s="12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54.6" thickBot="1" x14ac:dyDescent="0.4">
      <c r="A38" s="14" t="s">
        <v>45</v>
      </c>
      <c r="B38" s="20" t="s">
        <v>49</v>
      </c>
      <c r="C38" s="20" t="s">
        <v>68</v>
      </c>
      <c r="D38" s="14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600000000000001" thickBot="1" x14ac:dyDescent="0.4">
      <c r="A39" s="15" t="s">
        <v>260</v>
      </c>
      <c r="B39" s="8">
        <v>2</v>
      </c>
      <c r="C39" s="8">
        <f>G4</f>
        <v>67.91</v>
      </c>
      <c r="D39" s="21">
        <f>C39*B39</f>
        <v>135.82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54.6" thickBot="1" x14ac:dyDescent="0.4">
      <c r="A40" s="15" t="s">
        <v>262</v>
      </c>
      <c r="B40" s="8">
        <v>1</v>
      </c>
      <c r="C40" s="8">
        <f t="shared" ref="C40:C43" si="8">G5</f>
        <v>62.777000000000001</v>
      </c>
      <c r="D40" s="21">
        <f t="shared" ref="D40:D49" si="9">C40*B40</f>
        <v>62.777000000000001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36.6" thickBot="1" x14ac:dyDescent="0.4">
      <c r="A41" s="15" t="s">
        <v>263</v>
      </c>
      <c r="B41" s="8">
        <v>1</v>
      </c>
      <c r="C41" s="8">
        <f t="shared" si="8"/>
        <v>81.683000000000007</v>
      </c>
      <c r="D41" s="21">
        <f t="shared" si="9"/>
        <v>81.683000000000007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600000000000001" thickBot="1" x14ac:dyDescent="0.4">
      <c r="A42" s="15" t="s">
        <v>270</v>
      </c>
      <c r="B42" s="8">
        <v>1</v>
      </c>
      <c r="C42" s="8">
        <f t="shared" si="8"/>
        <v>14.741</v>
      </c>
      <c r="D42" s="21">
        <f t="shared" si="9"/>
        <v>14.741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600000000000001" thickBot="1" x14ac:dyDescent="0.4">
      <c r="A43" s="10" t="s">
        <v>267</v>
      </c>
      <c r="B43" s="8">
        <v>1</v>
      </c>
      <c r="C43" s="8">
        <f t="shared" si="8"/>
        <v>15.4</v>
      </c>
      <c r="D43" s="21">
        <f t="shared" si="9"/>
        <v>15.4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600000000000001" thickBot="1" x14ac:dyDescent="0.4">
      <c r="A44" s="10" t="s">
        <v>255</v>
      </c>
      <c r="B44" s="8">
        <v>1</v>
      </c>
      <c r="C44" s="8">
        <v>29</v>
      </c>
      <c r="D44" s="21">
        <f t="shared" si="9"/>
        <v>29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600000000000001" thickBot="1" x14ac:dyDescent="0.4">
      <c r="A45" s="10" t="s">
        <v>276</v>
      </c>
      <c r="B45" s="14">
        <v>4</v>
      </c>
      <c r="C45" s="21">
        <v>2</v>
      </c>
      <c r="D45" s="21">
        <f t="shared" si="9"/>
        <v>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600000000000001" thickBot="1" x14ac:dyDescent="0.4">
      <c r="A46" s="10" t="s">
        <v>277</v>
      </c>
      <c r="B46" s="14">
        <v>2</v>
      </c>
      <c r="C46" s="21">
        <v>5</v>
      </c>
      <c r="D46" s="21">
        <f t="shared" si="9"/>
        <v>10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600000000000001" thickBot="1" x14ac:dyDescent="0.4">
      <c r="A47" s="83" t="s">
        <v>278</v>
      </c>
      <c r="B47" s="21">
        <v>2</v>
      </c>
      <c r="C47" s="21">
        <v>17.5</v>
      </c>
      <c r="D47" s="21">
        <f t="shared" si="9"/>
        <v>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47.4" customHeight="1" thickBot="1" x14ac:dyDescent="0.4">
      <c r="A48" s="10" t="s">
        <v>279</v>
      </c>
      <c r="B48" s="14">
        <v>1</v>
      </c>
      <c r="C48" s="21">
        <v>6</v>
      </c>
      <c r="D48" s="21">
        <f t="shared" si="9"/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600000000000001" thickBot="1" x14ac:dyDescent="0.4">
      <c r="A49" s="10" t="s">
        <v>280</v>
      </c>
      <c r="B49" s="14">
        <v>2</v>
      </c>
      <c r="C49" s="21">
        <v>1</v>
      </c>
      <c r="D49" s="21">
        <f t="shared" si="9"/>
        <v>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600000000000001" thickBot="1" x14ac:dyDescent="0.4">
      <c r="A50" s="10" t="s">
        <v>69</v>
      </c>
      <c r="B50" s="14">
        <f>SUM(B39:B49)</f>
        <v>18</v>
      </c>
      <c r="C50" s="14">
        <f>SUM(C39:C49)</f>
        <v>303.01099999999997</v>
      </c>
      <c r="D50" s="21">
        <f>SUM(D39:D49)</f>
        <v>400.42099999999994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8" ht="15.6" x14ac:dyDescent="0.3">
      <c r="A81" s="2"/>
      <c r="B81" s="2"/>
      <c r="C81" s="2"/>
      <c r="D81" s="2"/>
      <c r="E81" s="2"/>
      <c r="F81" s="2"/>
      <c r="G81" s="2"/>
      <c r="H81" s="2"/>
    </row>
    <row r="82" spans="1:8" ht="15.6" x14ac:dyDescent="0.3">
      <c r="A82" s="2"/>
      <c r="B82" s="2"/>
      <c r="C82" s="2"/>
      <c r="D82" s="2"/>
      <c r="E82" s="2"/>
      <c r="F82" s="2"/>
      <c r="G82" s="2"/>
      <c r="H82" s="2"/>
    </row>
    <row r="83" spans="1:8" ht="15.6" x14ac:dyDescent="0.3">
      <c r="A83" s="2"/>
      <c r="B83" s="2"/>
      <c r="C83" s="2"/>
      <c r="D83" s="2"/>
      <c r="E83" s="2"/>
      <c r="F83" s="2"/>
      <c r="G83" s="2"/>
      <c r="H83" s="2"/>
    </row>
    <row r="84" spans="1:8" ht="15.6" x14ac:dyDescent="0.3">
      <c r="A84" s="2"/>
      <c r="B84" s="2"/>
      <c r="C84" s="2"/>
      <c r="D84" s="2"/>
      <c r="E84" s="2"/>
      <c r="F84" s="2"/>
      <c r="G84" s="2"/>
      <c r="H84" s="2"/>
    </row>
    <row r="85" spans="1:8" ht="15.6" x14ac:dyDescent="0.3">
      <c r="A85" s="2"/>
      <c r="B85" s="2"/>
      <c r="C85" s="2"/>
      <c r="D85" s="2"/>
      <c r="E85" s="2"/>
      <c r="F85" s="2"/>
      <c r="G85" s="2"/>
      <c r="H85" s="2"/>
    </row>
    <row r="86" spans="1:8" ht="15.6" x14ac:dyDescent="0.3">
      <c r="A86" s="2"/>
      <c r="B86" s="2"/>
      <c r="C86" s="2"/>
      <c r="D86" s="2"/>
      <c r="E86" s="2"/>
      <c r="F86" s="2"/>
      <c r="G86" s="2"/>
      <c r="H86" s="2"/>
    </row>
    <row r="87" spans="1:8" ht="15.6" x14ac:dyDescent="0.3">
      <c r="A87" s="2"/>
      <c r="B87" s="2"/>
      <c r="C87" s="2"/>
      <c r="D87" s="2"/>
      <c r="E87" s="2"/>
      <c r="F87" s="2"/>
      <c r="G87" s="2"/>
      <c r="H87" s="2"/>
    </row>
    <row r="88" spans="1:8" ht="15.6" x14ac:dyDescent="0.3">
      <c r="A88" s="2"/>
      <c r="B88" s="2"/>
      <c r="C88" s="2"/>
      <c r="D88" s="2"/>
      <c r="E88" s="2"/>
      <c r="F88" s="2"/>
      <c r="G88" s="2"/>
      <c r="H88" s="2"/>
    </row>
  </sheetData>
  <customSheetViews>
    <customSheetView guid="{AA87E068-5849-482C-8AC0-FA82B1C10C62}" scale="70" topLeftCell="A31">
      <selection activeCell="D32" sqref="D32"/>
      <pageMargins left="0.7" right="0.7" top="0.75" bottom="0.75" header="0.3" footer="0.3"/>
      <pageSetup paperSize="9" orientation="portrait" verticalDpi="0" r:id="rId1"/>
    </customSheetView>
  </customSheetViews>
  <mergeCells count="10">
    <mergeCell ref="A37:C37"/>
    <mergeCell ref="A12:C12"/>
    <mergeCell ref="A20:D20"/>
    <mergeCell ref="A30:D30"/>
    <mergeCell ref="A1:H1"/>
    <mergeCell ref="A2:A3"/>
    <mergeCell ref="B2:C2"/>
    <mergeCell ref="D2:D3"/>
    <mergeCell ref="F2:F3"/>
    <mergeCell ref="G2:H2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59A1-932C-468F-8065-83DD49AAC799}">
  <dimension ref="A1:Z44"/>
  <sheetViews>
    <sheetView zoomScale="85" zoomScaleNormal="85" workbookViewId="0">
      <selection activeCell="Z44" sqref="A1:Z44"/>
    </sheetView>
  </sheetViews>
  <sheetFormatPr defaultRowHeight="14.4" x14ac:dyDescent="0.3"/>
  <cols>
    <col min="1" max="1" width="35" customWidth="1"/>
    <col min="2" max="2" width="33.44140625" customWidth="1"/>
    <col min="3" max="3" width="51.6640625" customWidth="1"/>
    <col min="5" max="5" width="16.33203125" customWidth="1"/>
  </cols>
  <sheetData>
    <row r="1" spans="1:26" ht="18.600000000000001" thickBot="1" x14ac:dyDescent="0.4">
      <c r="A1" s="126" t="s">
        <v>72</v>
      </c>
      <c r="B1" s="127"/>
      <c r="C1" s="12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6.6" thickBot="1" x14ac:dyDescent="0.4">
      <c r="A2" s="10" t="s">
        <v>8</v>
      </c>
      <c r="B2" s="11" t="s">
        <v>71</v>
      </c>
      <c r="C2" s="11" t="s">
        <v>288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6.6" thickBot="1" x14ac:dyDescent="0.4">
      <c r="A3" s="24" t="s">
        <v>287</v>
      </c>
      <c r="B3" s="84">
        <v>3600</v>
      </c>
      <c r="C3" s="18">
        <v>50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600000000000001" thickBot="1" x14ac:dyDescent="0.4">
      <c r="A4" s="24" t="s">
        <v>243</v>
      </c>
      <c r="B4" s="84">
        <v>3600</v>
      </c>
      <c r="C4" s="18">
        <v>90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600000000000001" thickBot="1" x14ac:dyDescent="0.4">
      <c r="A5" s="24" t="s">
        <v>244</v>
      </c>
      <c r="B5" s="84">
        <v>3600</v>
      </c>
      <c r="C5" s="18">
        <v>300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600000000000001" thickBot="1" x14ac:dyDescent="0.4">
      <c r="A6" s="24" t="s">
        <v>245</v>
      </c>
      <c r="B6" s="84">
        <v>3600</v>
      </c>
      <c r="C6" s="21">
        <v>90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600000000000001" thickBot="1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600000000000001" thickBot="1" x14ac:dyDescent="0.4">
      <c r="A8" s="42" t="s">
        <v>293</v>
      </c>
      <c r="B8" s="43"/>
      <c r="C8" s="4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.600000000000001" thickBot="1" x14ac:dyDescent="0.4">
      <c r="A9" s="10" t="s">
        <v>73</v>
      </c>
      <c r="B9" s="11" t="s">
        <v>74</v>
      </c>
      <c r="C9" s="11" t="s">
        <v>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600000000000001" thickBot="1" x14ac:dyDescent="0.4">
      <c r="A10" s="85" t="s">
        <v>289</v>
      </c>
      <c r="B10" s="86">
        <v>2</v>
      </c>
      <c r="C10" s="18" t="s">
        <v>292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6.6" thickBot="1" x14ac:dyDescent="0.4">
      <c r="A11" s="12" t="s">
        <v>290</v>
      </c>
      <c r="B11" s="86">
        <v>2</v>
      </c>
      <c r="C11" s="18" t="s">
        <v>292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600000000000001" thickBot="1" x14ac:dyDescent="0.4">
      <c r="A12" s="85" t="s">
        <v>291</v>
      </c>
      <c r="B12" s="86">
        <v>2</v>
      </c>
      <c r="C12" s="18" t="s">
        <v>292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</sheetData>
  <customSheetViews>
    <customSheetView guid="{AA87E068-5849-482C-8AC0-FA82B1C10C62}" scale="70">
      <selection activeCell="C38" sqref="C38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50C1-90DD-4BDA-AE57-3465EBFF0FDD}">
  <dimension ref="A1:AA62"/>
  <sheetViews>
    <sheetView zoomScale="70" zoomScaleNormal="70" workbookViewId="0">
      <selection activeCell="AA62" sqref="A1:AA62"/>
    </sheetView>
  </sheetViews>
  <sheetFormatPr defaultRowHeight="14.4" x14ac:dyDescent="0.3"/>
  <cols>
    <col min="1" max="1" width="46.88671875" customWidth="1"/>
    <col min="2" max="2" width="54.77734375" customWidth="1"/>
    <col min="3" max="3" width="24.109375" customWidth="1"/>
    <col min="4" max="4" width="9" bestFit="1" customWidth="1"/>
    <col min="5" max="5" width="10" bestFit="1" customWidth="1"/>
    <col min="7" max="7" width="11.77734375" customWidth="1"/>
  </cols>
  <sheetData>
    <row r="1" spans="1:27" ht="18.600000000000001" thickBot="1" x14ac:dyDescent="0.4">
      <c r="A1" s="126" t="s">
        <v>89</v>
      </c>
      <c r="B1" s="127"/>
      <c r="C1" s="12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30" customHeight="1" thickBot="1" x14ac:dyDescent="0.4">
      <c r="A2" s="10" t="s">
        <v>77</v>
      </c>
      <c r="B2" s="11" t="s">
        <v>78</v>
      </c>
      <c r="C2" s="11" t="s">
        <v>79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57" customHeight="1" thickBot="1" x14ac:dyDescent="0.4">
      <c r="A3" s="12" t="s">
        <v>80</v>
      </c>
      <c r="B3" s="15" t="s">
        <v>81</v>
      </c>
      <c r="C3" s="8">
        <f>240*5</f>
        <v>1200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98.4" customHeight="1" thickBot="1" x14ac:dyDescent="0.4">
      <c r="A4" s="12" t="s">
        <v>82</v>
      </c>
      <c r="B4" s="15" t="s">
        <v>81</v>
      </c>
      <c r="C4" s="14">
        <f>365-240</f>
        <v>125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36.6" thickBot="1" x14ac:dyDescent="0.4">
      <c r="A5" s="12" t="s">
        <v>83</v>
      </c>
      <c r="B5" s="15" t="s">
        <v>81</v>
      </c>
      <c r="C5" s="8">
        <v>240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600000000000001" thickBot="1" x14ac:dyDescent="0.4">
      <c r="A6" s="10" t="s">
        <v>294</v>
      </c>
      <c r="B6" s="10" t="s">
        <v>81</v>
      </c>
      <c r="C6" s="21">
        <v>12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600000000000001" thickBot="1" x14ac:dyDescent="0.4">
      <c r="A7" s="10" t="s">
        <v>85</v>
      </c>
      <c r="B7" s="10" t="s">
        <v>81</v>
      </c>
      <c r="C7" s="14">
        <v>240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6.6" thickBot="1" x14ac:dyDescent="0.4">
      <c r="A8" s="10" t="s">
        <v>86</v>
      </c>
      <c r="B8" s="10" t="s">
        <v>87</v>
      </c>
      <c r="C8" s="14">
        <v>6.15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36.6" thickBot="1" x14ac:dyDescent="0.4">
      <c r="A9" s="12" t="s">
        <v>88</v>
      </c>
      <c r="B9" s="15" t="s">
        <v>87</v>
      </c>
      <c r="C9" s="8">
        <f>(C8*C5) - (C6*C8)</f>
        <v>1402.2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600000000000001" thickBot="1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600000000000001" thickBot="1" x14ac:dyDescent="0.4">
      <c r="A12" s="132" t="s">
        <v>95</v>
      </c>
      <c r="B12" s="133"/>
      <c r="C12" s="133"/>
      <c r="D12" s="13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36.6" thickBot="1" x14ac:dyDescent="0.4">
      <c r="A13" s="87" t="s">
        <v>90</v>
      </c>
      <c r="B13" s="88" t="s">
        <v>91</v>
      </c>
      <c r="C13" s="89" t="s">
        <v>92</v>
      </c>
      <c r="D13" s="9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54.6" thickBot="1" x14ac:dyDescent="0.4">
      <c r="A14" s="85"/>
      <c r="B14" s="12"/>
      <c r="C14" s="15" t="s">
        <v>93</v>
      </c>
      <c r="D14" s="15" t="s">
        <v>94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600000000000001" thickBot="1" x14ac:dyDescent="0.4">
      <c r="A15" s="12" t="s">
        <v>284</v>
      </c>
      <c r="B15" s="8">
        <v>1200</v>
      </c>
      <c r="C15" s="9">
        <f>'Раздел 1'!G20/60</f>
        <v>2.2166666666666668</v>
      </c>
      <c r="D15" s="8">
        <f>B15*C15</f>
        <v>2660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600000000000001" thickBot="1" x14ac:dyDescent="0.4">
      <c r="A16" s="12" t="s">
        <v>285</v>
      </c>
      <c r="B16" s="8">
        <v>1200</v>
      </c>
      <c r="C16" s="9">
        <f>'Раздел 1'!H20/60</f>
        <v>1.9666666666666666</v>
      </c>
      <c r="D16" s="8">
        <f t="shared" ref="D16:D17" si="0">B16*C16</f>
        <v>2360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600000000000001" thickBot="1" x14ac:dyDescent="0.4">
      <c r="A17" s="12" t="s">
        <v>286</v>
      </c>
      <c r="B17" s="8">
        <v>1200</v>
      </c>
      <c r="C17" s="9">
        <f>'Раздел 1'!I20/60</f>
        <v>1.65</v>
      </c>
      <c r="D17" s="8">
        <f t="shared" si="0"/>
        <v>1980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600000000000001" thickBot="1" x14ac:dyDescent="0.4">
      <c r="A18" s="85" t="s">
        <v>69</v>
      </c>
      <c r="B18" s="18" t="s">
        <v>53</v>
      </c>
      <c r="C18" s="18" t="s">
        <v>53</v>
      </c>
      <c r="D18" s="17">
        <f>SUM(D15:D17)</f>
        <v>7000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600000000000001" thickBo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6.6" thickBot="1" x14ac:dyDescent="0.4">
      <c r="A20" s="91" t="s">
        <v>109</v>
      </c>
      <c r="B20" s="92"/>
      <c r="C20" s="20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600000000000001" thickBot="1" x14ac:dyDescent="0.4">
      <c r="A21" s="93" t="s">
        <v>10</v>
      </c>
      <c r="B21" s="90" t="s">
        <v>78</v>
      </c>
      <c r="C21" s="90" t="s">
        <v>96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600000000000001" thickBot="1" x14ac:dyDescent="0.4">
      <c r="A22" s="85" t="s">
        <v>97</v>
      </c>
      <c r="B22" s="84" t="s">
        <v>98</v>
      </c>
      <c r="C22" s="8">
        <f>D18</f>
        <v>7000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36.6" thickBot="1" x14ac:dyDescent="0.4">
      <c r="A23" s="12" t="s">
        <v>99</v>
      </c>
      <c r="B23" s="84" t="s">
        <v>23</v>
      </c>
      <c r="C23" s="94">
        <f>D18/7011*100</f>
        <v>99.843103694194838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54.6" thickBot="1" x14ac:dyDescent="0.4">
      <c r="A24" s="12" t="s">
        <v>100</v>
      </c>
      <c r="B24" s="84" t="s">
        <v>98</v>
      </c>
      <c r="C24" s="8">
        <v>7011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36.6" thickBot="1" x14ac:dyDescent="0.4">
      <c r="A25" s="12" t="s">
        <v>101</v>
      </c>
      <c r="B25" s="84" t="s">
        <v>102</v>
      </c>
      <c r="C25" s="8">
        <f>C9</f>
        <v>1402.2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54.6" thickBot="1" x14ac:dyDescent="0.4">
      <c r="A26" s="12" t="s">
        <v>103</v>
      </c>
      <c r="B26" s="84" t="s">
        <v>104</v>
      </c>
      <c r="C26" s="8">
        <v>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6.6" thickBot="1" x14ac:dyDescent="0.4">
      <c r="A27" s="12" t="s">
        <v>105</v>
      </c>
      <c r="B27" s="84" t="s">
        <v>104</v>
      </c>
      <c r="C27" s="8" t="s">
        <v>292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600000000000001" thickBot="1" x14ac:dyDescent="0.4">
      <c r="A28" s="12" t="s">
        <v>84</v>
      </c>
      <c r="B28" s="84"/>
      <c r="C28" s="8" t="s">
        <v>292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600000000000001" thickBot="1" x14ac:dyDescent="0.4">
      <c r="A29" s="12" t="s">
        <v>106</v>
      </c>
      <c r="B29" s="84" t="s">
        <v>104</v>
      </c>
      <c r="C29" s="8" t="s">
        <v>292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600000000000001" thickBot="1" x14ac:dyDescent="0.4">
      <c r="A30" s="12" t="s">
        <v>107</v>
      </c>
      <c r="B30" s="84" t="s">
        <v>104</v>
      </c>
      <c r="C30" s="8" t="s">
        <v>292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600000000000001" thickBot="1" x14ac:dyDescent="0.4">
      <c r="A31" s="85" t="s">
        <v>108</v>
      </c>
      <c r="B31" s="84" t="s">
        <v>104</v>
      </c>
      <c r="C31" s="8">
        <v>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600000000000001" thickBo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600000000000001" thickBot="1" x14ac:dyDescent="0.4">
      <c r="A34" s="132" t="s">
        <v>115</v>
      </c>
      <c r="B34" s="133"/>
      <c r="C34" s="133"/>
      <c r="D34" s="43"/>
      <c r="E34" s="95"/>
      <c r="F34" s="96"/>
      <c r="G34" s="9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4.6" thickBot="1" x14ac:dyDescent="0.4">
      <c r="A35" s="10" t="s">
        <v>110</v>
      </c>
      <c r="B35" s="11" t="s">
        <v>4</v>
      </c>
      <c r="C35" s="11" t="s">
        <v>111</v>
      </c>
      <c r="D35" s="11" t="s">
        <v>112</v>
      </c>
      <c r="E35" s="11" t="s">
        <v>113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600000000000001" thickBot="1" x14ac:dyDescent="0.4">
      <c r="A36" s="12">
        <v>1</v>
      </c>
      <c r="B36" s="15" t="s">
        <v>287</v>
      </c>
      <c r="C36" s="8">
        <f>'Раздел 4'!B3</f>
        <v>3600</v>
      </c>
      <c r="D36" s="8">
        <f>'Раздел 4'!C3</f>
        <v>50</v>
      </c>
      <c r="E36" s="8">
        <f>D36*C36</f>
        <v>180000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600000000000001" thickBot="1" x14ac:dyDescent="0.4">
      <c r="A37" s="12">
        <v>2</v>
      </c>
      <c r="B37" s="15" t="s">
        <v>243</v>
      </c>
      <c r="C37" s="8">
        <f>'Раздел 4'!B4</f>
        <v>3600</v>
      </c>
      <c r="D37" s="8">
        <f>'Раздел 4'!C4</f>
        <v>90</v>
      </c>
      <c r="E37" s="8">
        <f t="shared" ref="E37:E39" si="1">D37*C37</f>
        <v>324000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600000000000001" thickBot="1" x14ac:dyDescent="0.4">
      <c r="A38" s="12">
        <v>3</v>
      </c>
      <c r="B38" s="15" t="s">
        <v>244</v>
      </c>
      <c r="C38" s="8">
        <f>'Раздел 4'!B5</f>
        <v>3600</v>
      </c>
      <c r="D38" s="8">
        <f>'Раздел 4'!C5</f>
        <v>300</v>
      </c>
      <c r="E38" s="8">
        <f t="shared" si="1"/>
        <v>1080000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600000000000001" thickBot="1" x14ac:dyDescent="0.4">
      <c r="A39" s="10">
        <v>4</v>
      </c>
      <c r="B39" s="15" t="s">
        <v>245</v>
      </c>
      <c r="C39" s="8">
        <f>'Раздел 4'!B6</f>
        <v>3600</v>
      </c>
      <c r="D39" s="14">
        <f>'Раздел 4'!C6</f>
        <v>90</v>
      </c>
      <c r="E39" s="8">
        <f t="shared" si="1"/>
        <v>324000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600000000000001" thickBot="1" x14ac:dyDescent="0.4">
      <c r="A40" s="85"/>
      <c r="B40" s="84" t="s">
        <v>114</v>
      </c>
      <c r="C40" s="18" t="s">
        <v>53</v>
      </c>
      <c r="D40" s="18" t="s">
        <v>53</v>
      </c>
      <c r="E40" s="8">
        <f>SUM(E36:E39)</f>
        <v>1908000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" x14ac:dyDescent="0.35">
      <c r="A45" s="131"/>
      <c r="B45" s="131"/>
      <c r="C45" s="131"/>
      <c r="D45" s="131"/>
      <c r="E45" s="131"/>
      <c r="F45" s="13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" x14ac:dyDescent="0.35">
      <c r="A46" s="131"/>
      <c r="B46" s="131"/>
      <c r="C46" s="131"/>
      <c r="D46" s="131"/>
      <c r="E46" s="131"/>
      <c r="F46" s="13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" x14ac:dyDescent="0.35">
      <c r="A47" s="131"/>
      <c r="B47" s="131"/>
      <c r="C47" s="131"/>
      <c r="D47" s="5"/>
      <c r="E47" s="5"/>
      <c r="F47" s="13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</sheetData>
  <customSheetViews>
    <customSheetView guid="{AA87E068-5849-482C-8AC0-FA82B1C10C62}" scale="70" topLeftCell="A19">
      <selection activeCell="B43" sqref="B43"/>
      <pageMargins left="0.7" right="0.7" top="0.75" bottom="0.75" header="0.3" footer="0.3"/>
    </customSheetView>
  </customSheetViews>
  <mergeCells count="9">
    <mergeCell ref="F46:F47"/>
    <mergeCell ref="A45:F45"/>
    <mergeCell ref="A1:C1"/>
    <mergeCell ref="A12:D12"/>
    <mergeCell ref="A46:A47"/>
    <mergeCell ref="B46:B47"/>
    <mergeCell ref="C46:C47"/>
    <mergeCell ref="D46:E46"/>
    <mergeCell ref="A34:C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80E8-0483-4833-AA68-05E419D04D7F}">
  <dimension ref="A1:AD107"/>
  <sheetViews>
    <sheetView zoomScale="70" zoomScaleNormal="70" workbookViewId="0">
      <selection activeCell="AN55" sqref="AN55"/>
    </sheetView>
  </sheetViews>
  <sheetFormatPr defaultRowHeight="14.4" x14ac:dyDescent="0.3"/>
  <cols>
    <col min="1" max="1" width="20.44140625" customWidth="1"/>
    <col min="2" max="2" width="58.109375" customWidth="1"/>
    <col min="3" max="3" width="23" customWidth="1"/>
    <col min="4" max="4" width="21" customWidth="1"/>
    <col min="5" max="5" width="24" customWidth="1"/>
  </cols>
  <sheetData>
    <row r="1" spans="1:30" ht="18.600000000000001" thickBot="1" x14ac:dyDescent="0.4">
      <c r="A1" s="132" t="s">
        <v>116</v>
      </c>
      <c r="B1" s="133"/>
      <c r="C1" s="133"/>
      <c r="D1" s="133"/>
      <c r="E1" s="13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8.600000000000001" thickBot="1" x14ac:dyDescent="0.4">
      <c r="A2" s="138" t="s">
        <v>110</v>
      </c>
      <c r="B2" s="135" t="s">
        <v>10</v>
      </c>
      <c r="C2" s="140" t="s">
        <v>117</v>
      </c>
      <c r="D2" s="141"/>
      <c r="E2" s="14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36.6" thickBot="1" x14ac:dyDescent="0.4">
      <c r="A3" s="139"/>
      <c r="B3" s="137"/>
      <c r="C3" s="15" t="s">
        <v>74</v>
      </c>
      <c r="D3" s="15" t="s">
        <v>75</v>
      </c>
      <c r="E3" s="84" t="s">
        <v>69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8.600000000000001" thickBot="1" x14ac:dyDescent="0.4">
      <c r="A4" s="135">
        <v>1</v>
      </c>
      <c r="B4" s="15" t="s">
        <v>118</v>
      </c>
      <c r="C4" s="8">
        <f>C5</f>
        <v>1908</v>
      </c>
      <c r="D4" s="8">
        <v>0</v>
      </c>
      <c r="E4" s="8">
        <f>C4+D4</f>
        <v>1908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8.600000000000001" thickBot="1" x14ac:dyDescent="0.4">
      <c r="A5" s="136"/>
      <c r="B5" s="84" t="s">
        <v>119</v>
      </c>
      <c r="C5" s="8">
        <f>'Раздел 5'!E40/1000</f>
        <v>1908</v>
      </c>
      <c r="D5" s="18">
        <v>0</v>
      </c>
      <c r="E5" s="8">
        <f t="shared" ref="E5:E7" si="0">C5+D5</f>
        <v>1908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36.6" thickBot="1" x14ac:dyDescent="0.4">
      <c r="A6" s="137"/>
      <c r="B6" s="15" t="s">
        <v>120</v>
      </c>
      <c r="C6" s="18">
        <v>0</v>
      </c>
      <c r="D6" s="8">
        <v>0</v>
      </c>
      <c r="E6" s="8">
        <f t="shared" si="0"/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8.600000000000001" thickBot="1" x14ac:dyDescent="0.4">
      <c r="A7" s="85">
        <v>2</v>
      </c>
      <c r="B7" s="84" t="s">
        <v>69</v>
      </c>
      <c r="C7" s="8">
        <f>C5</f>
        <v>1908</v>
      </c>
      <c r="D7" s="18">
        <v>0</v>
      </c>
      <c r="E7" s="8">
        <f t="shared" si="0"/>
        <v>1908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8.600000000000001" thickBot="1" x14ac:dyDescent="0.4">
      <c r="A8" s="85">
        <v>3</v>
      </c>
      <c r="B8" s="15" t="s">
        <v>121</v>
      </c>
      <c r="C8" s="8">
        <f>C7+C6</f>
        <v>1908</v>
      </c>
      <c r="D8" s="18">
        <v>0</v>
      </c>
      <c r="E8" s="8">
        <f>C8+D8</f>
        <v>1908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54.6" thickBot="1" x14ac:dyDescent="0.4">
      <c r="A9" s="85">
        <v>4</v>
      </c>
      <c r="B9" s="15" t="s">
        <v>122</v>
      </c>
      <c r="C9" s="18">
        <f>150000/1000</f>
        <v>150</v>
      </c>
      <c r="D9" s="18">
        <v>0</v>
      </c>
      <c r="E9" s="8">
        <f>C9+D9</f>
        <v>150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8.600000000000001" thickBot="1" x14ac:dyDescent="0.4">
      <c r="A10" s="85"/>
      <c r="B10" s="84" t="s">
        <v>76</v>
      </c>
      <c r="C10" s="18">
        <f>100000/1000</f>
        <v>100</v>
      </c>
      <c r="D10" s="18">
        <v>0</v>
      </c>
      <c r="E10" s="8">
        <f>C10+D10</f>
        <v>100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8.600000000000001" thickBot="1" x14ac:dyDescent="0.4">
      <c r="A11" s="85"/>
      <c r="B11" s="84" t="s">
        <v>295</v>
      </c>
      <c r="C11" s="18">
        <f>50000/1000</f>
        <v>50</v>
      </c>
      <c r="D11" s="18">
        <v>0</v>
      </c>
      <c r="E11" s="8">
        <f>C11+D11</f>
        <v>50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8.600000000000001" thickBot="1" x14ac:dyDescent="0.4">
      <c r="A12" s="85">
        <v>5</v>
      </c>
      <c r="B12" s="84" t="s">
        <v>123</v>
      </c>
      <c r="C12" s="8">
        <f>C8+C9</f>
        <v>2058</v>
      </c>
      <c r="D12" s="18">
        <v>0</v>
      </c>
      <c r="E12" s="8">
        <f>C12+D12</f>
        <v>2058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8.600000000000001" thickBot="1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8.600000000000001" thickBot="1" x14ac:dyDescent="0.4">
      <c r="A15" s="126" t="s">
        <v>130</v>
      </c>
      <c r="B15" s="127"/>
      <c r="C15" s="127"/>
      <c r="D15" s="127"/>
      <c r="E15" s="12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54.6" thickBot="1" x14ac:dyDescent="0.4">
      <c r="A16" s="10" t="s">
        <v>110</v>
      </c>
      <c r="B16" s="11" t="s">
        <v>124</v>
      </c>
      <c r="C16" s="11" t="s">
        <v>125</v>
      </c>
      <c r="D16" s="11" t="s">
        <v>126</v>
      </c>
      <c r="E16" s="11" t="s">
        <v>127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8.600000000000001" thickBot="1" x14ac:dyDescent="0.4">
      <c r="A17" s="12">
        <v>1</v>
      </c>
      <c r="B17" s="15" t="s">
        <v>128</v>
      </c>
      <c r="C17" s="8">
        <v>5</v>
      </c>
      <c r="D17" s="8">
        <f>31400/1000</f>
        <v>31.4</v>
      </c>
      <c r="E17" s="8">
        <f>E12</f>
        <v>2058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8.600000000000001" thickBot="1" x14ac:dyDescent="0.4">
      <c r="A18" s="97"/>
      <c r="B18" s="84" t="s">
        <v>129</v>
      </c>
      <c r="C18" s="8">
        <v>5</v>
      </c>
      <c r="D18" s="8">
        <f>D17</f>
        <v>31.4</v>
      </c>
      <c r="E18" s="8">
        <f>E17</f>
        <v>2058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8.600000000000001" thickBot="1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8.600000000000001" thickBot="1" x14ac:dyDescent="0.4">
      <c r="A21" s="126" t="s">
        <v>131</v>
      </c>
      <c r="B21" s="127"/>
      <c r="C21" s="127"/>
      <c r="D21" s="12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8" x14ac:dyDescent="0.35">
      <c r="A22" s="138" t="s">
        <v>110</v>
      </c>
      <c r="B22" s="138" t="s">
        <v>10</v>
      </c>
      <c r="C22" s="138" t="s">
        <v>15</v>
      </c>
      <c r="D22" s="138" t="s">
        <v>132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8.600000000000001" thickBot="1" x14ac:dyDescent="0.4">
      <c r="A23" s="139"/>
      <c r="B23" s="139"/>
      <c r="C23" s="139"/>
      <c r="D23" s="13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8.600000000000001" thickBot="1" x14ac:dyDescent="0.4">
      <c r="A24" s="135">
        <v>1</v>
      </c>
      <c r="B24" s="84" t="s">
        <v>133</v>
      </c>
      <c r="C24" s="18"/>
      <c r="D24" s="1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8.600000000000001" thickBot="1" x14ac:dyDescent="0.4">
      <c r="A25" s="136"/>
      <c r="B25" s="84" t="s">
        <v>134</v>
      </c>
      <c r="C25" s="18" t="s">
        <v>104</v>
      </c>
      <c r="D25" s="18">
        <v>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8.600000000000001" thickBot="1" x14ac:dyDescent="0.4">
      <c r="A26" s="136"/>
      <c r="B26" s="84" t="s">
        <v>84</v>
      </c>
      <c r="C26" s="18"/>
      <c r="D26" s="1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8.600000000000001" thickBot="1" x14ac:dyDescent="0.4">
      <c r="A27" s="136"/>
      <c r="B27" s="84" t="s">
        <v>135</v>
      </c>
      <c r="C27" s="18" t="s">
        <v>104</v>
      </c>
      <c r="D27" s="8">
        <v>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8.600000000000001" thickBot="1" x14ac:dyDescent="0.4">
      <c r="A28" s="136"/>
      <c r="B28" s="84" t="s">
        <v>136</v>
      </c>
      <c r="C28" s="18" t="s">
        <v>104</v>
      </c>
      <c r="D28" s="8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8.600000000000001" thickBot="1" x14ac:dyDescent="0.4">
      <c r="A29" s="136"/>
      <c r="B29" s="84" t="s">
        <v>137</v>
      </c>
      <c r="C29" s="18" t="s">
        <v>104</v>
      </c>
      <c r="D29" s="8"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6.2" customHeight="1" thickBot="1" x14ac:dyDescent="0.4">
      <c r="A30" s="137"/>
      <c r="B30" s="84" t="s">
        <v>138</v>
      </c>
      <c r="C30" s="18" t="s">
        <v>104</v>
      </c>
      <c r="D30" s="8">
        <v>0</v>
      </c>
      <c r="E30" s="9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8.600000000000001" thickBot="1" x14ac:dyDescent="0.4">
      <c r="A31" s="135">
        <v>2</v>
      </c>
      <c r="B31" s="84" t="s">
        <v>139</v>
      </c>
      <c r="C31" s="18"/>
      <c r="D31" s="18"/>
      <c r="E31" s="9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8.600000000000001" thickBot="1" x14ac:dyDescent="0.4">
      <c r="A32" s="136"/>
      <c r="B32" s="84" t="s">
        <v>140</v>
      </c>
      <c r="C32" s="18" t="s">
        <v>141</v>
      </c>
      <c r="D32" s="95">
        <f>E18</f>
        <v>2058</v>
      </c>
      <c r="E32" s="9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8.600000000000001" thickBot="1" x14ac:dyDescent="0.4">
      <c r="A33" s="136"/>
      <c r="B33" s="93" t="s">
        <v>84</v>
      </c>
      <c r="C33" s="95"/>
      <c r="D33" s="95"/>
      <c r="E33" s="9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8.600000000000001" thickBot="1" x14ac:dyDescent="0.4">
      <c r="A34" s="136"/>
      <c r="B34" s="93" t="s">
        <v>138</v>
      </c>
      <c r="C34" s="18" t="s">
        <v>141</v>
      </c>
      <c r="D34" s="14">
        <f>E17</f>
        <v>2058</v>
      </c>
      <c r="E34" s="9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8.600000000000001" thickBot="1" x14ac:dyDescent="0.4">
      <c r="A35" s="136"/>
      <c r="B35" s="93" t="s">
        <v>136</v>
      </c>
      <c r="C35" s="95" t="s">
        <v>141</v>
      </c>
      <c r="D35" s="18">
        <v>0</v>
      </c>
      <c r="E35" s="9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8.600000000000001" thickBot="1" x14ac:dyDescent="0.4">
      <c r="A36" s="136"/>
      <c r="B36" s="93" t="s">
        <v>137</v>
      </c>
      <c r="C36" s="95" t="s">
        <v>141</v>
      </c>
      <c r="D36" s="18">
        <v>0</v>
      </c>
      <c r="E36" s="9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8.600000000000001" thickBot="1" x14ac:dyDescent="0.4">
      <c r="A37" s="137"/>
      <c r="B37" s="93" t="s">
        <v>135</v>
      </c>
      <c r="C37" s="18" t="s">
        <v>141</v>
      </c>
      <c r="D37" s="18">
        <v>0</v>
      </c>
      <c r="E37" s="9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8.600000000000001" thickBot="1" x14ac:dyDescent="0.4">
      <c r="A38" s="135">
        <v>3</v>
      </c>
      <c r="B38" s="93" t="s">
        <v>142</v>
      </c>
      <c r="C38" s="18"/>
      <c r="D38" s="18">
        <f>E17/12</f>
        <v>171.5</v>
      </c>
      <c r="E38" s="9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8.600000000000001" thickBot="1" x14ac:dyDescent="0.4">
      <c r="A39" s="136"/>
      <c r="B39" s="84" t="s">
        <v>140</v>
      </c>
      <c r="C39" s="18" t="s">
        <v>143</v>
      </c>
      <c r="D39" s="18">
        <f>E18/12</f>
        <v>171.5</v>
      </c>
      <c r="E39" s="9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8.600000000000001" thickBot="1" x14ac:dyDescent="0.4">
      <c r="A40" s="136"/>
      <c r="B40" s="84" t="s">
        <v>84</v>
      </c>
      <c r="C40" s="18"/>
      <c r="D40" s="18"/>
      <c r="E40" s="9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8.600000000000001" thickBot="1" x14ac:dyDescent="0.4">
      <c r="A41" s="136"/>
      <c r="B41" s="84" t="s">
        <v>138</v>
      </c>
      <c r="C41" s="18" t="s">
        <v>143</v>
      </c>
      <c r="D41" s="18">
        <f>E17</f>
        <v>2058</v>
      </c>
      <c r="E41" s="9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8.600000000000001" thickBot="1" x14ac:dyDescent="0.4">
      <c r="A42" s="136"/>
      <c r="B42" s="84" t="s">
        <v>136</v>
      </c>
      <c r="C42" s="18" t="s">
        <v>143</v>
      </c>
      <c r="D42" s="18">
        <v>0</v>
      </c>
      <c r="E42" s="9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8.600000000000001" thickBot="1" x14ac:dyDescent="0.4">
      <c r="A43" s="136"/>
      <c r="B43" s="84" t="s">
        <v>137</v>
      </c>
      <c r="C43" s="18" t="s">
        <v>143</v>
      </c>
      <c r="D43" s="18">
        <v>0</v>
      </c>
      <c r="E43" s="9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8.600000000000001" thickBot="1" x14ac:dyDescent="0.4">
      <c r="A44" s="137"/>
      <c r="B44" s="93" t="s">
        <v>135</v>
      </c>
      <c r="C44" s="18" t="s">
        <v>143</v>
      </c>
      <c r="D44" s="18">
        <v>0</v>
      </c>
      <c r="E44" s="9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8" x14ac:dyDescent="0.35">
      <c r="A45" s="5"/>
      <c r="B45" s="5"/>
      <c r="C45" s="5"/>
      <c r="D45" s="5"/>
      <c r="E45" s="9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8" x14ac:dyDescent="0.35">
      <c r="A46" s="5"/>
      <c r="B46" s="5"/>
      <c r="C46" s="5"/>
      <c r="D46" s="5"/>
      <c r="E46" s="9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8" x14ac:dyDescent="0.35">
      <c r="A47" s="5"/>
      <c r="B47" s="5"/>
      <c r="C47" s="5"/>
      <c r="D47" s="5"/>
      <c r="E47" s="9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8" x14ac:dyDescent="0.35">
      <c r="A48" s="5"/>
      <c r="B48" s="5"/>
      <c r="C48" s="5"/>
      <c r="D48" s="5"/>
      <c r="E48" s="9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8" x14ac:dyDescent="0.35">
      <c r="A49" s="5"/>
      <c r="B49" s="5"/>
      <c r="C49" s="5"/>
      <c r="D49" s="5"/>
      <c r="E49" s="9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x14ac:dyDescent="0.35">
      <c r="A50" s="5"/>
      <c r="B50" s="5"/>
      <c r="C50" s="5"/>
      <c r="D50" s="5"/>
      <c r="E50" s="9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x14ac:dyDescent="0.35">
      <c r="A51" s="5"/>
      <c r="B51" s="5"/>
      <c r="C51" s="5"/>
      <c r="D51" s="5"/>
      <c r="E51" s="9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8" x14ac:dyDescent="0.35">
      <c r="A52" s="5"/>
      <c r="B52" s="5"/>
      <c r="C52" s="5"/>
      <c r="D52" s="5"/>
      <c r="E52" s="9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</sheetData>
  <customSheetViews>
    <customSheetView guid="{AA87E068-5849-482C-8AC0-FA82B1C10C62}" scale="85" topLeftCell="A7">
      <selection activeCell="E32" sqref="E32"/>
      <pageMargins left="0.7" right="0.7" top="0.75" bottom="0.75" header="0.3" footer="0.3"/>
    </customSheetView>
  </customSheetViews>
  <mergeCells count="14">
    <mergeCell ref="A1:E1"/>
    <mergeCell ref="A2:A3"/>
    <mergeCell ref="B2:B3"/>
    <mergeCell ref="C2:E2"/>
    <mergeCell ref="A4:A6"/>
    <mergeCell ref="A31:A37"/>
    <mergeCell ref="A38:A44"/>
    <mergeCell ref="A21:D21"/>
    <mergeCell ref="A15:E15"/>
    <mergeCell ref="A22:A23"/>
    <mergeCell ref="B22:B23"/>
    <mergeCell ref="C22:C23"/>
    <mergeCell ref="D22:D23"/>
    <mergeCell ref="A24:A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15D6-332D-4D2B-A46F-8B2744F2D98C}">
  <dimension ref="A1:AS107"/>
  <sheetViews>
    <sheetView zoomScale="40" zoomScaleNormal="40" workbookViewId="0">
      <selection activeCell="T28" sqref="T28"/>
    </sheetView>
  </sheetViews>
  <sheetFormatPr defaultRowHeight="14.4" x14ac:dyDescent="0.3"/>
  <cols>
    <col min="1" max="1" width="43.5546875" customWidth="1"/>
    <col min="2" max="2" width="50.5546875" customWidth="1"/>
    <col min="3" max="3" width="26.33203125" customWidth="1"/>
    <col min="4" max="5" width="9" bestFit="1" customWidth="1"/>
    <col min="6" max="6" width="11.21875" bestFit="1" customWidth="1"/>
    <col min="7" max="7" width="18" customWidth="1"/>
    <col min="8" max="8" width="15" bestFit="1" customWidth="1"/>
    <col min="10" max="10" width="13.21875" customWidth="1"/>
    <col min="11" max="11" width="9.88671875" bestFit="1" customWidth="1"/>
  </cols>
  <sheetData>
    <row r="1" spans="1:45" ht="18.600000000000001" thickBot="1" x14ac:dyDescent="0.4">
      <c r="A1" s="132" t="s">
        <v>144</v>
      </c>
      <c r="B1" s="133"/>
      <c r="C1" s="133"/>
      <c r="D1" s="133"/>
      <c r="E1" s="133"/>
      <c r="F1" s="13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ht="31.2" customHeight="1" thickBot="1" x14ac:dyDescent="0.4">
      <c r="A2" s="143" t="s">
        <v>16</v>
      </c>
      <c r="B2" s="143" t="s">
        <v>18</v>
      </c>
      <c r="C2" s="45" t="s">
        <v>145</v>
      </c>
      <c r="D2" s="45" t="s">
        <v>146</v>
      </c>
      <c r="E2" s="6" t="s">
        <v>147</v>
      </c>
      <c r="F2" s="7"/>
      <c r="G2" s="45" t="s">
        <v>18</v>
      </c>
      <c r="H2" s="45" t="s">
        <v>305</v>
      </c>
      <c r="I2" s="45" t="s">
        <v>306</v>
      </c>
      <c r="J2" s="6" t="s">
        <v>147</v>
      </c>
      <c r="K2" s="7"/>
      <c r="L2" s="45" t="s">
        <v>18</v>
      </c>
      <c r="M2" s="45" t="s">
        <v>305</v>
      </c>
      <c r="N2" s="45" t="s">
        <v>306</v>
      </c>
      <c r="O2" s="6" t="s">
        <v>147</v>
      </c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90.6" thickBot="1" x14ac:dyDescent="0.4">
      <c r="A3" s="144"/>
      <c r="B3" s="144"/>
      <c r="C3" s="46"/>
      <c r="D3" s="46"/>
      <c r="E3" s="7" t="s">
        <v>148</v>
      </c>
      <c r="F3" s="7" t="s">
        <v>149</v>
      </c>
      <c r="G3" s="46"/>
      <c r="H3" s="46"/>
      <c r="I3" s="46"/>
      <c r="J3" s="7" t="s">
        <v>148</v>
      </c>
      <c r="K3" s="7" t="s">
        <v>149</v>
      </c>
      <c r="L3" s="46"/>
      <c r="M3" s="46"/>
      <c r="N3" s="46"/>
      <c r="O3" s="7" t="s">
        <v>148</v>
      </c>
      <c r="P3" s="7" t="s">
        <v>149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54.6" thickBot="1" x14ac:dyDescent="0.4">
      <c r="A4" s="46" t="s">
        <v>284</v>
      </c>
      <c r="B4" s="8" t="str">
        <f>'Раздел 1'!B32</f>
        <v>Футер</v>
      </c>
      <c r="C4" s="8">
        <f>'Раздел 1'!B34</f>
        <v>0.34559999999999996</v>
      </c>
      <c r="D4" s="8">
        <f>'Раздел 1'!B35</f>
        <v>630</v>
      </c>
      <c r="E4" s="8">
        <f>C4*D4</f>
        <v>217.72799999999998</v>
      </c>
      <c r="F4" s="8">
        <f>E4*1200/1000</f>
        <v>261.27359999999999</v>
      </c>
      <c r="G4" s="8" t="s">
        <v>304</v>
      </c>
      <c r="H4" s="9">
        <v>138</v>
      </c>
      <c r="I4" s="9">
        <v>0.1</v>
      </c>
      <c r="J4" s="9">
        <f>H4*I4</f>
        <v>13.8</v>
      </c>
      <c r="K4" s="9">
        <f>1200*J4/1000</f>
        <v>16.559999999999999</v>
      </c>
      <c r="L4" s="8" t="s">
        <v>307</v>
      </c>
      <c r="M4" s="9">
        <v>0.5</v>
      </c>
      <c r="N4" s="9">
        <v>20</v>
      </c>
      <c r="O4" s="9">
        <f>M4*N4</f>
        <v>10</v>
      </c>
      <c r="P4" s="9">
        <f>1200*O4/1000</f>
        <v>12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8.600000000000001" thickBot="1" x14ac:dyDescent="0.4">
      <c r="A5" s="46" t="s">
        <v>285</v>
      </c>
      <c r="B5" s="8" t="str">
        <f>'Раздел 1'!C32</f>
        <v>Футер</v>
      </c>
      <c r="C5" s="8">
        <f>'Раздел 1'!C34</f>
        <v>0.37440000000000001</v>
      </c>
      <c r="D5" s="8">
        <f>'Раздел 1'!C35</f>
        <v>630</v>
      </c>
      <c r="E5" s="8">
        <f>C5*D5</f>
        <v>235.87200000000001</v>
      </c>
      <c r="F5" s="8">
        <f>E5*1200/1000</f>
        <v>283.04640000000001</v>
      </c>
      <c r="G5" s="8" t="s">
        <v>304</v>
      </c>
      <c r="H5" s="9">
        <v>133</v>
      </c>
      <c r="I5" s="9">
        <v>0.1</v>
      </c>
      <c r="J5" s="9">
        <f t="shared" ref="J5:J6" si="0">H5*I5</f>
        <v>13.3</v>
      </c>
      <c r="K5" s="9">
        <f t="shared" ref="K5:K6" si="1">1200*J5/1000</f>
        <v>15.96</v>
      </c>
      <c r="L5" s="8" t="s">
        <v>292</v>
      </c>
      <c r="M5" s="9" t="s">
        <v>292</v>
      </c>
      <c r="N5" s="9" t="s">
        <v>292</v>
      </c>
      <c r="O5" s="9" t="s">
        <v>292</v>
      </c>
      <c r="P5" s="9" t="s">
        <v>292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54.6" thickBot="1" x14ac:dyDescent="0.4">
      <c r="A6" s="46" t="s">
        <v>286</v>
      </c>
      <c r="B6" s="8" t="str">
        <f>'Раздел 1'!D32</f>
        <v>Кулирка</v>
      </c>
      <c r="C6" s="8">
        <f>'Раздел 1'!D34</f>
        <v>0.24149999999999996</v>
      </c>
      <c r="D6" s="8">
        <f>'Раздел 1'!D35</f>
        <v>1152</v>
      </c>
      <c r="E6" s="8">
        <f>C6*D6</f>
        <v>278.20799999999997</v>
      </c>
      <c r="F6" s="8">
        <f>E6*1200/1000</f>
        <v>333.84959999999995</v>
      </c>
      <c r="G6" s="8" t="s">
        <v>304</v>
      </c>
      <c r="H6" s="9">
        <v>122</v>
      </c>
      <c r="I6" s="9">
        <v>0.1</v>
      </c>
      <c r="J6" s="9">
        <f t="shared" si="0"/>
        <v>12.200000000000001</v>
      </c>
      <c r="K6" s="9">
        <f t="shared" si="1"/>
        <v>14.640000000000002</v>
      </c>
      <c r="L6" s="8" t="s">
        <v>307</v>
      </c>
      <c r="M6" s="9">
        <v>0.5</v>
      </c>
      <c r="N6" s="9">
        <v>20</v>
      </c>
      <c r="O6" s="9">
        <f>M6*N6</f>
        <v>10</v>
      </c>
      <c r="P6" s="9">
        <f t="shared" ref="P6" si="2">1200*O6/1000</f>
        <v>12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8.600000000000001" thickBot="1" x14ac:dyDescent="0.4">
      <c r="A7" s="46" t="s">
        <v>31</v>
      </c>
      <c r="B7" s="8"/>
      <c r="C7" s="8"/>
      <c r="D7" s="8"/>
      <c r="E7" s="8"/>
      <c r="F7" s="8">
        <f>SUM(F4:F6)</f>
        <v>878.16959999999995</v>
      </c>
      <c r="G7" s="8"/>
      <c r="H7" s="8"/>
      <c r="I7" s="8"/>
      <c r="J7" s="8"/>
      <c r="K7" s="8">
        <f>SUM(K4:K6)</f>
        <v>47.16</v>
      </c>
      <c r="L7" s="8"/>
      <c r="M7" s="8"/>
      <c r="N7" s="8"/>
      <c r="O7" s="8"/>
      <c r="P7" s="9">
        <f>SUM(P4:P6)</f>
        <v>24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8.600000000000001" thickBot="1" x14ac:dyDescent="0.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8.600000000000001" thickBot="1" x14ac:dyDescent="0.4">
      <c r="A9" s="132" t="s">
        <v>296</v>
      </c>
      <c r="B9" s="133"/>
      <c r="C9" s="133"/>
      <c r="D9" s="133"/>
      <c r="E9" s="133"/>
      <c r="F9" s="1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26.6" thickBot="1" x14ac:dyDescent="0.4">
      <c r="A10" s="10" t="s">
        <v>18</v>
      </c>
      <c r="B10" s="11" t="s">
        <v>150</v>
      </c>
      <c r="C10" s="11" t="s">
        <v>151</v>
      </c>
      <c r="D10" s="11" t="s">
        <v>152</v>
      </c>
      <c r="E10" s="11" t="s">
        <v>153</v>
      </c>
      <c r="F10" s="11" t="s">
        <v>56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8.600000000000001" thickBot="1" x14ac:dyDescent="0.4">
      <c r="A11" s="12" t="s">
        <v>297</v>
      </c>
      <c r="B11" s="8">
        <v>0.104</v>
      </c>
      <c r="C11" s="8">
        <v>3</v>
      </c>
      <c r="D11" s="8">
        <f>B11*C11</f>
        <v>0.312</v>
      </c>
      <c r="E11" s="8">
        <v>4055</v>
      </c>
      <c r="F11" s="9">
        <f>E11*D11/1000</f>
        <v>1.2651600000000001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8.600000000000001" thickBot="1" x14ac:dyDescent="0.4">
      <c r="A12" s="12" t="s">
        <v>300</v>
      </c>
      <c r="B12" s="8">
        <v>240</v>
      </c>
      <c r="C12" s="8">
        <v>3</v>
      </c>
      <c r="D12" s="8">
        <f>C12*B12</f>
        <v>720</v>
      </c>
      <c r="E12" s="8">
        <v>120</v>
      </c>
      <c r="F12" s="9">
        <f>D12*E12/1000</f>
        <v>86.4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8.600000000000001" thickBot="1" x14ac:dyDescent="0.4">
      <c r="A13" s="12" t="s">
        <v>298</v>
      </c>
      <c r="B13" s="8">
        <v>50</v>
      </c>
      <c r="C13" s="8" t="s">
        <v>292</v>
      </c>
      <c r="D13" s="8">
        <v>50</v>
      </c>
      <c r="E13" s="8">
        <v>200</v>
      </c>
      <c r="F13" s="9">
        <f>E13*B13/1000</f>
        <v>10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8.600000000000001" thickBot="1" x14ac:dyDescent="0.4">
      <c r="A14" s="12" t="s">
        <v>299</v>
      </c>
      <c r="B14" s="8">
        <v>700</v>
      </c>
      <c r="C14" s="8" t="s">
        <v>292</v>
      </c>
      <c r="D14" s="8">
        <f>B14</f>
        <v>700</v>
      </c>
      <c r="E14" s="13">
        <v>1.5</v>
      </c>
      <c r="F14" s="9">
        <f>D14*E14/1000</f>
        <v>1.05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8.600000000000001" thickBot="1" x14ac:dyDescent="0.4">
      <c r="A15" s="12" t="s">
        <v>301</v>
      </c>
      <c r="B15" s="8">
        <v>240</v>
      </c>
      <c r="C15" s="8" t="s">
        <v>292</v>
      </c>
      <c r="D15" s="8">
        <v>240</v>
      </c>
      <c r="E15" s="14">
        <v>14.3</v>
      </c>
      <c r="F15" s="9">
        <f>E15*D15/1000</f>
        <v>3.4319999999999999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8.600000000000001" thickBot="1" x14ac:dyDescent="0.4">
      <c r="A16" s="12" t="s">
        <v>31</v>
      </c>
      <c r="B16" s="8"/>
      <c r="C16" s="8"/>
      <c r="D16" s="8"/>
      <c r="E16" s="8"/>
      <c r="F16" s="9">
        <f>SUM(F11:F15)</f>
        <v>102.14716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8.600000000000001" thickBot="1" x14ac:dyDescent="0.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8.600000000000001" thickBot="1" x14ac:dyDescent="0.4">
      <c r="A18" s="132" t="s">
        <v>154</v>
      </c>
      <c r="B18" s="133"/>
      <c r="C18" s="133"/>
      <c r="D18" s="133"/>
      <c r="E18" s="133"/>
      <c r="F18" s="133"/>
      <c r="G18" s="133"/>
      <c r="H18" s="13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4.6" thickBot="1" x14ac:dyDescent="0.4">
      <c r="A19" s="10" t="s">
        <v>155</v>
      </c>
      <c r="B19" s="11" t="s">
        <v>156</v>
      </c>
      <c r="C19" s="11" t="s">
        <v>157</v>
      </c>
      <c r="D19" s="11" t="s">
        <v>158</v>
      </c>
      <c r="E19" s="11" t="s">
        <v>159</v>
      </c>
      <c r="F19" s="11" t="s">
        <v>160</v>
      </c>
      <c r="G19" s="11" t="s">
        <v>161</v>
      </c>
      <c r="H19" s="11" t="s">
        <v>162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8.600000000000001" thickBot="1" x14ac:dyDescent="0.4">
      <c r="A20" s="15" t="s">
        <v>260</v>
      </c>
      <c r="B20" s="8">
        <v>2</v>
      </c>
      <c r="C20" s="8">
        <v>1.32</v>
      </c>
      <c r="D20" s="8">
        <v>0.9</v>
      </c>
      <c r="E20" s="8">
        <v>0.95</v>
      </c>
      <c r="F20" s="16">
        <f>'Раздел 3'!C4</f>
        <v>2619.6</v>
      </c>
      <c r="G20" s="8">
        <f>3.11/1000</f>
        <v>3.1099999999999999E-3</v>
      </c>
      <c r="H20" s="9">
        <f>G20*F20*C20</f>
        <v>10.753981919999999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36.6" thickBot="1" x14ac:dyDescent="0.4">
      <c r="A21" s="15" t="s">
        <v>262</v>
      </c>
      <c r="B21" s="8">
        <v>1</v>
      </c>
      <c r="C21" s="8">
        <v>1.32</v>
      </c>
      <c r="D21" s="8">
        <v>0.7</v>
      </c>
      <c r="E21" s="8">
        <v>0.9</v>
      </c>
      <c r="F21" s="16">
        <f>'Раздел 3'!C5</f>
        <v>888</v>
      </c>
      <c r="G21" s="8">
        <f t="shared" ref="G21:G24" si="3">3.11/1000</f>
        <v>3.1099999999999999E-3</v>
      </c>
      <c r="H21" s="9">
        <f t="shared" ref="H21:H24" si="4">G21*F21*C21</f>
        <v>3.6454176000000005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8.600000000000001" thickBot="1" x14ac:dyDescent="0.4">
      <c r="A22" s="15" t="s">
        <v>263</v>
      </c>
      <c r="B22" s="8">
        <v>1</v>
      </c>
      <c r="C22" s="8">
        <v>1.8</v>
      </c>
      <c r="D22" s="8">
        <v>0.7</v>
      </c>
      <c r="E22" s="8">
        <v>0.5</v>
      </c>
      <c r="F22" s="16">
        <f>'Раздел 3'!C6</f>
        <v>251.99999999999997</v>
      </c>
      <c r="G22" s="8">
        <f t="shared" si="3"/>
        <v>3.1099999999999999E-3</v>
      </c>
      <c r="H22" s="9">
        <f t="shared" si="4"/>
        <v>1.4106959999999997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8.600000000000001" thickBot="1" x14ac:dyDescent="0.4">
      <c r="A23" s="15" t="s">
        <v>270</v>
      </c>
      <c r="B23" s="8">
        <v>1</v>
      </c>
      <c r="C23" s="8">
        <v>1.2</v>
      </c>
      <c r="D23" s="8">
        <v>0.6</v>
      </c>
      <c r="E23" s="8">
        <v>0.4</v>
      </c>
      <c r="F23" s="16">
        <f>'Раздел 3'!C7</f>
        <v>79.2</v>
      </c>
      <c r="G23" s="8">
        <f t="shared" si="3"/>
        <v>3.1099999999999999E-3</v>
      </c>
      <c r="H23" s="9">
        <f t="shared" si="4"/>
        <v>0.29557440000000001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8.600000000000001" thickBot="1" x14ac:dyDescent="0.4">
      <c r="A24" s="15" t="s">
        <v>267</v>
      </c>
      <c r="B24" s="8">
        <v>1</v>
      </c>
      <c r="C24" s="8">
        <v>0.8</v>
      </c>
      <c r="D24" s="8">
        <v>0.5</v>
      </c>
      <c r="E24" s="8">
        <v>0.4</v>
      </c>
      <c r="F24" s="16">
        <f>'Раздел 3'!C8</f>
        <v>151.19999999999999</v>
      </c>
      <c r="G24" s="8">
        <f t="shared" si="3"/>
        <v>3.1099999999999999E-3</v>
      </c>
      <c r="H24" s="9">
        <f t="shared" si="4"/>
        <v>0.37618559999999995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8.600000000000001" thickBot="1" x14ac:dyDescent="0.4">
      <c r="A25" s="12" t="s">
        <v>31</v>
      </c>
      <c r="B25" s="17"/>
      <c r="C25" s="18" t="s">
        <v>53</v>
      </c>
      <c r="D25" s="18" t="s">
        <v>53</v>
      </c>
      <c r="E25" s="18" t="s">
        <v>53</v>
      </c>
      <c r="F25" s="18" t="s">
        <v>53</v>
      </c>
      <c r="G25" s="18" t="s">
        <v>53</v>
      </c>
      <c r="H25" s="19">
        <f>SUM(H20:H24)</f>
        <v>16.48185552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8.600000000000001" thickBo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8.600000000000001" thickBot="1" x14ac:dyDescent="0.4">
      <c r="A28" s="132" t="s">
        <v>163</v>
      </c>
      <c r="B28" s="133"/>
      <c r="C28" s="133"/>
      <c r="D28" s="133"/>
      <c r="E28" s="133"/>
      <c r="F28" s="133"/>
      <c r="G28" s="13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288.60000000000002" thickBot="1" x14ac:dyDescent="0.4">
      <c r="A29" s="10" t="s">
        <v>164</v>
      </c>
      <c r="B29" s="11" t="s">
        <v>308</v>
      </c>
      <c r="C29" s="11" t="s">
        <v>309</v>
      </c>
      <c r="D29" s="11" t="s">
        <v>165</v>
      </c>
      <c r="E29" s="11" t="s">
        <v>166</v>
      </c>
      <c r="F29" s="11" t="s">
        <v>167</v>
      </c>
      <c r="G29" s="11" t="s">
        <v>168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8.600000000000001" thickBot="1" x14ac:dyDescent="0.4">
      <c r="A30" s="12" t="s">
        <v>169</v>
      </c>
      <c r="B30" s="8">
        <f>'Раздел 3'!B32</f>
        <v>16</v>
      </c>
      <c r="C30" s="8">
        <f>0.039*2</f>
        <v>7.8E-2</v>
      </c>
      <c r="D30" s="8">
        <f>240*'Раздел 5'!C8</f>
        <v>1476</v>
      </c>
      <c r="E30" s="8">
        <v>0.7</v>
      </c>
      <c r="F30" s="8">
        <f>3.11</f>
        <v>3.11</v>
      </c>
      <c r="G30" s="9">
        <f>B30*C30*D30*F30/1000</f>
        <v>5.7287692799999999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8.600000000000001" thickBot="1" x14ac:dyDescent="0.4">
      <c r="A31" s="12" t="s">
        <v>170</v>
      </c>
      <c r="B31" s="8">
        <f>'Раздел 3'!B33</f>
        <v>4</v>
      </c>
      <c r="C31" s="8">
        <f>0.039*1</f>
        <v>3.9E-2</v>
      </c>
      <c r="D31" s="8">
        <f>240*1.2</f>
        <v>288</v>
      </c>
      <c r="E31" s="8">
        <v>0.7</v>
      </c>
      <c r="F31" s="8">
        <f t="shared" ref="F31:F32" si="5">3.11</f>
        <v>3.11</v>
      </c>
      <c r="G31" s="9">
        <f t="shared" ref="G31:G32" si="6">B31*C31*D31*F31/1000</f>
        <v>0.13972608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8.600000000000001" thickBot="1" x14ac:dyDescent="0.4">
      <c r="A32" s="12" t="s">
        <v>171</v>
      </c>
      <c r="B32" s="8">
        <f>'Раздел 3'!B34</f>
        <v>27.8</v>
      </c>
      <c r="C32" s="8">
        <f>0.039*4</f>
        <v>0.156</v>
      </c>
      <c r="D32" s="8">
        <f>240*'Раздел 5'!C8</f>
        <v>1476</v>
      </c>
      <c r="E32" s="8">
        <v>0.7</v>
      </c>
      <c r="F32" s="8">
        <f t="shared" si="5"/>
        <v>3.11</v>
      </c>
      <c r="G32" s="9">
        <f t="shared" si="6"/>
        <v>19.907473248000002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8.600000000000001" thickBot="1" x14ac:dyDescent="0.4">
      <c r="A33" s="12" t="s">
        <v>69</v>
      </c>
      <c r="B33" s="17">
        <f>SUM(B30:B32)</f>
        <v>47.8</v>
      </c>
      <c r="C33" s="8" t="s">
        <v>53</v>
      </c>
      <c r="D33" s="8" t="s">
        <v>53</v>
      </c>
      <c r="E33" s="8"/>
      <c r="F33" s="8"/>
      <c r="G33" s="9">
        <f>SUM(G30:G32)</f>
        <v>25.775968608000003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8.600000000000001" thickBot="1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8.600000000000001" thickBot="1" x14ac:dyDescent="0.4">
      <c r="A35" s="132" t="s">
        <v>172</v>
      </c>
      <c r="B35" s="13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36.6" thickBot="1" x14ac:dyDescent="0.4">
      <c r="A36" s="10" t="s">
        <v>173</v>
      </c>
      <c r="B36" s="20">
        <f>40*5*240/1000000*72</f>
        <v>3.456</v>
      </c>
      <c r="C36" s="5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36.6" thickBot="1" x14ac:dyDescent="0.4">
      <c r="A37" s="12" t="s">
        <v>174</v>
      </c>
      <c r="B37" s="16">
        <f>240/14*160*5/1000</f>
        <v>13.714285714285714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8.600000000000001" thickBot="1" x14ac:dyDescent="0.4">
      <c r="A38" s="12" t="s">
        <v>303</v>
      </c>
      <c r="B38" s="21">
        <f>2160*50/1000</f>
        <v>108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8.600000000000001" thickBot="1" x14ac:dyDescent="0.4">
      <c r="A39" s="12" t="s">
        <v>302</v>
      </c>
      <c r="B39" s="8">
        <f>5030/1000</f>
        <v>5.03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8.600000000000001" thickBot="1" x14ac:dyDescent="0.4">
      <c r="A40" s="12" t="s">
        <v>175</v>
      </c>
      <c r="B40" s="9">
        <f>SUM(B36:B39)</f>
        <v>130.20028571428571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ht="1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ht="1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ht="1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1:45" ht="1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</sheetData>
  <customSheetViews>
    <customSheetView guid="{AA87E068-5849-482C-8AC0-FA82B1C10C62}" scale="70">
      <selection activeCell="N10" sqref="N10:Q10"/>
      <pageMargins left="0.7" right="0.7" top="0.75" bottom="0.75" header="0.3" footer="0.3"/>
    </customSheetView>
  </customSheetViews>
  <mergeCells count="7">
    <mergeCell ref="A1:F1"/>
    <mergeCell ref="A9:F9"/>
    <mergeCell ref="A18:H18"/>
    <mergeCell ref="A28:G28"/>
    <mergeCell ref="A35:B35"/>
    <mergeCell ref="A2:A3"/>
    <mergeCell ref="B2:B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2709-5941-47C9-9314-E3C207E43079}">
  <dimension ref="A1:BP165"/>
  <sheetViews>
    <sheetView tabSelected="1" topLeftCell="A19" zoomScale="40" zoomScaleNormal="40" workbookViewId="0">
      <selection activeCell="F28" sqref="F28"/>
    </sheetView>
  </sheetViews>
  <sheetFormatPr defaultRowHeight="14.4" x14ac:dyDescent="0.3"/>
  <cols>
    <col min="1" max="1" width="30.88671875" customWidth="1"/>
    <col min="2" max="2" width="27.6640625" customWidth="1"/>
    <col min="3" max="3" width="30.5546875" customWidth="1"/>
    <col min="4" max="4" width="29.44140625" customWidth="1"/>
    <col min="5" max="5" width="12.109375" customWidth="1"/>
    <col min="6" max="6" width="16.77734375" customWidth="1"/>
    <col min="7" max="7" width="29.21875" customWidth="1"/>
  </cols>
  <sheetData>
    <row r="1" spans="1:68" ht="54.6" customHeight="1" thickBot="1" x14ac:dyDescent="0.4">
      <c r="A1" s="116" t="s">
        <v>176</v>
      </c>
      <c r="B1" s="117"/>
      <c r="C1" s="118"/>
      <c r="D1" s="5"/>
      <c r="E1" s="48"/>
      <c r="F1" s="48"/>
      <c r="G1" s="48"/>
      <c r="H1" s="48"/>
      <c r="I1" s="48"/>
      <c r="J1" s="4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46.2" customHeight="1" thickBot="1" x14ac:dyDescent="0.4">
      <c r="A2" s="154" t="s">
        <v>177</v>
      </c>
      <c r="B2" s="29" t="s">
        <v>178</v>
      </c>
      <c r="C2" s="29" t="s">
        <v>179</v>
      </c>
      <c r="D2" s="5"/>
      <c r="E2" s="48"/>
      <c r="F2" s="48"/>
      <c r="G2" s="48"/>
      <c r="H2" s="48"/>
      <c r="I2" s="48"/>
      <c r="J2" s="4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8.600000000000001" thickBot="1" x14ac:dyDescent="0.4">
      <c r="A3" s="156"/>
      <c r="B3" s="22" t="s">
        <v>141</v>
      </c>
      <c r="C3" s="22" t="s">
        <v>23</v>
      </c>
      <c r="D3" s="5"/>
      <c r="E3" s="48"/>
      <c r="F3" s="48"/>
      <c r="G3" s="48"/>
      <c r="H3" s="48"/>
      <c r="I3" s="48"/>
      <c r="J3" s="4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8.600000000000001" thickBot="1" x14ac:dyDescent="0.4">
      <c r="A4" s="30" t="s">
        <v>180</v>
      </c>
      <c r="B4" s="25">
        <f>B5+B6+B7</f>
        <v>991.68957128800002</v>
      </c>
      <c r="C4" s="31">
        <f t="shared" ref="C4:C14" si="0">B4/$B$15</f>
        <v>0.24744805462720226</v>
      </c>
      <c r="D4" s="5"/>
      <c r="E4" s="48"/>
      <c r="F4" s="48"/>
      <c r="G4" s="48"/>
      <c r="H4" s="48"/>
      <c r="I4" s="48"/>
      <c r="J4" s="4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8.600000000000001" thickBot="1" x14ac:dyDescent="0.4">
      <c r="A5" s="30" t="s">
        <v>181</v>
      </c>
      <c r="B5" s="23">
        <f>('Раздел 1'!B35*'Раздел 1'!B34*'Раздел 1'!C3+'Раздел 1'!C35*'Раздел 1'!C34*'Раздел 1'!C4+'Раздел 1'!D35*'Раздел 1'!D34*'Раздел 1'!C5+'Раздел 7'!F16)/1000</f>
        <v>878.27174716000002</v>
      </c>
      <c r="C5" s="32">
        <f t="shared" si="0"/>
        <v>0.21914784783560204</v>
      </c>
      <c r="D5" s="5"/>
      <c r="E5" s="48"/>
      <c r="F5" s="48"/>
      <c r="G5" s="48"/>
      <c r="H5" s="48"/>
      <c r="I5" s="48"/>
      <c r="J5" s="4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54.6" thickBot="1" x14ac:dyDescent="0.4">
      <c r="A6" s="53" t="s">
        <v>182</v>
      </c>
      <c r="B6" s="23">
        <f>'Раздел 7'!K7+'Раздел 7'!P7</f>
        <v>71.16</v>
      </c>
      <c r="C6" s="32">
        <f t="shared" si="0"/>
        <v>1.7755963233940266E-2</v>
      </c>
      <c r="D6" s="5"/>
      <c r="E6" s="48"/>
      <c r="F6" s="48"/>
      <c r="G6" s="48"/>
      <c r="H6" s="48"/>
      <c r="I6" s="48"/>
      <c r="J6" s="4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36.6" thickBot="1" x14ac:dyDescent="0.4">
      <c r="A7" s="53" t="s">
        <v>183</v>
      </c>
      <c r="B7" s="23">
        <f>'Раздел 7'!G33+'Раздел 7'!H25</f>
        <v>42.257824128000003</v>
      </c>
      <c r="C7" s="32">
        <f t="shared" si="0"/>
        <v>1.0544243557659949E-2</v>
      </c>
      <c r="D7" s="5"/>
      <c r="E7" s="48"/>
      <c r="F7" s="48"/>
      <c r="G7" s="48"/>
      <c r="H7" s="48"/>
      <c r="I7" s="48"/>
      <c r="J7" s="4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8.600000000000001" thickBot="1" x14ac:dyDescent="0.4">
      <c r="A8" s="53" t="s">
        <v>184</v>
      </c>
      <c r="B8" s="25">
        <f>B9+B10</f>
        <v>2058</v>
      </c>
      <c r="C8" s="31">
        <f t="shared" si="0"/>
        <v>0.51351563147061652</v>
      </c>
      <c r="D8" s="5"/>
      <c r="E8" s="48"/>
      <c r="F8" s="48"/>
      <c r="G8" s="48"/>
      <c r="H8" s="48"/>
      <c r="I8" s="48"/>
      <c r="J8" s="4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54.6" thickBot="1" x14ac:dyDescent="0.4">
      <c r="A9" s="53" t="s">
        <v>185</v>
      </c>
      <c r="B9" s="23">
        <f>'Раздел 6'!E4</f>
        <v>1908</v>
      </c>
      <c r="C9" s="32">
        <f t="shared" si="0"/>
        <v>0.47608737844797677</v>
      </c>
      <c r="D9" s="5"/>
      <c r="E9" s="48"/>
      <c r="F9" s="48"/>
      <c r="G9" s="48"/>
      <c r="H9" s="48"/>
      <c r="I9" s="48"/>
      <c r="J9" s="4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36.6" thickBot="1" x14ac:dyDescent="0.4">
      <c r="A10" s="53" t="s">
        <v>186</v>
      </c>
      <c r="B10" s="23">
        <f>'Раздел 6'!E9</f>
        <v>150</v>
      </c>
      <c r="C10" s="32">
        <f t="shared" si="0"/>
        <v>3.7428253022639683E-2</v>
      </c>
      <c r="D10" s="5"/>
      <c r="E10" s="48"/>
      <c r="F10" s="48"/>
      <c r="G10" s="48"/>
      <c r="H10" s="48"/>
      <c r="I10" s="48"/>
      <c r="J10" s="4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8.600000000000001" thickBot="1" x14ac:dyDescent="0.4">
      <c r="A11" s="53" t="s">
        <v>310</v>
      </c>
      <c r="B11" s="25">
        <f>B12+B13+B14+26.7+70.5</f>
        <v>957.97810984228579</v>
      </c>
      <c r="C11" s="31">
        <f t="shared" si="0"/>
        <v>0.23903631390218122</v>
      </c>
      <c r="D11" s="5"/>
      <c r="E11" s="48"/>
      <c r="F11" s="48"/>
      <c r="G11" s="48"/>
      <c r="H11" s="48"/>
      <c r="I11" s="48"/>
      <c r="J11" s="4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8.600000000000001" thickBot="1" x14ac:dyDescent="0.4">
      <c r="A12" s="53" t="s">
        <v>187</v>
      </c>
      <c r="B12" s="23">
        <f>'Раздел 3'!D35/1000</f>
        <v>688.32</v>
      </c>
      <c r="C12" s="32">
        <f t="shared" si="0"/>
        <v>0.171750767470289</v>
      </c>
      <c r="D12" s="5"/>
      <c r="E12" s="48"/>
      <c r="F12" s="48"/>
      <c r="G12" s="48"/>
      <c r="H12" s="48"/>
      <c r="I12" s="48"/>
      <c r="J12" s="4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54.6" thickBot="1" x14ac:dyDescent="0.4">
      <c r="A13" s="53" t="s">
        <v>188</v>
      </c>
      <c r="B13" s="23">
        <f>'Раздел 7'!H25</f>
        <v>16.48185552</v>
      </c>
      <c r="C13" s="32">
        <f t="shared" si="0"/>
        <v>4.1125803912343368E-3</v>
      </c>
      <c r="D13" s="5"/>
      <c r="E13" s="48"/>
      <c r="F13" s="48"/>
      <c r="G13" s="48"/>
      <c r="H13" s="48"/>
      <c r="I13" s="48"/>
      <c r="J13" s="4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8.600000000000001" thickBot="1" x14ac:dyDescent="0.4">
      <c r="A14" s="52" t="s">
        <v>189</v>
      </c>
      <c r="B14" s="26">
        <f>'Раздел 7'!G33+'Раздел 7'!B40</f>
        <v>155.97625432228571</v>
      </c>
      <c r="C14" s="32">
        <f t="shared" si="0"/>
        <v>3.8919458081987379E-2</v>
      </c>
      <c r="D14" s="5"/>
      <c r="E14" s="48"/>
      <c r="F14" s="48"/>
      <c r="G14" s="48"/>
      <c r="H14" s="48"/>
      <c r="I14" s="48"/>
      <c r="J14" s="4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8.600000000000001" thickBot="1" x14ac:dyDescent="0.4">
      <c r="A15" s="33" t="s">
        <v>69</v>
      </c>
      <c r="B15" s="34">
        <f>B11+B8+B4</f>
        <v>4007.6676811302859</v>
      </c>
      <c r="C15" s="35">
        <f>B15/B15</f>
        <v>1</v>
      </c>
      <c r="D15" s="5"/>
      <c r="E15" s="48"/>
      <c r="F15" s="48"/>
      <c r="G15" s="48"/>
      <c r="H15" s="48"/>
      <c r="I15" s="48"/>
      <c r="J15" s="4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8" x14ac:dyDescent="0.35">
      <c r="A16" s="48"/>
      <c r="B16" s="5"/>
      <c r="C16" s="5"/>
      <c r="D16" s="5"/>
      <c r="E16" s="5"/>
      <c r="F16" s="5"/>
      <c r="G16" s="48"/>
      <c r="H16" s="48"/>
      <c r="I16" s="48"/>
      <c r="J16" s="4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8" x14ac:dyDescent="0.35">
      <c r="A17" s="48"/>
      <c r="B17" s="5"/>
      <c r="C17" s="5"/>
      <c r="D17" s="5"/>
      <c r="E17" s="5"/>
      <c r="F17" s="5"/>
      <c r="G17" s="48"/>
      <c r="H17" s="48"/>
      <c r="I17" s="48"/>
      <c r="J17" s="4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8" x14ac:dyDescent="0.35">
      <c r="A18" s="48"/>
      <c r="B18" s="5"/>
      <c r="C18" s="5"/>
      <c r="D18" s="5"/>
      <c r="E18" s="5"/>
      <c r="F18" s="5"/>
      <c r="G18" s="48"/>
      <c r="H18" s="48"/>
      <c r="I18" s="48"/>
      <c r="J18" s="4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8.600000000000001" thickBot="1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8.600000000000001" thickBot="1" x14ac:dyDescent="0.4">
      <c r="A20" s="102" t="s">
        <v>190</v>
      </c>
      <c r="B20" s="103"/>
      <c r="C20" s="103"/>
      <c r="D20" s="103"/>
      <c r="E20" s="103"/>
      <c r="F20" s="104"/>
      <c r="G20" s="48"/>
      <c r="H20" s="48"/>
      <c r="I20" s="48"/>
      <c r="J20" s="4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90.6" thickBot="1" x14ac:dyDescent="0.4">
      <c r="A21" s="27" t="s">
        <v>191</v>
      </c>
      <c r="B21" s="47" t="s">
        <v>192</v>
      </c>
      <c r="C21" s="47" t="s">
        <v>314</v>
      </c>
      <c r="D21" s="47" t="s">
        <v>313</v>
      </c>
      <c r="E21" s="47" t="s">
        <v>327</v>
      </c>
      <c r="F21" s="47" t="s">
        <v>328</v>
      </c>
      <c r="G21" s="48"/>
      <c r="H21" s="48"/>
      <c r="I21" s="48"/>
      <c r="J21" s="4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8.600000000000001" thickBot="1" x14ac:dyDescent="0.4">
      <c r="A22" s="28" t="s">
        <v>284</v>
      </c>
      <c r="B22" s="22">
        <f>'Раздел 1'!C3</f>
        <v>1200</v>
      </c>
      <c r="C22" s="22">
        <v>3199</v>
      </c>
      <c r="D22" s="22">
        <f>(B22*C22/1000)*0.8</f>
        <v>3071.0400000000004</v>
      </c>
      <c r="E22" s="157">
        <f>D22+D23+D24</f>
        <v>7965.1200000000008</v>
      </c>
      <c r="F22" s="145">
        <f>(C22*B22+C23*B23+C24*B24)/1000</f>
        <v>9956.4</v>
      </c>
      <c r="G22" s="48"/>
      <c r="H22" s="48"/>
      <c r="I22" s="48"/>
      <c r="J22" s="4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8.600000000000001" thickBot="1" x14ac:dyDescent="0.4">
      <c r="A23" s="28" t="s">
        <v>285</v>
      </c>
      <c r="B23" s="22">
        <f>'Раздел 1'!C4</f>
        <v>1200</v>
      </c>
      <c r="C23" s="22">
        <v>3199</v>
      </c>
      <c r="D23" s="22">
        <f>(B23*C23/1000)*0.8</f>
        <v>3071.0400000000004</v>
      </c>
      <c r="E23" s="158"/>
      <c r="F23" s="146"/>
      <c r="G23" s="48"/>
      <c r="H23" s="48"/>
      <c r="I23" s="48"/>
      <c r="J23" s="4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8.600000000000001" thickBot="1" x14ac:dyDescent="0.4">
      <c r="A24" s="28" t="s">
        <v>286</v>
      </c>
      <c r="B24" s="22">
        <f>'Раздел 1'!C5</f>
        <v>1200</v>
      </c>
      <c r="C24" s="22">
        <v>1899</v>
      </c>
      <c r="D24" s="22">
        <f>(B24*C24/1000)*0.8</f>
        <v>1823.0400000000002</v>
      </c>
      <c r="E24" s="159"/>
      <c r="F24" s="147"/>
      <c r="G24" s="48"/>
      <c r="H24" s="48"/>
      <c r="I24" s="48"/>
      <c r="J24" s="4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8.600000000000001" thickBot="1" x14ac:dyDescent="0.4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44.6" thickBot="1" x14ac:dyDescent="0.4">
      <c r="A26" s="27" t="s">
        <v>193</v>
      </c>
      <c r="B26" s="47" t="s">
        <v>194</v>
      </c>
      <c r="C26" s="47" t="s">
        <v>195</v>
      </c>
      <c r="D26" s="47" t="s">
        <v>196</v>
      </c>
      <c r="E26" s="47" t="s">
        <v>197</v>
      </c>
      <c r="F26" s="47" t="s">
        <v>315</v>
      </c>
      <c r="G26" s="5"/>
      <c r="H26" s="48"/>
      <c r="I26" s="48"/>
      <c r="J26" s="4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8.600000000000001" thickBot="1" x14ac:dyDescent="0.4">
      <c r="A27" s="40">
        <f>B4+B8+B11</f>
        <v>4007.6676811302859</v>
      </c>
      <c r="B27" s="39">
        <f>A27*0.03</f>
        <v>120.23003043390857</v>
      </c>
      <c r="C27" s="39">
        <f>A27*0.02</f>
        <v>80.153353622605721</v>
      </c>
      <c r="D27" s="39">
        <f>A27+B27+C27</f>
        <v>4208.0510651868008</v>
      </c>
      <c r="E27" s="41">
        <f>F22-D27</f>
        <v>5748.3489348131989</v>
      </c>
      <c r="F27" s="99">
        <f>(E27*0.94)-49.5</f>
        <v>5353.9479987244067</v>
      </c>
      <c r="G27" s="5"/>
      <c r="H27" s="48"/>
      <c r="I27" s="48"/>
      <c r="J27" s="4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8.600000000000001" thickBot="1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8.600000000000001" thickBot="1" x14ac:dyDescent="0.4">
      <c r="A29" s="102" t="s">
        <v>198</v>
      </c>
      <c r="B29" s="103"/>
      <c r="C29" s="103"/>
      <c r="D29" s="104"/>
      <c r="E29" s="48"/>
      <c r="F29" s="48"/>
      <c r="G29" s="48"/>
      <c r="H29" s="48"/>
      <c r="I29" s="48"/>
      <c r="J29" s="4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8.600000000000001" thickBot="1" x14ac:dyDescent="0.4">
      <c r="A30" s="148" t="s">
        <v>14</v>
      </c>
      <c r="B30" s="149"/>
      <c r="C30" s="47" t="s">
        <v>15</v>
      </c>
      <c r="D30" s="47" t="s">
        <v>199</v>
      </c>
      <c r="E30" s="48"/>
      <c r="F30" s="48"/>
      <c r="G30" s="48"/>
      <c r="H30" s="48"/>
      <c r="I30" s="48"/>
      <c r="J30" s="4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8.600000000000001" thickBot="1" x14ac:dyDescent="0.4">
      <c r="A31" s="151" t="s">
        <v>200</v>
      </c>
      <c r="B31" s="152"/>
      <c r="C31" s="152"/>
      <c r="D31" s="153"/>
      <c r="E31" s="48"/>
      <c r="F31" s="48"/>
      <c r="G31" s="48"/>
      <c r="H31" s="48"/>
      <c r="I31" s="48"/>
      <c r="J31" s="4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8.600000000000001" thickBot="1" x14ac:dyDescent="0.4">
      <c r="A32" s="148" t="s">
        <v>201</v>
      </c>
      <c r="B32" s="149"/>
      <c r="C32" s="24"/>
      <c r="D32" s="38">
        <f>D33+D34+D35</f>
        <v>3600</v>
      </c>
      <c r="E32" s="48"/>
      <c r="F32" s="48"/>
      <c r="G32" s="48"/>
      <c r="H32" s="48"/>
      <c r="I32" s="48"/>
      <c r="J32" s="4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8.600000000000001" thickBot="1" x14ac:dyDescent="0.4">
      <c r="A33" s="154" t="s">
        <v>202</v>
      </c>
      <c r="B33" s="28" t="s">
        <v>284</v>
      </c>
      <c r="C33" s="114" t="s">
        <v>203</v>
      </c>
      <c r="D33" s="22">
        <f>'Раздел 1'!C3</f>
        <v>1200</v>
      </c>
      <c r="E33" s="48"/>
      <c r="F33" s="48"/>
      <c r="G33" s="48"/>
      <c r="H33" s="48"/>
      <c r="I33" s="48"/>
      <c r="J33" s="4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8.600000000000001" thickBot="1" x14ac:dyDescent="0.4">
      <c r="A34" s="155"/>
      <c r="B34" s="28" t="s">
        <v>285</v>
      </c>
      <c r="C34" s="122"/>
      <c r="D34" s="22">
        <f>'Раздел 1'!C4</f>
        <v>1200</v>
      </c>
      <c r="E34" s="48"/>
      <c r="F34" s="48"/>
      <c r="G34" s="48"/>
      <c r="H34" s="48"/>
      <c r="I34" s="48"/>
      <c r="J34" s="4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8.600000000000001" thickBot="1" x14ac:dyDescent="0.4">
      <c r="A35" s="156"/>
      <c r="B35" s="28" t="s">
        <v>286</v>
      </c>
      <c r="C35" s="115"/>
      <c r="D35" s="22">
        <f>'Раздел 1'!C5</f>
        <v>1200</v>
      </c>
      <c r="E35" s="48"/>
      <c r="F35" s="48"/>
      <c r="G35" s="48"/>
      <c r="H35" s="48"/>
      <c r="I35" s="48"/>
      <c r="J35" s="4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8.600000000000001" thickBot="1" x14ac:dyDescent="0.4">
      <c r="A36" s="154" t="s">
        <v>204</v>
      </c>
      <c r="B36" s="28" t="s">
        <v>284</v>
      </c>
      <c r="C36" s="114" t="s">
        <v>141</v>
      </c>
      <c r="D36" s="36">
        <f>D22</f>
        <v>3071.0400000000004</v>
      </c>
      <c r="E36" s="48"/>
      <c r="F36" s="48"/>
      <c r="G36" s="48"/>
      <c r="H36" s="48"/>
      <c r="I36" s="48"/>
      <c r="J36" s="4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8.600000000000001" thickBot="1" x14ac:dyDescent="0.4">
      <c r="A37" s="155"/>
      <c r="B37" s="28" t="s">
        <v>285</v>
      </c>
      <c r="C37" s="122"/>
      <c r="D37" s="36">
        <f t="shared" ref="D37:D38" si="1">D23</f>
        <v>3071.0400000000004</v>
      </c>
      <c r="E37" s="48"/>
      <c r="F37" s="48"/>
      <c r="G37" s="48"/>
      <c r="H37" s="48"/>
      <c r="I37" s="48"/>
      <c r="J37" s="4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8.600000000000001" thickBot="1" x14ac:dyDescent="0.4">
      <c r="A38" s="156"/>
      <c r="B38" s="28" t="s">
        <v>286</v>
      </c>
      <c r="C38" s="115"/>
      <c r="D38" s="36">
        <f t="shared" si="1"/>
        <v>1823.0400000000002</v>
      </c>
      <c r="E38" s="48"/>
      <c r="F38" s="48"/>
      <c r="G38" s="48"/>
      <c r="H38" s="48"/>
      <c r="I38" s="48"/>
      <c r="J38" s="4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8.600000000000001" thickBot="1" x14ac:dyDescent="0.4">
      <c r="A39" s="148" t="s">
        <v>205</v>
      </c>
      <c r="B39" s="149"/>
      <c r="C39" s="114" t="s">
        <v>141</v>
      </c>
      <c r="D39" s="39">
        <f>D40+D41+D42</f>
        <v>497.87099999999992</v>
      </c>
      <c r="E39" s="48"/>
      <c r="F39" s="48"/>
      <c r="G39" s="48"/>
      <c r="H39" s="48"/>
      <c r="I39" s="48"/>
      <c r="J39" s="4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8.600000000000001" thickBot="1" x14ac:dyDescent="0.4">
      <c r="A40" s="154" t="s">
        <v>206</v>
      </c>
      <c r="B40" s="24" t="s">
        <v>207</v>
      </c>
      <c r="C40" s="122"/>
      <c r="D40" s="36">
        <v>0</v>
      </c>
      <c r="E40" s="48"/>
      <c r="F40" s="48"/>
      <c r="G40" s="48"/>
      <c r="H40" s="48"/>
      <c r="I40" s="48"/>
      <c r="J40" s="4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36.6" thickBot="1" x14ac:dyDescent="0.4">
      <c r="A41" s="155"/>
      <c r="B41" s="24" t="s">
        <v>208</v>
      </c>
      <c r="C41" s="122"/>
      <c r="D41" s="36">
        <f>'Раздел 3'!D50</f>
        <v>400.42099999999994</v>
      </c>
      <c r="E41" s="48"/>
      <c r="F41" s="48"/>
      <c r="G41" s="48"/>
      <c r="H41" s="48"/>
      <c r="I41" s="48"/>
      <c r="J41" s="4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8.600000000000001" thickBot="1" x14ac:dyDescent="0.4">
      <c r="A42" s="156"/>
      <c r="B42" s="24" t="s">
        <v>209</v>
      </c>
      <c r="C42" s="115"/>
      <c r="D42" s="39">
        <f>'Раздел 7'!F14+'Раздел 7'!F13+'Раздел 7'!F12</f>
        <v>97.45</v>
      </c>
      <c r="E42" s="48"/>
      <c r="F42" s="48"/>
      <c r="G42" s="48"/>
      <c r="H42" s="48"/>
      <c r="I42" s="48"/>
      <c r="J42" s="4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8.600000000000001" thickBot="1" x14ac:dyDescent="0.4">
      <c r="A43" s="148" t="s">
        <v>210</v>
      </c>
      <c r="B43" s="149"/>
      <c r="C43" s="114" t="s">
        <v>311</v>
      </c>
      <c r="D43" s="36">
        <f>D44+D45+D46</f>
        <v>47.8</v>
      </c>
      <c r="E43" s="48"/>
      <c r="F43" s="48"/>
      <c r="G43" s="48"/>
      <c r="H43" s="48"/>
      <c r="I43" s="48"/>
      <c r="J43" s="4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8.600000000000001" thickBot="1" x14ac:dyDescent="0.4">
      <c r="A44" s="154" t="s">
        <v>206</v>
      </c>
      <c r="B44" s="24" t="s">
        <v>211</v>
      </c>
      <c r="C44" s="122"/>
      <c r="D44" s="36">
        <f>'Раздел 3'!B32</f>
        <v>16</v>
      </c>
      <c r="E44" s="48"/>
      <c r="F44" s="48"/>
      <c r="G44" s="48"/>
      <c r="H44" s="48"/>
      <c r="I44" s="48"/>
      <c r="J44" s="4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8.600000000000001" thickBot="1" x14ac:dyDescent="0.4">
      <c r="A45" s="155"/>
      <c r="B45" s="24" t="s">
        <v>212</v>
      </c>
      <c r="C45" s="122"/>
      <c r="D45" s="36">
        <f>'Раздел 3'!B33</f>
        <v>4</v>
      </c>
      <c r="E45" s="48"/>
      <c r="F45" s="48"/>
      <c r="G45" s="48"/>
      <c r="H45" s="48"/>
      <c r="I45" s="48"/>
      <c r="J45" s="4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8.600000000000001" thickBot="1" x14ac:dyDescent="0.4">
      <c r="A46" s="156"/>
      <c r="B46" s="24" t="s">
        <v>213</v>
      </c>
      <c r="C46" s="115"/>
      <c r="D46" s="36">
        <f>'Раздел 3'!B34</f>
        <v>27.8</v>
      </c>
      <c r="E46" s="48"/>
      <c r="F46" s="48"/>
      <c r="G46" s="48"/>
      <c r="H46" s="48"/>
      <c r="I46" s="48"/>
      <c r="J46" s="4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8.600000000000001" thickBot="1" x14ac:dyDescent="0.4">
      <c r="A47" s="148" t="s">
        <v>214</v>
      </c>
      <c r="B47" s="149"/>
      <c r="C47" s="114" t="s">
        <v>104</v>
      </c>
      <c r="D47" s="36">
        <f>D48+D49+D50</f>
        <v>5</v>
      </c>
      <c r="E47" s="48"/>
      <c r="F47" s="48"/>
      <c r="G47" s="48"/>
      <c r="H47" s="48"/>
      <c r="I47" s="48"/>
      <c r="J47" s="4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54.6" thickBot="1" x14ac:dyDescent="0.4">
      <c r="A48" s="154" t="s">
        <v>206</v>
      </c>
      <c r="B48" s="24" t="s">
        <v>215</v>
      </c>
      <c r="C48" s="122"/>
      <c r="D48" s="36">
        <f>'Раздел 6'!D25</f>
        <v>5</v>
      </c>
      <c r="E48" s="48"/>
      <c r="F48" s="48"/>
      <c r="G48" s="48"/>
      <c r="H48" s="48"/>
      <c r="I48" s="48"/>
      <c r="J48" s="4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36.6" thickBot="1" x14ac:dyDescent="0.4">
      <c r="A49" s="155"/>
      <c r="B49" s="24" t="s">
        <v>216</v>
      </c>
      <c r="C49" s="122"/>
      <c r="D49" s="36">
        <v>0</v>
      </c>
      <c r="E49" s="48"/>
      <c r="F49" s="48"/>
      <c r="G49" s="48"/>
      <c r="H49" s="48"/>
      <c r="I49" s="48"/>
      <c r="J49" s="4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36.6" thickBot="1" x14ac:dyDescent="0.4">
      <c r="A50" s="156"/>
      <c r="B50" s="24" t="s">
        <v>217</v>
      </c>
      <c r="C50" s="115"/>
      <c r="D50" s="36">
        <v>0</v>
      </c>
      <c r="E50" s="48"/>
      <c r="F50" s="48"/>
      <c r="G50" s="48"/>
      <c r="H50" s="48"/>
      <c r="I50" s="48"/>
      <c r="J50" s="4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8.600000000000001" thickBot="1" x14ac:dyDescent="0.4">
      <c r="A51" s="148" t="s">
        <v>218</v>
      </c>
      <c r="B51" s="149"/>
      <c r="C51" s="114" t="s">
        <v>141</v>
      </c>
      <c r="D51" s="36">
        <f>D52+D53+D54</f>
        <v>2058</v>
      </c>
      <c r="E51" s="48"/>
      <c r="F51" s="48"/>
      <c r="G51" s="48"/>
      <c r="H51" s="48"/>
      <c r="I51" s="48"/>
      <c r="J51" s="4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54.6" thickBot="1" x14ac:dyDescent="0.4">
      <c r="A52" s="154" t="s">
        <v>206</v>
      </c>
      <c r="B52" s="24" t="s">
        <v>215</v>
      </c>
      <c r="C52" s="122"/>
      <c r="D52" s="36">
        <f>'Раздел 6'!D34</f>
        <v>2058</v>
      </c>
      <c r="E52" s="48"/>
      <c r="F52" s="48"/>
      <c r="G52" s="48"/>
      <c r="H52" s="48"/>
      <c r="I52" s="48"/>
      <c r="J52" s="4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36.6" thickBot="1" x14ac:dyDescent="0.4">
      <c r="A53" s="155"/>
      <c r="B53" s="24" t="s">
        <v>216</v>
      </c>
      <c r="C53" s="122"/>
      <c r="D53" s="36">
        <v>0</v>
      </c>
      <c r="E53" s="48"/>
      <c r="F53" s="48"/>
      <c r="G53" s="48"/>
      <c r="H53" s="48"/>
      <c r="I53" s="48"/>
      <c r="J53" s="4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36.6" thickBot="1" x14ac:dyDescent="0.4">
      <c r="A54" s="156"/>
      <c r="B54" s="24" t="s">
        <v>217</v>
      </c>
      <c r="C54" s="115"/>
      <c r="D54" s="36">
        <v>0</v>
      </c>
      <c r="E54" s="48"/>
      <c r="F54" s="48"/>
      <c r="G54" s="48"/>
      <c r="H54" s="48"/>
      <c r="I54" s="48"/>
      <c r="J54" s="4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8.600000000000001" thickBot="1" x14ac:dyDescent="0.4">
      <c r="A55" s="151" t="s">
        <v>219</v>
      </c>
      <c r="B55" s="152"/>
      <c r="C55" s="152"/>
      <c r="D55" s="153"/>
      <c r="E55" s="48"/>
      <c r="F55" s="48"/>
      <c r="G55" s="48"/>
      <c r="H55" s="48"/>
      <c r="I55" s="48"/>
      <c r="J55" s="4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8.600000000000001" thickBot="1" x14ac:dyDescent="0.4">
      <c r="A56" s="148" t="s">
        <v>220</v>
      </c>
      <c r="B56" s="149"/>
      <c r="C56" s="36" t="s">
        <v>221</v>
      </c>
      <c r="D56" s="39">
        <f>E22/D39</f>
        <v>15.998361021228394</v>
      </c>
      <c r="E56" s="48"/>
      <c r="F56" s="48"/>
      <c r="G56" s="48"/>
      <c r="H56" s="48"/>
      <c r="I56" s="48"/>
      <c r="J56" s="4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8.600000000000001" thickBot="1" x14ac:dyDescent="0.4">
      <c r="A57" s="148" t="s">
        <v>222</v>
      </c>
      <c r="B57" s="149"/>
      <c r="C57" s="36" t="s">
        <v>221</v>
      </c>
      <c r="D57" s="39">
        <f>1/D56</f>
        <v>6.2506402916716872E-2</v>
      </c>
      <c r="E57" s="48"/>
      <c r="F57" s="48"/>
      <c r="G57" s="48"/>
      <c r="H57" s="48"/>
      <c r="I57" s="48"/>
      <c r="J57" s="48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8.600000000000001" thickBot="1" x14ac:dyDescent="0.4">
      <c r="A58" s="148" t="s">
        <v>223</v>
      </c>
      <c r="B58" s="149"/>
      <c r="C58" s="36" t="s">
        <v>224</v>
      </c>
      <c r="D58" s="39">
        <f>D39/D47</f>
        <v>99.57419999999999</v>
      </c>
      <c r="E58" s="48"/>
      <c r="F58" s="48"/>
      <c r="G58" s="48"/>
      <c r="H58" s="48"/>
      <c r="I58" s="48"/>
      <c r="J58" s="48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8.600000000000001" thickBot="1" x14ac:dyDescent="0.4">
      <c r="A59" s="148" t="s">
        <v>225</v>
      </c>
      <c r="B59" s="149"/>
      <c r="C59" s="36" t="s">
        <v>23</v>
      </c>
      <c r="D59" s="37">
        <f>E27/E22</f>
        <v>0.72169018606288393</v>
      </c>
      <c r="E59" s="48"/>
      <c r="F59" s="48"/>
      <c r="G59" s="48"/>
      <c r="H59" s="48"/>
      <c r="I59" s="48"/>
      <c r="J59" s="48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8.600000000000001" thickBot="1" x14ac:dyDescent="0.4">
      <c r="A60" s="148" t="s">
        <v>226</v>
      </c>
      <c r="B60" s="149"/>
      <c r="C60" s="36" t="s">
        <v>23</v>
      </c>
      <c r="D60" s="37">
        <f>E27/D27</f>
        <v>1.3660359263149822</v>
      </c>
      <c r="E60" s="48"/>
      <c r="F60" s="48"/>
      <c r="G60" s="48"/>
      <c r="H60" s="48"/>
      <c r="I60" s="48"/>
      <c r="J60" s="48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8.600000000000001" thickBot="1" x14ac:dyDescent="0.4">
      <c r="A61" s="148" t="s">
        <v>227</v>
      </c>
      <c r="B61" s="149"/>
      <c r="C61" s="36" t="s">
        <v>224</v>
      </c>
      <c r="D61" s="39">
        <f>E22/D47</f>
        <v>1593.0240000000001</v>
      </c>
      <c r="E61" s="48"/>
      <c r="F61" s="48"/>
      <c r="G61" s="48"/>
      <c r="H61" s="48"/>
      <c r="I61" s="48"/>
      <c r="J61" s="48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8.600000000000001" thickBot="1" x14ac:dyDescent="0.4">
      <c r="A62" s="148" t="s">
        <v>228</v>
      </c>
      <c r="B62" s="149"/>
      <c r="C62" s="36" t="s">
        <v>141</v>
      </c>
      <c r="D62" s="39">
        <f>E22/COUNTA('Раздел 3'!A4:A8)</f>
        <v>1593.0240000000001</v>
      </c>
      <c r="E62" s="48"/>
      <c r="F62" s="48"/>
      <c r="G62" s="48"/>
      <c r="H62" s="48"/>
      <c r="I62" s="48"/>
      <c r="J62" s="48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8.600000000000001" customHeight="1" thickBot="1" x14ac:dyDescent="0.4">
      <c r="A63" s="148" t="s">
        <v>312</v>
      </c>
      <c r="B63" s="149"/>
      <c r="C63" s="36" t="s">
        <v>141</v>
      </c>
      <c r="D63" s="39">
        <f>E22/D43</f>
        <v>166.63430962343099</v>
      </c>
      <c r="E63" s="48"/>
      <c r="F63" s="48"/>
      <c r="G63" s="48"/>
      <c r="H63" s="48"/>
      <c r="I63" s="48"/>
      <c r="J63" s="48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8.600000000000001" thickBot="1" x14ac:dyDescent="0.4">
      <c r="A64" s="150"/>
      <c r="B64" s="150"/>
      <c r="C64" s="48"/>
      <c r="D64" s="48"/>
      <c r="E64" s="48"/>
      <c r="F64" s="48"/>
      <c r="G64" s="48"/>
      <c r="H64" s="48"/>
      <c r="I64" s="48"/>
      <c r="J64" s="48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36.6" customHeight="1" thickBot="1" x14ac:dyDescent="0.4">
      <c r="A65" s="117" t="s">
        <v>326</v>
      </c>
      <c r="B65" s="117"/>
      <c r="C65" s="117"/>
      <c r="D65" s="118"/>
      <c r="E65" s="48"/>
      <c r="F65" s="48"/>
      <c r="G65" s="48"/>
      <c r="H65" s="48"/>
      <c r="I65" s="48"/>
      <c r="J65" s="48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8" x14ac:dyDescent="0.35">
      <c r="A66" s="129" t="s">
        <v>316</v>
      </c>
      <c r="B66" s="129" t="s">
        <v>317</v>
      </c>
      <c r="C66" s="55" t="s">
        <v>318</v>
      </c>
      <c r="D66" s="55" t="s">
        <v>318</v>
      </c>
      <c r="E66" s="48"/>
      <c r="F66" s="48"/>
      <c r="G66" s="48"/>
      <c r="H66" s="48"/>
      <c r="I66" s="48"/>
      <c r="J66" s="48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8.600000000000001" thickBot="1" x14ac:dyDescent="0.4">
      <c r="A67" s="130"/>
      <c r="B67" s="130"/>
      <c r="C67" s="8" t="s">
        <v>319</v>
      </c>
      <c r="D67" s="8" t="s">
        <v>320</v>
      </c>
      <c r="E67" s="48"/>
      <c r="F67" s="48"/>
      <c r="G67" s="48"/>
      <c r="H67" s="48"/>
      <c r="I67" s="48"/>
      <c r="J67" s="48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8.600000000000001" thickBot="1" x14ac:dyDescent="0.4">
      <c r="A68" s="12">
        <v>1</v>
      </c>
      <c r="B68" s="15" t="s">
        <v>321</v>
      </c>
      <c r="C68" s="56">
        <f>(C22*B22+C23*B23+C24*B24)/12</f>
        <v>829700</v>
      </c>
      <c r="D68" s="100">
        <f>(C22*B22+C23*B23+C24*B24)</f>
        <v>9956400</v>
      </c>
      <c r="E68" s="48"/>
      <c r="F68" s="48"/>
      <c r="G68" s="48"/>
      <c r="H68" s="48"/>
      <c r="I68" s="48"/>
      <c r="J68" s="48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8.600000000000001" thickBot="1" x14ac:dyDescent="0.4">
      <c r="A69" s="12">
        <v>2</v>
      </c>
      <c r="B69" s="15" t="s">
        <v>322</v>
      </c>
      <c r="C69" s="56">
        <f>D27/12*1000</f>
        <v>350670.92209890008</v>
      </c>
      <c r="D69" s="100">
        <f>E27*1000</f>
        <v>5748348.9348131986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8.600000000000001" thickBot="1" x14ac:dyDescent="0.4">
      <c r="A70" s="12">
        <v>3</v>
      </c>
      <c r="B70" s="15" t="s">
        <v>323</v>
      </c>
      <c r="C70" s="56">
        <f>(C68-(A27/12*1000))</f>
        <v>495727.69323914283</v>
      </c>
      <c r="D70" s="100">
        <f>D68-(A27*1000)</f>
        <v>5948732.3188697137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8.600000000000001" thickBot="1" x14ac:dyDescent="0.4">
      <c r="A71" s="57">
        <v>4</v>
      </c>
      <c r="B71" s="58" t="s">
        <v>324</v>
      </c>
      <c r="C71" s="59">
        <f>(E27-F27)/12*1000</f>
        <v>32866.744674066009</v>
      </c>
      <c r="D71" s="101">
        <f>(E27-F27)*1000</f>
        <v>394400.93608879216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8.600000000000001" thickBot="1" x14ac:dyDescent="0.4">
      <c r="A72" s="57">
        <v>5</v>
      </c>
      <c r="B72" s="58" t="s">
        <v>325</v>
      </c>
      <c r="C72" s="59">
        <f>F27/12*1000</f>
        <v>446162.3332270339</v>
      </c>
      <c r="D72" s="101">
        <f>F27*1000</f>
        <v>5353947.9987244066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8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8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8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8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8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</sheetData>
  <customSheetViews>
    <customSheetView guid="{AA87E068-5849-482C-8AC0-FA82B1C10C62}" scale="70" topLeftCell="A49">
      <selection activeCell="A65" sqref="A65:D65"/>
      <pageMargins left="0.7" right="0.7" top="0.75" bottom="0.75" header="0.3" footer="0.3"/>
      <pageSetup paperSize="9" orientation="portrait" verticalDpi="0" r:id="rId1"/>
    </customSheetView>
  </customSheetViews>
  <mergeCells count="38">
    <mergeCell ref="A30:B30"/>
    <mergeCell ref="A2:A3"/>
    <mergeCell ref="E22:E24"/>
    <mergeCell ref="A31:D31"/>
    <mergeCell ref="A32:B32"/>
    <mergeCell ref="A33:A35"/>
    <mergeCell ref="C33:C35"/>
    <mergeCell ref="A36:A38"/>
    <mergeCell ref="C36:C38"/>
    <mergeCell ref="A39:B39"/>
    <mergeCell ref="C39:C42"/>
    <mergeCell ref="A40:A42"/>
    <mergeCell ref="A43:B43"/>
    <mergeCell ref="C43:C46"/>
    <mergeCell ref="A44:A46"/>
    <mergeCell ref="A60:B60"/>
    <mergeCell ref="A47:B47"/>
    <mergeCell ref="C47:C50"/>
    <mergeCell ref="A48:A50"/>
    <mergeCell ref="A51:B51"/>
    <mergeCell ref="C51:C54"/>
    <mergeCell ref="A52:A54"/>
    <mergeCell ref="A66:A67"/>
    <mergeCell ref="B66:B67"/>
    <mergeCell ref="A65:D65"/>
    <mergeCell ref="A1:C1"/>
    <mergeCell ref="F22:F24"/>
    <mergeCell ref="A20:F20"/>
    <mergeCell ref="A61:B61"/>
    <mergeCell ref="A62:B62"/>
    <mergeCell ref="A63:B63"/>
    <mergeCell ref="A64:B64"/>
    <mergeCell ref="A29:D29"/>
    <mergeCell ref="A55:D55"/>
    <mergeCell ref="A56:B56"/>
    <mergeCell ref="A57:B57"/>
    <mergeCell ref="A58:B58"/>
    <mergeCell ref="A59:B59"/>
  </mergeCell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Раздел 1</vt:lpstr>
      <vt:lpstr>Раздел 2</vt:lpstr>
      <vt:lpstr>Раздел 3</vt:lpstr>
      <vt:lpstr>Раздел 4</vt:lpstr>
      <vt:lpstr>Раздел 5</vt:lpstr>
      <vt:lpstr>Раздел 6</vt:lpstr>
      <vt:lpstr>Раздел 7</vt:lpstr>
      <vt:lpstr>Раздел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Васильев Михаил Ильич</dc:creator>
  <cp:lastModifiedBy>Васильев Михаил Ильич</cp:lastModifiedBy>
  <dcterms:created xsi:type="dcterms:W3CDTF">2024-04-20T18:50:16Z</dcterms:created>
  <dcterms:modified xsi:type="dcterms:W3CDTF">2024-05-20T02:58:49Z</dcterms:modified>
</cp:coreProperties>
</file>